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unjun.baheransyah\Music\"/>
    </mc:Choice>
  </mc:AlternateContent>
  <xr:revisionPtr revIDLastSave="0" documentId="8_{0E7CCD63-750B-49E3-811F-11AB3C13E426}" xr6:coauthVersionLast="47" xr6:coauthVersionMax="47" xr10:uidLastSave="{00000000-0000-0000-0000-000000000000}"/>
  <bookViews>
    <workbookView xWindow="-120" yWindow="-120" windowWidth="15600" windowHeight="11160" tabRatio="859" firstSheet="2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78" r:id="rId10"/>
    <sheet name="Peta lokasi" sheetId="79" r:id="rId11"/>
    <sheet name="SLD" sheetId="80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[29]MENU1!$D$4:$T$15</definedName>
    <definedName name="BULAN" localSheetId="10">[28]MENU1!$D$4:$T$15</definedName>
    <definedName name="BULAN" localSheetId="11">[28]MENU1!$D$4:$T$15</definedName>
    <definedName name="BULAN">[29]MENU1!$D$4:$T$15</definedName>
    <definedName name="Bulan_Ke" localSheetId="9">[30]CashFlow!$H$46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'[31]REAL-LR'!$G$17:$G$54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[30]CashFlow!$I$56:$J$57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[32]item!$C$2:$C$550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[33]Sheet5!#REF!</definedName>
    <definedName name="DAWDFAFD" localSheetId="7">[33]Sheet5!#REF!</definedName>
    <definedName name="DAWDFAFD" localSheetId="10">[33]Sheet5!#REF!</definedName>
    <definedName name="DAWDFAFD">[33]Sheet5!#REF!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9">[34]Asumsi!$S$10</definedName>
    <definedName name="DBSend" localSheetId="10">[34]Asumsi!$S$10</definedName>
    <definedName name="DBSend" localSheetId="11">[34]Asumsi!$S$10</definedName>
    <definedName name="DBSend">[35]Asumsi!$S$10</definedName>
    <definedName name="DBSend_2">[36]Asumsi!$T$4</definedName>
    <definedName name="DBSend_3">[37]Asumsi!$U$4</definedName>
    <definedName name="dc" localSheetId="6">[38]JAN07!#REF!</definedName>
    <definedName name="dc" localSheetId="9">[39]JAN07!#REF!</definedName>
    <definedName name="dc" localSheetId="7">[38]JAN07!#REF!</definedName>
    <definedName name="dc" localSheetId="5">[39]JAN07!#REF!</definedName>
    <definedName name="dc">[39]JAN07!#REF!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[40]DENPASAR!$A$5:$AG$436</definedName>
    <definedName name="deviasi">[41]DeVIASI!$A$4:$AC$20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[42]MENU!$H$17:$H$35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'[43]O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[44]JAN07!#REF!</definedName>
    <definedName name="FEEDERGGNSLG" localSheetId="6">[15]JAN07!#REF!</definedName>
    <definedName name="FEEDERGGNSLG" localSheetId="7">[15]JAN07!#REF!</definedName>
    <definedName name="FEEDERGGNSLG">[44]JAN07!#REF!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'[45]Resource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[46]Smg!$I$1:$I$863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[42]MENU!$M$11:$M$124</definedName>
    <definedName name="GANGGUAN">#N/A</definedName>
    <definedName name="GARDU" localSheetId="9">[42]PARAMETER!$A$11:$A$1059</definedName>
    <definedName name="GARDU">#N/A</definedName>
    <definedName name="GARDU1" localSheetId="9">[42]MENU!$A$11:$A$110</definedName>
    <definedName name="GARDU1">#N/A</definedName>
    <definedName name="GBR" localSheetId="9">INDEX([47]KKO!#REF!,MATCH([47]KKO!#REF!:[47]KKO!#REF!,0)*2)</definedName>
    <definedName name="GBR" localSheetId="10">INDEX([48]KKO!#REF!,MATCH([48]KKO!#REF!:[48]KKO!#REF!,0)*2)</definedName>
    <definedName name="GBR" localSheetId="11">INDEX([48]KKO!#REF!,MATCH([48]KKO!#REF!:[48]KKO!#REF!,0)*2)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[49]RAB!$F$12:$J$175</definedName>
    <definedName name="hari" localSheetId="9">[50]Format!$AA$1:$AG$1</definedName>
    <definedName name="hari">[51]Format!$AA$1:$AG$1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'[52]MATERIAL juni 05'!$A$1:$AH$65536</definedName>
    <definedName name="HMRIEL">'[52]UPDATE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[42]MENU!$O$11:$O$124</definedName>
    <definedName name="INDEX_KODE">#N/A</definedName>
    <definedName name="INDEX1" localSheetId="9">[42]MENU!$C$11:$C$110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[53]DTU!$B$2:$D$48</definedName>
    <definedName name="input" localSheetId="6">'[54]Neraca seAPJ'!#REF!</definedName>
    <definedName name="input" localSheetId="9">'[54]Neraca seAPJ'!#REF!</definedName>
    <definedName name="input" localSheetId="7">'[54]Neraca seAPJ'!#REF!</definedName>
    <definedName name="input" localSheetId="5">'[54]Neraca seAPJ'!#REF!</definedName>
    <definedName name="input">'[54]Neraca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'[55]W-NAD'!#REF!</definedName>
    <definedName name="JAJA" localSheetId="7">'[55]W-NAD'!#REF!</definedName>
    <definedName name="JAJA" localSheetId="10">'[55]W-NAD'!#REF!</definedName>
    <definedName name="JAJA">'[55]W-NAD'!#REF!</definedName>
    <definedName name="jamkerja">'[56]D2. ANALISA HS INSHAR'!$D$2</definedName>
    <definedName name="JamKerja01">'[57]E3. ANALISA HS HAR TEK SUTM'!$D$2</definedName>
    <definedName name="jamkerjaentri" localSheetId="6">'[56]D2. ANALISA HS INSHAR'!#REF!</definedName>
    <definedName name="jamkerjaentri" localSheetId="9">'[56]D2. ANALISA HS INSHAR'!#REF!</definedName>
    <definedName name="jamkerjaentri" localSheetId="7">'[56]D2. ANALISA HS INSHAR'!#REF!</definedName>
    <definedName name="jamkerjaentri" localSheetId="5">'[56]D2. ANALISA HS INSHAR'!#REF!</definedName>
    <definedName name="jamkerjaentri">'[56]D2. ANALISA HS INSHAR'!#REF!</definedName>
    <definedName name="jamkerjahar">'[57]E6.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[58]Jasa!$B$1:$F$65536</definedName>
    <definedName name="jasa.">[58]Jasa!$B$1:$F$65536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[59]data!$F$2:$F$4</definedName>
    <definedName name="jenis_pph">[59]data!$E$2:$E$7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[44]JAN07!#REF!</definedName>
    <definedName name="KALISLG" localSheetId="6">[15]JAN07!#REF!</definedName>
    <definedName name="KALISLG" localSheetId="7">[15]JAN07!#REF!</definedName>
    <definedName name="KALISLG">[44]JAN07!#REF!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[42]MENU!$N$11:$N$124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[42]PARAMETER!$D$11:$D$1059</definedName>
    <definedName name="KODE_OUTGOING">#N/A</definedName>
    <definedName name="KODE1" localSheetId="9">[42]MENU!$B$11:$B$110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[41]KoMposisi!$A$6:$BV$22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[60]Cover!$C$5</definedName>
    <definedName name="KursUSD">[61]Asumsi!$E$9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INDEX([47]PDL!$B$1:$B$3,IFERROR(MATCH([47]KKO!$D$15,[47]PDL!$A$1:$A$2,),3))</definedName>
    <definedName name="Kutools_PDL0_1" localSheetId="10">INDEX([48]PDL!$B$1:$B$3,IFERROR(MATCH([48]KKO!$D$15,[48]PDL!$A$1:$A$2,),3))</definedName>
    <definedName name="Kutools_PDL0_1" localSheetId="11">INDEX([48]PDL!$B$1:$B$3,IFERROR(MATCH([48]KKO!$D$15,[48]PDL!$A$1:$A$2,),3))</definedName>
    <definedName name="Kutools_PDL0_1">INDEX(PDL!$B$1:$B$3,IFERROR(MATCH(KKO!$D$15,PDL!$A$1:$A$2,),3))</definedName>
    <definedName name="Kutools_PDL1_1" localSheetId="9">INDEX([47]PDL!$D$4:$D$6,IFERROR(MATCH([47]KKO!$D$15,[47]PDL!$C$4:$C$5,),3))</definedName>
    <definedName name="Kutools_PDL1_1" localSheetId="10">INDEX([48]PDL!$D$4:$D$6,IFERROR(MATCH([48]KKO!$D$15,[48]PDL!$C$4:$C$5,),3))</definedName>
    <definedName name="Kutools_PDL1_1" localSheetId="11">INDEX([48]PDL!$D$4:$D$6,IFERROR(MATCH([48]KKO!$D$15,[48]PDL!$C$4:$C$5,),3))</definedName>
    <definedName name="Kutools_PDL1_1">INDEX(PDL!$D$4:$D$6,IFERROR(MATCH(KKO!$D$15,PDL!$C$4:$C$5,),3))</definedName>
    <definedName name="Kutools_PDL10_1" localSheetId="9">INDEX([47]PDL!$V$31:$V$33,IFERROR(MATCH([47]KKO!$K$15,[47]PDL!$U$31:$U$32,),3))</definedName>
    <definedName name="Kutools_PDL10_1" localSheetId="10">INDEX([48]PDL!$V$31:$V$33,IFERROR(MATCH([48]KKO!$K$15,[48]PDL!$U$31:$U$32,),3))</definedName>
    <definedName name="Kutools_PDL10_1" localSheetId="11">INDEX([48]PDL!$V$31:$V$33,IFERROR(MATCH([48]KKO!$K$15,[48]PDL!$U$31:$U$32,),3))</definedName>
    <definedName name="Kutools_PDL10_1">INDEX(PDL!$V$31:$V$33,IFERROR(MATCH(KKO!$K$15,PDL!$U$31:$U$32,),3))</definedName>
    <definedName name="Kutools_PDL2_1" localSheetId="9">INDEX([47]PDL!$F$7:$F$9,IFERROR(MATCH([47]KKO!$K$15,[47]PDL!$E$7:$E$8,),3))</definedName>
    <definedName name="Kutools_PDL2_1" localSheetId="10">INDEX([48]PDL!$F$7:$F$9,IFERROR(MATCH([48]KKO!$K$15,[48]PDL!$E$7:$E$8,),3))</definedName>
    <definedName name="Kutools_PDL2_1" localSheetId="11">INDEX([48]PDL!$F$7:$F$9,IFERROR(MATCH([48]KKO!$K$15,[48]PDL!$E$7:$E$8,),3))</definedName>
    <definedName name="Kutools_PDL2_1">INDEX(PDL!$F$7:$F$9,IFERROR(MATCH(KKO!$K$15,PDL!$E$7:$E$8,),3))</definedName>
    <definedName name="Kutools_PDL3_1" localSheetId="9">INDEX([47]PDL!$H$10:$H$12,IFERROR(MATCH([47]KKO!$D$15,[47]PDL!$G$10:$G$11,),3))</definedName>
    <definedName name="Kutools_PDL3_1" localSheetId="10">INDEX([48]PDL!$H$10:$H$12,IFERROR(MATCH([48]KKO!$D$15,[48]PDL!$G$10:$G$11,),3))</definedName>
    <definedName name="Kutools_PDL3_1" localSheetId="11">INDEX([48]PDL!$H$10:$H$12,IFERROR(MATCH([48]KKO!$D$15,[48]PDL!$G$10:$G$11,),3))</definedName>
    <definedName name="Kutools_PDL3_1">INDEX(PDL!$H$10:$H$12,IFERROR(MATCH(KKO!$D$15,PDL!$G$10:$G$11,),3))</definedName>
    <definedName name="Kutools_PDL4_1" localSheetId="9">INDEX([47]PDL!$J$13:$J$15,IFERROR(MATCH([47]KKO!$D$15,[47]PDL!$I$13:$I$14,),3))</definedName>
    <definedName name="Kutools_PDL4_1" localSheetId="10">INDEX([48]PDL!$J$13:$J$15,IFERROR(MATCH([48]KKO!$D$15,[48]PDL!$I$13:$I$14,),3))</definedName>
    <definedName name="Kutools_PDL4_1" localSheetId="11">INDEX([48]PDL!$J$13:$J$15,IFERROR(MATCH([48]KKO!$D$15,[48]PDL!$I$13:$I$14,),3))</definedName>
    <definedName name="Kutools_PDL4_1">INDEX(PDL!$J$13:$J$15,IFERROR(MATCH(KKO!$D$15,PDL!$I$13:$I$14,),3))</definedName>
    <definedName name="Kutools_PDL5_1" localSheetId="9">INDEX([47]PDL!$L$16:$L$18,IFERROR(MATCH([47]KKO!$K$15,[47]PDL!$K$16:$K$17,),3))</definedName>
    <definedName name="Kutools_PDL5_1" localSheetId="10">INDEX([48]PDL!$L$16:$L$18,IFERROR(MATCH([48]KKO!$K$15,[48]PDL!$K$16:$K$17,),3))</definedName>
    <definedName name="Kutools_PDL5_1" localSheetId="11">INDEX([48]PDL!$L$16:$L$18,IFERROR(MATCH([48]KKO!$K$15,[48]PDL!$K$16:$K$17,),3))</definedName>
    <definedName name="Kutools_PDL5_1">INDEX(PDL!$L$16:$L$18,IFERROR(MATCH(KKO!$K$15,PDL!$K$16:$K$17,),3))</definedName>
    <definedName name="Kutools_PDL6_1" localSheetId="9">INDEX([47]PDL!$N$19:$N$21,IFERROR(MATCH([47]KKO!$D$15,[47]PDL!$M$19:$M$20,),3))</definedName>
    <definedName name="Kutools_PDL6_1" localSheetId="10">INDEX([48]PDL!$N$19:$N$21,IFERROR(MATCH([48]KKO!$D$15,[48]PDL!$M$19:$M$20,),3))</definedName>
    <definedName name="Kutools_PDL6_1" localSheetId="11">INDEX([48]PDL!$N$19:$N$21,IFERROR(MATCH([48]KKO!$D$15,[48]PDL!$M$19:$M$20,),3))</definedName>
    <definedName name="Kutools_PDL6_1">INDEX(PDL!$N$19:$N$21,IFERROR(MATCH(KKO!$D$15,PDL!$M$19:$M$20,),3))</definedName>
    <definedName name="Kutools_PDL7_1" localSheetId="9">INDEX([47]PDL!$P$22:$P$24,IFERROR(MATCH([47]KKO!$D$15,[47]PDL!$O$22:$O$23,),3))</definedName>
    <definedName name="Kutools_PDL7_1" localSheetId="10">INDEX([48]PDL!$P$22:$P$24,IFERROR(MATCH([48]KKO!$D$15,[48]PDL!$O$22:$O$23,),3))</definedName>
    <definedName name="Kutools_PDL7_1" localSheetId="11">INDEX([48]PDL!$P$22:$P$24,IFERROR(MATCH([48]KKO!$D$15,[48]PDL!$O$22:$O$23,),3))</definedName>
    <definedName name="Kutools_PDL7_1">INDEX(PDL!$P$22:$P$24,IFERROR(MATCH(KKO!$D$15,PDL!$O$22:$O$23,),3))</definedName>
    <definedName name="Kutools_PDL8_1" localSheetId="9">INDEX([47]PDL!$R$25:$R$27,IFERROR(MATCH([47]KKO!$D$15,[47]PDL!$Q$25:$Q$26,),3))</definedName>
    <definedName name="Kutools_PDL8_1" localSheetId="10">INDEX([48]PDL!$R$25:$R$27,IFERROR(MATCH([48]KKO!$D$15,[48]PDL!$Q$25:$Q$26,),3))</definedName>
    <definedName name="Kutools_PDL8_1" localSheetId="11">INDEX([48]PDL!$R$25:$R$27,IFERROR(MATCH([48]KKO!$D$15,[48]PDL!$Q$25:$Q$26,),3))</definedName>
    <definedName name="Kutools_PDL8_1">INDEX(PDL!$R$25:$R$27,IFERROR(MATCH(KKO!$D$15,PDL!$Q$25:$Q$26,),3))</definedName>
    <definedName name="Kutools_PDL9_1" localSheetId="9">INDEX([47]PDL!$T$28:$T$30,IFERROR(MATCH([47]KKO!$D$15,[47]PDL!$S$28:$S$29,),3))</definedName>
    <definedName name="Kutools_PDL9_1" localSheetId="10">INDEX([48]PDL!$T$28:$T$30,IFERROR(MATCH([48]KKO!$D$15,[48]PDL!$S$28:$S$29,),3))</definedName>
    <definedName name="Kutools_PDL9_1" localSheetId="11">INDEX([48]PDL!$T$28:$T$30,IFERROR(MATCH([48]KKO!$D$15,[48]PDL!$S$28:$S$29,),3))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[62]PMT!#REF!</definedName>
    <definedName name="l" localSheetId="7">[62]PMT!#REF!</definedName>
    <definedName name="l" localSheetId="10">[62]PMT!#REF!</definedName>
    <definedName name="l">[62]PMT!#REF!</definedName>
    <definedName name="L_19" localSheetId="6">'[63]FORM-B'!#REF!</definedName>
    <definedName name="L_19" localSheetId="7">'[63]FORM-B'!#REF!</definedName>
    <definedName name="L_19">'[63]FORM-B'!#REF!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[64]Asumsi!$V$2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[65]INPBA!$F$2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'[66]AHS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'[63]FORM-B'!#REF!</definedName>
    <definedName name="M_19" localSheetId="7">'[63]FORM-B'!#REF!</definedName>
    <definedName name="M_19" localSheetId="10">'[63]FORM-B'!#REF!</definedName>
    <definedName name="M_19">'[63]FORM-B'!#REF!</definedName>
    <definedName name="MANBUNG" localSheetId="6">[33]Sheet5!#REF!</definedName>
    <definedName name="MANBUNG" localSheetId="7">[33]Sheet5!#REF!</definedName>
    <definedName name="MANBUNG">[33]Sheet5!#REF!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[58]Mat!$B$1:$L$65536</definedName>
    <definedName name="mat.">[58]Mat!$B$1:$L$65536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[67]aruskas!$A$110:$T$180</definedName>
    <definedName name="MD_19">[68]aruskas!$A$110:$T$180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[42]MENU!$D$11:$D$110</definedName>
    <definedName name="MENU_GARDU">#N/A</definedName>
    <definedName name="MENU_PENYULANG" localSheetId="9">[42]MENU!$F$11:$F$40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'[69]Standar Konstruksi'!$G$29:$G$29</definedName>
    <definedName name="MmExcelLinker_56E02BF7_1622_44A2_A1B4_91C09D796B1E" localSheetId="7">KKF!RAB-PER '[69]Standar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[70]Cover!$B$7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[42]MENU!#REF!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[71]Valuation!$I$53</definedName>
    <definedName name="OUTGOING" localSheetId="9">[42]PARAMETER!$B$11:$B$1059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[72]TABEL!$A$2:$A$81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[47]KKO!#REF!</definedName>
    <definedName name="pict" localSheetId="10">[48]KKO!#REF!</definedName>
    <definedName name="pict" localSheetId="11">[48]KKO!#REF!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[62]PMT!$D$12:$D$55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[59]data!$G$2:$G$54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[33]Sheet5!#REF!</definedName>
    <definedName name="PRINT_AR01" localSheetId="9">[33]Sheet5!#REF!</definedName>
    <definedName name="PRINT_AR01" localSheetId="7">[33]Sheet5!#REF!</definedName>
    <definedName name="PRINT_AR01" localSheetId="10">[33]Sheet5!#REF!</definedName>
    <definedName name="PRINT_AR01">[33]Sheet5!#REF!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'Peta lokasi'!$A$1:$AD$67</definedName>
    <definedName name="_xlnm.Print_Area" localSheetId="8">RAB!$A$1:$K$115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SLD!$A$1:$AF$70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[33]Sheet5!#REF!</definedName>
    <definedName name="PRINT2" localSheetId="7">[33]Sheet5!#REF!</definedName>
    <definedName name="PRINT2" localSheetId="10">[33]Sheet5!#REF!</definedName>
    <definedName name="PRINT2">[33]Sheet5!#REF!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[73]JURNAL!#REF!</definedName>
    <definedName name="PUR" localSheetId="9">[73]JURNAL!#REF!</definedName>
    <definedName name="PUR" localSheetId="7">[73]JURNAL!#REF!</definedName>
    <definedName name="PUR" localSheetId="10">[73]JURNAL!#REF!</definedName>
    <definedName name="PUR">[73]JURNAL!#REF!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'[73]BB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[42]MENU!$J$17:$J$24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[74]JAN07!#REF!</definedName>
    <definedName name="rtyu" localSheetId="9">[75]JAN07!#REF!</definedName>
    <definedName name="rtyu" localSheetId="7">[74]JAN07!#REF!</definedName>
    <definedName name="rtyu" localSheetId="10">[75]JAN07!#REF!</definedName>
    <definedName name="rtyu">[75]JAN07!#REF!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[76]PICKUP!$D$12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0">[18]JAN09!#REF!</definedName>
    <definedName name="sasa" localSheetId="11">[18]JAN09!#REF!</definedName>
    <definedName name="sasa">[18]JAN09!#REF!</definedName>
    <definedName name="SATUAN" localSheetId="9">'[77]Rekap PMG.'!$A$10:$E$51</definedName>
    <definedName name="SATUAN">'[77]Rekap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[78]x!$G$9:$G$47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[53]DTU!$B$2:$D$48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'[79]master rab'!$B$1:$H$65536</definedName>
    <definedName name="seapj">'[54]Neraca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[42]MENU!$J$11:$J$13</definedName>
    <definedName name="SEBUTAN">#N/A</definedName>
    <definedName name="sejut">[80]LAIN2!$Z$7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[80]LAIN2!$Z$5</definedName>
    <definedName name="serib">[80]LAIN2!$Z$6</definedName>
    <definedName name="Service_Mapping">'[21]Service Mapping'!$C$6:$Y$39</definedName>
    <definedName name="sewadetektorkabel_har">'[66]AHS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'[66]AHS - Non Personel'!$D$27</definedName>
    <definedName name="SewaKantorBulan">'[66]AHS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'[66]AHS - Non Personel'!$D$32</definedName>
    <definedName name="SewaMobil" localSheetId="9">'[19]AHS - Non Personel'!$D$8</definedName>
    <definedName name="SewaMobil">#N/A</definedName>
    <definedName name="sewamobilbak_hari">'[66]AHS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'[66]AHS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[81]Sensitivitas!$D$26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[42]PARAMETER!$C$11:$C$1059</definedName>
    <definedName name="STATUS_REMOTE">#N/A</definedName>
    <definedName name="std">[82]HB2!$A$1:$L$65536</definedName>
    <definedName name="stdpln">'[83]HB BARU'!$A$1:$J$780</definedName>
    <definedName name="stok">[73]DTstok!$A$1:$B$65536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'[84]master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[85]SuMBER!$N$3:$FO$21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[74]JAN07!#REF!</definedName>
    <definedName name="swed" localSheetId="7">[74]JAN07!#REF!</definedName>
    <definedName name="swed">[75]JAN07!#REF!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[30]CashFlow!$A$8:$J$37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[86]Sheet1!$E$2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[87]bantu!$M$5:$X$5</definedName>
    <definedName name="Tahun">[88]bantu!$M$5:$X$5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[65]INPBA!$F$2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[80]LAIN2!$Z$10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[71]Valuation!$I$61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'[89]Rekap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[90]Usulan!#REF!</definedName>
    <definedName name="usul" localSheetId="9">[90]Usulan!#REF!</definedName>
    <definedName name="usul" localSheetId="7">[90]Usulan!#REF!</definedName>
    <definedName name="usul" localSheetId="5">[90]Usulan!#REF!</definedName>
    <definedName name="usul" localSheetId="10">[90]Usulan!#REF!</definedName>
    <definedName name="usul">[90]Usulan!#REF!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[74]JAN07!#REF!</definedName>
    <definedName name="x" localSheetId="7">[74]JAN07!#REF!</definedName>
    <definedName name="x">[75]JAN07!#REF!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[74]JAN07!#REF!</definedName>
    <definedName name="xs" localSheetId="9">[75]JAN07!#REF!</definedName>
    <definedName name="xs" localSheetId="7">[74]JAN07!#REF!</definedName>
    <definedName name="xs" localSheetId="5">[75]JAN07!#REF!</definedName>
    <definedName name="xs" localSheetId="10">[75]JAN07!#REF!</definedName>
    <definedName name="xs">[75]JAN07!#REF!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('[91]Submission Form'!$A$4:$C$5,'[91]Submission Form'!$D$7,'[91]Submission Form'!$D$10:$D$11,'[91]Submission Form'!$D$17:$D$26,'[91]Submission Form'!$D$33)</definedName>
    <definedName name="zz">'[67]Hal-1'!$M$33:$M$33</definedName>
    <definedName name="zz_19">'[68]Hal-1'!$M$33:$M$33</definedName>
    <definedName name="zzz">[67]aruskas!$A$110:$T$180</definedName>
    <definedName name="zzz_19">[68]aruskas!$A$110:$T$180</definedName>
  </definedNames>
  <calcPr calcId="191028"/>
</workbook>
</file>

<file path=xl/calcChain.xml><?xml version="1.0" encoding="utf-8"?>
<calcChain xmlns="http://schemas.openxmlformats.org/spreadsheetml/2006/main">
  <c r="D16" i="60" l="1"/>
  <c r="F83" i="11"/>
  <c r="F81" i="11"/>
  <c r="F80" i="11"/>
  <c r="G18" i="11" l="1"/>
  <c r="D18" i="11"/>
  <c r="H18" i="11" s="1"/>
  <c r="E18" i="11"/>
  <c r="J18" i="11" l="1"/>
  <c r="I18" i="11"/>
  <c r="G75" i="11"/>
  <c r="D75" i="11"/>
  <c r="H75" i="11" s="1"/>
  <c r="E75" i="11"/>
  <c r="F90" i="11"/>
  <c r="F89" i="11"/>
  <c r="F88" i="11"/>
  <c r="F87" i="11"/>
  <c r="F86" i="11"/>
  <c r="G84" i="11"/>
  <c r="G85" i="11"/>
  <c r="G86" i="11"/>
  <c r="G87" i="11"/>
  <c r="G88" i="11"/>
  <c r="G89" i="11"/>
  <c r="G90" i="11"/>
  <c r="D84" i="11"/>
  <c r="H84" i="11" s="1"/>
  <c r="E84" i="11"/>
  <c r="D85" i="11"/>
  <c r="J85" i="11" s="1"/>
  <c r="E85" i="11"/>
  <c r="D86" i="11"/>
  <c r="E86" i="11"/>
  <c r="D87" i="11"/>
  <c r="H87" i="11" s="1"/>
  <c r="E87" i="11"/>
  <c r="D88" i="11"/>
  <c r="H88" i="11" s="1"/>
  <c r="E88" i="11"/>
  <c r="D89" i="11"/>
  <c r="J89" i="11" s="1"/>
  <c r="E89" i="11"/>
  <c r="D90" i="11"/>
  <c r="I90" i="11" s="1"/>
  <c r="E90" i="11"/>
  <c r="F52" i="11"/>
  <c r="F51" i="11"/>
  <c r="F50" i="11"/>
  <c r="F49" i="11"/>
  <c r="F46" i="11"/>
  <c r="F45" i="11"/>
  <c r="F44" i="11"/>
  <c r="F43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D41" i="11"/>
  <c r="H41" i="11" s="1"/>
  <c r="E41" i="11"/>
  <c r="D42" i="11"/>
  <c r="J42" i="11" s="1"/>
  <c r="E42" i="11"/>
  <c r="D43" i="11"/>
  <c r="E43" i="11"/>
  <c r="D44" i="11"/>
  <c r="H44" i="11" s="1"/>
  <c r="E44" i="11"/>
  <c r="D45" i="11"/>
  <c r="H45" i="11" s="1"/>
  <c r="E45" i="11"/>
  <c r="D46" i="11"/>
  <c r="E46" i="11"/>
  <c r="D47" i="11"/>
  <c r="I47" i="11" s="1"/>
  <c r="E47" i="11"/>
  <c r="D48" i="11"/>
  <c r="H48" i="11" s="1"/>
  <c r="E48" i="11"/>
  <c r="D49" i="11"/>
  <c r="H49" i="11" s="1"/>
  <c r="E49" i="11"/>
  <c r="D50" i="11"/>
  <c r="J50" i="11" s="1"/>
  <c r="E50" i="11"/>
  <c r="D51" i="11"/>
  <c r="E51" i="11"/>
  <c r="D52" i="11"/>
  <c r="H52" i="11" s="1"/>
  <c r="E52" i="11"/>
  <c r="F40" i="11"/>
  <c r="F39" i="11"/>
  <c r="F38" i="11"/>
  <c r="F37" i="11"/>
  <c r="F34" i="11"/>
  <c r="F33" i="11"/>
  <c r="F32" i="11"/>
  <c r="F31" i="11"/>
  <c r="F30" i="11"/>
  <c r="F29" i="11"/>
  <c r="F26" i="11"/>
  <c r="F25" i="11"/>
  <c r="F24" i="11"/>
  <c r="F23" i="11"/>
  <c r="F22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D21" i="11"/>
  <c r="J21" i="11" s="1"/>
  <c r="E21" i="11"/>
  <c r="D22" i="11"/>
  <c r="E22" i="11"/>
  <c r="D23" i="11"/>
  <c r="H23" i="11" s="1"/>
  <c r="E23" i="11"/>
  <c r="D24" i="11"/>
  <c r="H24" i="11" s="1"/>
  <c r="E24" i="11"/>
  <c r="D25" i="11"/>
  <c r="J25" i="11" s="1"/>
  <c r="E25" i="11"/>
  <c r="D26" i="11"/>
  <c r="I26" i="11" s="1"/>
  <c r="E26" i="11"/>
  <c r="D27" i="11"/>
  <c r="I27" i="11" s="1"/>
  <c r="E27" i="11"/>
  <c r="D28" i="11"/>
  <c r="H28" i="11" s="1"/>
  <c r="E28" i="11"/>
  <c r="D29" i="11"/>
  <c r="H29" i="11" s="1"/>
  <c r="E29" i="11"/>
  <c r="D30" i="11"/>
  <c r="J30" i="11" s="1"/>
  <c r="E30" i="11"/>
  <c r="D31" i="11"/>
  <c r="E31" i="11"/>
  <c r="D32" i="11"/>
  <c r="H32" i="11" s="1"/>
  <c r="E32" i="11"/>
  <c r="D33" i="11"/>
  <c r="H33" i="11" s="1"/>
  <c r="E33" i="11"/>
  <c r="D34" i="11"/>
  <c r="E34" i="11"/>
  <c r="D35" i="11"/>
  <c r="I35" i="11" s="1"/>
  <c r="E35" i="11"/>
  <c r="D36" i="11"/>
  <c r="H36" i="11" s="1"/>
  <c r="E36" i="11"/>
  <c r="D37" i="11"/>
  <c r="H37" i="11" s="1"/>
  <c r="E37" i="11"/>
  <c r="D38" i="11"/>
  <c r="J38" i="11" s="1"/>
  <c r="E38" i="11"/>
  <c r="D39" i="11"/>
  <c r="E39" i="11"/>
  <c r="D40" i="11"/>
  <c r="H40" i="11" s="1"/>
  <c r="E40" i="11"/>
  <c r="G76" i="11"/>
  <c r="D76" i="11"/>
  <c r="E76" i="11"/>
  <c r="G17" i="11"/>
  <c r="D17" i="11"/>
  <c r="H17" i="11" s="1"/>
  <c r="E17" i="11"/>
  <c r="G93" i="11"/>
  <c r="D93" i="11"/>
  <c r="H93" i="11" s="1"/>
  <c r="E93" i="11"/>
  <c r="D91" i="11"/>
  <c r="E91" i="11"/>
  <c r="D92" i="11"/>
  <c r="E92" i="11"/>
  <c r="D94" i="11"/>
  <c r="E94" i="11"/>
  <c r="D79" i="11"/>
  <c r="E79" i="11"/>
  <c r="D80" i="11"/>
  <c r="E80" i="11"/>
  <c r="D81" i="11"/>
  <c r="E81" i="11"/>
  <c r="D82" i="11"/>
  <c r="E82" i="11"/>
  <c r="D83" i="11"/>
  <c r="E83" i="11"/>
  <c r="G53" i="11"/>
  <c r="D53" i="11"/>
  <c r="J53" i="11" s="1"/>
  <c r="E53" i="11"/>
  <c r="D16" i="11"/>
  <c r="E16" i="11"/>
  <c r="D19" i="11"/>
  <c r="E19" i="11"/>
  <c r="K18" i="11" l="1"/>
  <c r="J75" i="11"/>
  <c r="I75" i="11"/>
  <c r="I86" i="11"/>
  <c r="H76" i="11"/>
  <c r="I85" i="11"/>
  <c r="I89" i="11"/>
  <c r="J87" i="11"/>
  <c r="H85" i="11"/>
  <c r="H89" i="11"/>
  <c r="H90" i="11"/>
  <c r="J88" i="11"/>
  <c r="H86" i="11"/>
  <c r="J84" i="11"/>
  <c r="I88" i="11"/>
  <c r="I84" i="11"/>
  <c r="J90" i="11"/>
  <c r="I87" i="11"/>
  <c r="J86" i="11"/>
  <c r="J46" i="11"/>
  <c r="I51" i="11"/>
  <c r="J34" i="11"/>
  <c r="I46" i="11"/>
  <c r="I42" i="11"/>
  <c r="I43" i="11"/>
  <c r="I50" i="11"/>
  <c r="H51" i="11"/>
  <c r="J49" i="11"/>
  <c r="H47" i="11"/>
  <c r="J45" i="11"/>
  <c r="H43" i="11"/>
  <c r="J41" i="11"/>
  <c r="J52" i="11"/>
  <c r="H50" i="11"/>
  <c r="K50" i="11" s="1"/>
  <c r="I49" i="11"/>
  <c r="J48" i="11"/>
  <c r="H46" i="11"/>
  <c r="I45" i="11"/>
  <c r="K45" i="11" s="1"/>
  <c r="J44" i="11"/>
  <c r="H42" i="11"/>
  <c r="I41" i="11"/>
  <c r="I52" i="11"/>
  <c r="J51" i="11"/>
  <c r="I48" i="11"/>
  <c r="J47" i="11"/>
  <c r="I44" i="11"/>
  <c r="J43" i="11"/>
  <c r="I39" i="11"/>
  <c r="I31" i="11"/>
  <c r="I22" i="11"/>
  <c r="I25" i="11"/>
  <c r="I21" i="11"/>
  <c r="H39" i="11"/>
  <c r="I38" i="11"/>
  <c r="J37" i="11"/>
  <c r="H35" i="11"/>
  <c r="I34" i="11"/>
  <c r="J33" i="11"/>
  <c r="H31" i="11"/>
  <c r="I30" i="11"/>
  <c r="J29" i="11"/>
  <c r="H27" i="11"/>
  <c r="H26" i="11"/>
  <c r="J24" i="11"/>
  <c r="H22" i="11"/>
  <c r="J40" i="11"/>
  <c r="H38" i="11"/>
  <c r="I37" i="11"/>
  <c r="J36" i="11"/>
  <c r="H34" i="11"/>
  <c r="I33" i="11"/>
  <c r="J32" i="11"/>
  <c r="H30" i="11"/>
  <c r="I29" i="11"/>
  <c r="J28" i="11"/>
  <c r="H25" i="11"/>
  <c r="I24" i="11"/>
  <c r="J23" i="11"/>
  <c r="H21" i="11"/>
  <c r="I40" i="11"/>
  <c r="J39" i="11"/>
  <c r="I36" i="11"/>
  <c r="J35" i="11"/>
  <c r="I32" i="11"/>
  <c r="J31" i="11"/>
  <c r="I28" i="11"/>
  <c r="J27" i="11"/>
  <c r="J26" i="11"/>
  <c r="I23" i="11"/>
  <c r="J22" i="11"/>
  <c r="J76" i="11"/>
  <c r="I76" i="11"/>
  <c r="J17" i="11"/>
  <c r="I17" i="11"/>
  <c r="J93" i="11"/>
  <c r="I93" i="11"/>
  <c r="I53" i="11"/>
  <c r="H53" i="11"/>
  <c r="K75" i="11" l="1"/>
  <c r="K89" i="11"/>
  <c r="K85" i="11"/>
  <c r="K87" i="11"/>
  <c r="K41" i="11"/>
  <c r="K88" i="11"/>
  <c r="K84" i="11"/>
  <c r="K86" i="11"/>
  <c r="K23" i="11"/>
  <c r="K32" i="11"/>
  <c r="K90" i="11"/>
  <c r="K46" i="11"/>
  <c r="K49" i="11"/>
  <c r="K52" i="11"/>
  <c r="K44" i="11"/>
  <c r="K42" i="11"/>
  <c r="K48" i="11"/>
  <c r="K21" i="11"/>
  <c r="K47" i="11"/>
  <c r="K43" i="11"/>
  <c r="K51" i="11"/>
  <c r="K37" i="11"/>
  <c r="K24" i="11"/>
  <c r="K33" i="11"/>
  <c r="K36" i="11"/>
  <c r="K25" i="11"/>
  <c r="K30" i="11"/>
  <c r="K28" i="11"/>
  <c r="K29" i="11"/>
  <c r="K40" i="11"/>
  <c r="K34" i="11"/>
  <c r="K26" i="11"/>
  <c r="K27" i="11"/>
  <c r="K76" i="11"/>
  <c r="K38" i="11"/>
  <c r="K39" i="11"/>
  <c r="K22" i="11"/>
  <c r="K35" i="11"/>
  <c r="K31" i="11"/>
  <c r="K17" i="11"/>
  <c r="K93" i="11"/>
  <c r="K53" i="11"/>
  <c r="D77" i="11" l="1"/>
  <c r="H77" i="11" s="1"/>
  <c r="D78" i="11"/>
  <c r="H78" i="11" s="1"/>
  <c r="H79" i="11"/>
  <c r="I79" i="11"/>
  <c r="J79" i="11"/>
  <c r="G80" i="11"/>
  <c r="H80" i="11" s="1"/>
  <c r="I80" i="11"/>
  <c r="J80" i="11"/>
  <c r="G81" i="11"/>
  <c r="H81" i="11" s="1"/>
  <c r="I81" i="11"/>
  <c r="J81" i="11"/>
  <c r="G82" i="11"/>
  <c r="H82" i="11" s="1"/>
  <c r="J82" i="11"/>
  <c r="G83" i="11"/>
  <c r="J83" i="11" s="1"/>
  <c r="H91" i="11"/>
  <c r="G91" i="11"/>
  <c r="I91" i="11" s="1"/>
  <c r="J91" i="11"/>
  <c r="H92" i="11"/>
  <c r="I92" i="11"/>
  <c r="G92" i="11"/>
  <c r="J92" i="11" s="1"/>
  <c r="H94" i="11"/>
  <c r="D95" i="11"/>
  <c r="H95" i="11" s="1"/>
  <c r="G77" i="11"/>
  <c r="G78" i="11"/>
  <c r="G79" i="11"/>
  <c r="G94" i="11"/>
  <c r="D15" i="11"/>
  <c r="H15" i="11" s="1"/>
  <c r="H16" i="11"/>
  <c r="H19" i="11"/>
  <c r="D20" i="11"/>
  <c r="H20" i="11" s="1"/>
  <c r="G15" i="11"/>
  <c r="G16" i="11"/>
  <c r="G19" i="11"/>
  <c r="G20" i="11"/>
  <c r="D8" i="59"/>
  <c r="M96" i="11"/>
  <c r="O229" i="10"/>
  <c r="P229" i="10"/>
  <c r="K229" i="10"/>
  <c r="M229" i="10"/>
  <c r="J229" i="10"/>
  <c r="I229" i="10"/>
  <c r="O280" i="10"/>
  <c r="P280" i="10"/>
  <c r="K280" i="10"/>
  <c r="J280" i="10"/>
  <c r="L280" i="10"/>
  <c r="I280" i="10"/>
  <c r="O217" i="10"/>
  <c r="P217" i="10"/>
  <c r="K217" i="10"/>
  <c r="M217" i="10"/>
  <c r="J217" i="10"/>
  <c r="I217" i="10"/>
  <c r="G74" i="11"/>
  <c r="E74" i="11"/>
  <c r="D74" i="11"/>
  <c r="J74" i="11" s="1"/>
  <c r="G73" i="11"/>
  <c r="E73" i="11"/>
  <c r="D73" i="11"/>
  <c r="J73" i="11" s="1"/>
  <c r="G72" i="11"/>
  <c r="E72" i="11"/>
  <c r="D72" i="11"/>
  <c r="I72" i="11" s="1"/>
  <c r="G71" i="11"/>
  <c r="E71" i="11"/>
  <c r="D71" i="11"/>
  <c r="H71" i="11" s="1"/>
  <c r="G70" i="11"/>
  <c r="E70" i="11"/>
  <c r="D70" i="11"/>
  <c r="H70" i="11" s="1"/>
  <c r="G69" i="11"/>
  <c r="E69" i="11"/>
  <c r="D69" i="11"/>
  <c r="J69" i="11" s="1"/>
  <c r="G68" i="11"/>
  <c r="E68" i="11"/>
  <c r="D68" i="11"/>
  <c r="J68" i="11" s="1"/>
  <c r="G67" i="11"/>
  <c r="E67" i="11"/>
  <c r="D67" i="11"/>
  <c r="J67" i="11" s="1"/>
  <c r="G66" i="11"/>
  <c r="E66" i="11"/>
  <c r="D66" i="11"/>
  <c r="J66" i="11" s="1"/>
  <c r="G65" i="11"/>
  <c r="E65" i="11"/>
  <c r="D65" i="11"/>
  <c r="J65" i="11" s="1"/>
  <c r="G64" i="11"/>
  <c r="E64" i="11"/>
  <c r="D64" i="11"/>
  <c r="I64" i="11" s="1"/>
  <c r="G63" i="11"/>
  <c r="E63" i="11"/>
  <c r="D63" i="11"/>
  <c r="H63" i="11" s="1"/>
  <c r="G62" i="11"/>
  <c r="E62" i="11"/>
  <c r="D62" i="11"/>
  <c r="H62" i="11" s="1"/>
  <c r="G61" i="11"/>
  <c r="E61" i="11"/>
  <c r="D61" i="11"/>
  <c r="J61" i="11" s="1"/>
  <c r="G60" i="11"/>
  <c r="E60" i="11"/>
  <c r="D60" i="11"/>
  <c r="J60" i="11" s="1"/>
  <c r="G59" i="11"/>
  <c r="E59" i="11"/>
  <c r="D59" i="11"/>
  <c r="H59" i="11" s="1"/>
  <c r="G58" i="11"/>
  <c r="E58" i="11"/>
  <c r="D58" i="11"/>
  <c r="J58" i="11" s="1"/>
  <c r="G57" i="11"/>
  <c r="E57" i="11"/>
  <c r="D57" i="11"/>
  <c r="J57" i="11" s="1"/>
  <c r="G56" i="11"/>
  <c r="E56" i="11"/>
  <c r="D56" i="11"/>
  <c r="I56" i="11" s="1"/>
  <c r="G55" i="11"/>
  <c r="E55" i="11"/>
  <c r="D55" i="11"/>
  <c r="H55" i="11" s="1"/>
  <c r="G54" i="11"/>
  <c r="E54" i="11"/>
  <c r="D54" i="11"/>
  <c r="H54" i="11" s="1"/>
  <c r="M53" i="11"/>
  <c r="D14" i="59"/>
  <c r="F3" i="54" s="1"/>
  <c r="E20" i="11"/>
  <c r="E15" i="11"/>
  <c r="A15" i="11"/>
  <c r="D19" i="59"/>
  <c r="D8" i="60" s="1"/>
  <c r="D18" i="59"/>
  <c r="D7" i="60" s="1"/>
  <c r="D9" i="60" s="1"/>
  <c r="M16" i="11"/>
  <c r="E77" i="11"/>
  <c r="E78" i="11"/>
  <c r="M77" i="11"/>
  <c r="E95" i="11"/>
  <c r="G95" i="11"/>
  <c r="D14" i="11"/>
  <c r="H14" i="11" s="1"/>
  <c r="E14" i="11"/>
  <c r="G14" i="11"/>
  <c r="K19" i="60"/>
  <c r="D19" i="60"/>
  <c r="I1489" i="10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/>
  <c r="K6" i="60"/>
  <c r="K18" i="60"/>
  <c r="K17" i="60"/>
  <c r="D17" i="60"/>
  <c r="D18" i="60"/>
  <c r="D20" i="60" s="1"/>
  <c r="D6" i="60"/>
  <c r="D96" i="1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E96" i="11"/>
  <c r="D97" i="11"/>
  <c r="H97" i="11" s="1"/>
  <c r="E97" i="11"/>
  <c r="O107" i="10"/>
  <c r="P107" i="10"/>
  <c r="J107" i="10"/>
  <c r="L107" i="10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L80" i="10"/>
  <c r="N80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P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L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K48" i="10"/>
  <c r="M48" i="10"/>
  <c r="O48" i="10"/>
  <c r="P48" i="10"/>
  <c r="J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K64" i="10"/>
  <c r="M64" i="10"/>
  <c r="O64" i="10"/>
  <c r="P64" i="10"/>
  <c r="J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L91" i="10"/>
  <c r="N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O99" i="10"/>
  <c r="P99" i="10"/>
  <c r="J100" i="10"/>
  <c r="O100" i="10"/>
  <c r="P100" i="10"/>
  <c r="J101" i="10"/>
  <c r="O101" i="10"/>
  <c r="P101" i="10"/>
  <c r="J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L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N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L141" i="10"/>
  <c r="N141" i="10"/>
  <c r="K141" i="10"/>
  <c r="O141" i="10"/>
  <c r="P141" i="10"/>
  <c r="J142" i="10"/>
  <c r="K142" i="10"/>
  <c r="M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L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P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P192" i="10"/>
  <c r="J193" i="10"/>
  <c r="K193" i="10"/>
  <c r="O193" i="10"/>
  <c r="J194" i="10"/>
  <c r="L194" i="10"/>
  <c r="K194" i="10"/>
  <c r="O194" i="10"/>
  <c r="J195" i="10"/>
  <c r="L195" i="10"/>
  <c r="K195" i="10"/>
  <c r="O195" i="10"/>
  <c r="P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M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L202" i="10"/>
  <c r="K202" i="10"/>
  <c r="O202" i="10"/>
  <c r="J203" i="10"/>
  <c r="K203" i="10"/>
  <c r="O203" i="10"/>
  <c r="P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M222" i="10"/>
  <c r="O222" i="10"/>
  <c r="P222" i="10"/>
  <c r="J223" i="10"/>
  <c r="K223" i="10"/>
  <c r="M223" i="10"/>
  <c r="O223" i="10"/>
  <c r="P223" i="10"/>
  <c r="J224" i="10"/>
  <c r="K224" i="10"/>
  <c r="O224" i="10"/>
  <c r="P224" i="10"/>
  <c r="J225" i="10"/>
  <c r="K225" i="10"/>
  <c r="M225" i="10"/>
  <c r="O225" i="10"/>
  <c r="P225" i="10"/>
  <c r="J226" i="10"/>
  <c r="K226" i="10"/>
  <c r="O226" i="10"/>
  <c r="P226" i="10"/>
  <c r="J227" i="10"/>
  <c r="K227" i="10"/>
  <c r="M227" i="10"/>
  <c r="O227" i="10"/>
  <c r="P227" i="10"/>
  <c r="J228" i="10"/>
  <c r="K228" i="10"/>
  <c r="O228" i="10"/>
  <c r="P228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K238" i="10"/>
  <c r="O238" i="10"/>
  <c r="P238" i="10"/>
  <c r="J239" i="10"/>
  <c r="K239" i="10"/>
  <c r="O239" i="10"/>
  <c r="P239" i="10"/>
  <c r="J240" i="10"/>
  <c r="L240" i="10"/>
  <c r="K240" i="10"/>
  <c r="O240" i="10"/>
  <c r="P240" i="10"/>
  <c r="J241" i="10"/>
  <c r="L241" i="10"/>
  <c r="K241" i="10"/>
  <c r="O241" i="10"/>
  <c r="P241" i="10"/>
  <c r="J242" i="10"/>
  <c r="K242" i="10"/>
  <c r="O242" i="10"/>
  <c r="P242" i="10"/>
  <c r="J243" i="10"/>
  <c r="L243" i="10"/>
  <c r="K243" i="10"/>
  <c r="O243" i="10"/>
  <c r="P243" i="10"/>
  <c r="J244" i="10"/>
  <c r="L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L249" i="10"/>
  <c r="K249" i="10"/>
  <c r="O249" i="10"/>
  <c r="P249" i="10"/>
  <c r="J250" i="10"/>
  <c r="K250" i="10"/>
  <c r="O250" i="10"/>
  <c r="P250" i="10"/>
  <c r="J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L256" i="10"/>
  <c r="K256" i="10"/>
  <c r="O256" i="10"/>
  <c r="P256" i="10"/>
  <c r="J257" i="10"/>
  <c r="L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M261" i="10"/>
  <c r="O261" i="10"/>
  <c r="P261" i="10"/>
  <c r="J262" i="10"/>
  <c r="K262" i="10"/>
  <c r="O262" i="10"/>
  <c r="P262" i="10"/>
  <c r="J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L268" i="10"/>
  <c r="K268" i="10"/>
  <c r="O268" i="10"/>
  <c r="P268" i="10"/>
  <c r="J269" i="10"/>
  <c r="L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K272" i="10"/>
  <c r="O272" i="10"/>
  <c r="P272" i="10"/>
  <c r="J273" i="10"/>
  <c r="K273" i="10"/>
  <c r="O273" i="10"/>
  <c r="P273" i="10"/>
  <c r="J274" i="10"/>
  <c r="K274" i="10"/>
  <c r="M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J279" i="10"/>
  <c r="L279" i="10"/>
  <c r="K279" i="10"/>
  <c r="O279" i="10"/>
  <c r="P279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M363" i="10"/>
  <c r="N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M601" i="10"/>
  <c r="N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O633" i="10"/>
  <c r="P633" i="10"/>
  <c r="J634" i="10"/>
  <c r="L634" i="10"/>
  <c r="K634" i="10"/>
  <c r="O634" i="10"/>
  <c r="P634" i="10"/>
  <c r="J635" i="10"/>
  <c r="L635" i="10"/>
  <c r="K635" i="10"/>
  <c r="O635" i="10"/>
  <c r="P635" i="10"/>
  <c r="J636" i="10"/>
  <c r="L636" i="10"/>
  <c r="N636" i="10"/>
  <c r="K636" i="10"/>
  <c r="M636" i="10"/>
  <c r="O636" i="10"/>
  <c r="P636" i="10"/>
  <c r="J637" i="10"/>
  <c r="L637" i="10"/>
  <c r="K637" i="10"/>
  <c r="M637" i="10"/>
  <c r="O637" i="10"/>
  <c r="P637" i="10"/>
  <c r="J638" i="10"/>
  <c r="L638" i="10"/>
  <c r="K638" i="10"/>
  <c r="M638" i="10"/>
  <c r="O638" i="10"/>
  <c r="P638" i="10"/>
  <c r="J639" i="10"/>
  <c r="L639" i="10"/>
  <c r="K639" i="10"/>
  <c r="M639" i="10"/>
  <c r="O639" i="10"/>
  <c r="P639" i="10"/>
  <c r="J640" i="10"/>
  <c r="L640" i="10"/>
  <c r="K640" i="10"/>
  <c r="M640" i="10"/>
  <c r="O640" i="10"/>
  <c r="P640" i="10"/>
  <c r="J641" i="10"/>
  <c r="L641" i="10"/>
  <c r="K641" i="10"/>
  <c r="M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O645" i="10"/>
  <c r="P645" i="10"/>
  <c r="J646" i="10"/>
  <c r="L646" i="10"/>
  <c r="K646" i="10"/>
  <c r="O646" i="10"/>
  <c r="P646" i="10"/>
  <c r="J647" i="10"/>
  <c r="L647" i="10"/>
  <c r="K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N652" i="10"/>
  <c r="K652" i="10"/>
  <c r="M652" i="10"/>
  <c r="O652" i="10"/>
  <c r="P652" i="10"/>
  <c r="J653" i="10"/>
  <c r="L653" i="10"/>
  <c r="K653" i="10"/>
  <c r="M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O659" i="10"/>
  <c r="P659" i="10"/>
  <c r="J660" i="10"/>
  <c r="L660" i="10"/>
  <c r="N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N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N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N672" i="10"/>
  <c r="K672" i="10"/>
  <c r="M672" i="10"/>
  <c r="O672" i="10"/>
  <c r="P672" i="10"/>
  <c r="J673" i="10"/>
  <c r="L673" i="10"/>
  <c r="K673" i="10"/>
  <c r="M673" i="10"/>
  <c r="N673" i="10"/>
  <c r="O673" i="10"/>
  <c r="P673" i="10"/>
  <c r="J674" i="10"/>
  <c r="L674" i="10"/>
  <c r="K674" i="10"/>
  <c r="M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N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N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O706" i="10"/>
  <c r="P706" i="10"/>
  <c r="J707" i="10"/>
  <c r="L707" i="10"/>
  <c r="K707" i="10"/>
  <c r="M707" i="10"/>
  <c r="O707" i="10"/>
  <c r="P707" i="10"/>
  <c r="J708" i="10"/>
  <c r="L708" i="10"/>
  <c r="N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N721" i="10"/>
  <c r="O721" i="10"/>
  <c r="P721" i="10"/>
  <c r="J722" i="10"/>
  <c r="L722" i="10"/>
  <c r="K722" i="10"/>
  <c r="M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N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N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N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N776" i="10"/>
  <c r="K776" i="10"/>
  <c r="M776" i="10"/>
  <c r="O776" i="10"/>
  <c r="P776" i="10"/>
  <c r="J777" i="10"/>
  <c r="L777" i="10"/>
  <c r="K777" i="10"/>
  <c r="M777" i="10"/>
  <c r="N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N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N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N788" i="10"/>
  <c r="K788" i="10"/>
  <c r="M788" i="10"/>
  <c r="O788" i="10"/>
  <c r="P788" i="10"/>
  <c r="J789" i="10"/>
  <c r="L789" i="10"/>
  <c r="K789" i="10"/>
  <c r="M789" i="10"/>
  <c r="N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N793" i="10"/>
  <c r="O793" i="10"/>
  <c r="P793" i="10"/>
  <c r="J794" i="10"/>
  <c r="L794" i="10"/>
  <c r="N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O799" i="10"/>
  <c r="P799" i="10"/>
  <c r="J800" i="10"/>
  <c r="L800" i="10"/>
  <c r="N800" i="10"/>
  <c r="K800" i="10"/>
  <c r="M800" i="10"/>
  <c r="O800" i="10"/>
  <c r="P800" i="10"/>
  <c r="J801" i="10"/>
  <c r="L801" i="10"/>
  <c r="K801" i="10"/>
  <c r="M801" i="10"/>
  <c r="N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N805" i="10"/>
  <c r="O805" i="10"/>
  <c r="P805" i="10"/>
  <c r="J806" i="10"/>
  <c r="L806" i="10"/>
  <c r="K806" i="10"/>
  <c r="M806" i="10"/>
  <c r="O806" i="10"/>
  <c r="P806" i="10"/>
  <c r="J807" i="10"/>
  <c r="L807" i="10"/>
  <c r="K807" i="10"/>
  <c r="M807" i="10"/>
  <c r="O807" i="10"/>
  <c r="P807" i="10"/>
  <c r="J808" i="10"/>
  <c r="L808" i="10"/>
  <c r="N808" i="10"/>
  <c r="K808" i="10"/>
  <c r="M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N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N820" i="10"/>
  <c r="K820" i="10"/>
  <c r="M820" i="10"/>
  <c r="O820" i="10"/>
  <c r="P820" i="10"/>
  <c r="J821" i="10"/>
  <c r="L821" i="10"/>
  <c r="K821" i="10"/>
  <c r="M821" i="10"/>
  <c r="N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O823" i="10"/>
  <c r="P823" i="10"/>
  <c r="J824" i="10"/>
  <c r="L824" i="10"/>
  <c r="N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N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N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N845" i="10"/>
  <c r="O845" i="10"/>
  <c r="P845" i="10"/>
  <c r="J846" i="10"/>
  <c r="L846" i="10"/>
  <c r="K846" i="10"/>
  <c r="M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N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N872" i="10"/>
  <c r="K872" i="10"/>
  <c r="M872" i="10"/>
  <c r="O872" i="10"/>
  <c r="P872" i="10"/>
  <c r="J873" i="10"/>
  <c r="L873" i="10"/>
  <c r="K873" i="10"/>
  <c r="M873" i="10"/>
  <c r="N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N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N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O888" i="10"/>
  <c r="P888" i="10"/>
  <c r="J889" i="10"/>
  <c r="L889" i="10"/>
  <c r="K889" i="10"/>
  <c r="M889" i="10"/>
  <c r="N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N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N896" i="10"/>
  <c r="K896" i="10"/>
  <c r="M896" i="10"/>
  <c r="O896" i="10"/>
  <c r="P896" i="10"/>
  <c r="J897" i="10"/>
  <c r="L897" i="10"/>
  <c r="K897" i="10"/>
  <c r="M897" i="10"/>
  <c r="N897" i="10"/>
  <c r="O897" i="10"/>
  <c r="P897" i="10"/>
  <c r="J898" i="10"/>
  <c r="L898" i="10"/>
  <c r="K898" i="10"/>
  <c r="M898" i="10"/>
  <c r="O898" i="10"/>
  <c r="P898" i="10"/>
  <c r="J899" i="10"/>
  <c r="L899" i="10"/>
  <c r="K899" i="10"/>
  <c r="M899" i="10"/>
  <c r="O899" i="10"/>
  <c r="P899" i="10"/>
  <c r="J900" i="10"/>
  <c r="L900" i="10"/>
  <c r="N900" i="10"/>
  <c r="K900" i="10"/>
  <c r="M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N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O907" i="10"/>
  <c r="P907" i="10"/>
  <c r="J908" i="10"/>
  <c r="L908" i="10"/>
  <c r="N908" i="10"/>
  <c r="K908" i="10"/>
  <c r="M908" i="10"/>
  <c r="O908" i="10"/>
  <c r="P908" i="10"/>
  <c r="J909" i="10"/>
  <c r="L909" i="10"/>
  <c r="K909" i="10"/>
  <c r="M909" i="10"/>
  <c r="N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N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N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N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N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N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N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N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N964" i="10"/>
  <c r="K964" i="10"/>
  <c r="M964" i="10"/>
  <c r="O964" i="10"/>
  <c r="P964" i="10"/>
  <c r="J965" i="10"/>
  <c r="L965" i="10"/>
  <c r="K965" i="10"/>
  <c r="M965" i="10"/>
  <c r="N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N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N972" i="10"/>
  <c r="K972" i="10"/>
  <c r="M972" i="10"/>
  <c r="O972" i="10"/>
  <c r="P972" i="10"/>
  <c r="J973" i="10"/>
  <c r="L973" i="10"/>
  <c r="K973" i="10"/>
  <c r="M973" i="10"/>
  <c r="N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N992" i="10"/>
  <c r="K992" i="10"/>
  <c r="M992" i="10"/>
  <c r="O992" i="10"/>
  <c r="P992" i="10"/>
  <c r="J993" i="10"/>
  <c r="L993" i="10"/>
  <c r="K993" i="10"/>
  <c r="M993" i="10"/>
  <c r="N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N996" i="10"/>
  <c r="K996" i="10"/>
  <c r="M996" i="10"/>
  <c r="O996" i="10"/>
  <c r="P996" i="10"/>
  <c r="J997" i="10"/>
  <c r="L997" i="10"/>
  <c r="K997" i="10"/>
  <c r="M997" i="10"/>
  <c r="N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N1000" i="10"/>
  <c r="K1000" i="10"/>
  <c r="M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N1004" i="10"/>
  <c r="K1004" i="10"/>
  <c r="M1004" i="10"/>
  <c r="O1004" i="10"/>
  <c r="P1004" i="10"/>
  <c r="J1005" i="10"/>
  <c r="L1005" i="10"/>
  <c r="K1005" i="10"/>
  <c r="M1005" i="10"/>
  <c r="N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O1007" i="10"/>
  <c r="P1007" i="10"/>
  <c r="J1008" i="10"/>
  <c r="L1008" i="10"/>
  <c r="N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N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N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N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N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N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N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N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O1083" i="10"/>
  <c r="P1083" i="10"/>
  <c r="J1084" i="10"/>
  <c r="L1084" i="10"/>
  <c r="N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N1088" i="10"/>
  <c r="K1088" i="10"/>
  <c r="M1088" i="10"/>
  <c r="O1088" i="10"/>
  <c r="P1088" i="10"/>
  <c r="J1089" i="10"/>
  <c r="L1089" i="10"/>
  <c r="K1089" i="10"/>
  <c r="M1089" i="10"/>
  <c r="N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O1093" i="10"/>
  <c r="P1093" i="10"/>
  <c r="J1094" i="10"/>
  <c r="L1094" i="10"/>
  <c r="K1094" i="10"/>
  <c r="M1094" i="10"/>
  <c r="N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N1101" i="10"/>
  <c r="K1101" i="10"/>
  <c r="M1101" i="10"/>
  <c r="O1101" i="10"/>
  <c r="P1101" i="10"/>
  <c r="J1102" i="10"/>
  <c r="L1102" i="10"/>
  <c r="K1102" i="10"/>
  <c r="M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O1106" i="10"/>
  <c r="P1106" i="10"/>
  <c r="J1107" i="10"/>
  <c r="L1107" i="10"/>
  <c r="K1107" i="10"/>
  <c r="M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N1118" i="10"/>
  <c r="O1118" i="10"/>
  <c r="P1118" i="10"/>
  <c r="J1119" i="10"/>
  <c r="L1119" i="10"/>
  <c r="K1119" i="10"/>
  <c r="M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N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N1131" i="10"/>
  <c r="O1131" i="10"/>
  <c r="P1131" i="10"/>
  <c r="J1132" i="10"/>
  <c r="L1132" i="10"/>
  <c r="K1132" i="10"/>
  <c r="M1132" i="10"/>
  <c r="O1132" i="10"/>
  <c r="P1132" i="10"/>
  <c r="J1133" i="10"/>
  <c r="L1133" i="10"/>
  <c r="N1133" i="10"/>
  <c r="K1133" i="10"/>
  <c r="M1133" i="10"/>
  <c r="O1133" i="10"/>
  <c r="P1133" i="10"/>
  <c r="J1134" i="10"/>
  <c r="L1134" i="10"/>
  <c r="N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N1138" i="10"/>
  <c r="K1138" i="10"/>
  <c r="M1138" i="10"/>
  <c r="O1138" i="10"/>
  <c r="P1138" i="10"/>
  <c r="J1139" i="10"/>
  <c r="L1139" i="10"/>
  <c r="K1139" i="10"/>
  <c r="M1139" i="10"/>
  <c r="N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N1142" i="10"/>
  <c r="K1142" i="10"/>
  <c r="M1142" i="10"/>
  <c r="O1142" i="10"/>
  <c r="P1142" i="10"/>
  <c r="J1143" i="10"/>
  <c r="L1143" i="10"/>
  <c r="K1143" i="10"/>
  <c r="M1143" i="10"/>
  <c r="N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N1146" i="10"/>
  <c r="K1146" i="10"/>
  <c r="M1146" i="10"/>
  <c r="O1146" i="10"/>
  <c r="P1146" i="10"/>
  <c r="J1147" i="10"/>
  <c r="L1147" i="10"/>
  <c r="K1147" i="10"/>
  <c r="M1147" i="10"/>
  <c r="N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N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N1167" i="10"/>
  <c r="K1167" i="10"/>
  <c r="M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N1177" i="10"/>
  <c r="O1177" i="10"/>
  <c r="P1177" i="10"/>
  <c r="J1178" i="10"/>
  <c r="L1178" i="10"/>
  <c r="N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O1212" i="10"/>
  <c r="P1212" i="10"/>
  <c r="J1213" i="10"/>
  <c r="L1213" i="10"/>
  <c r="K1213" i="10"/>
  <c r="M1213" i="10"/>
  <c r="N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O1215" i="10"/>
  <c r="P1215" i="10"/>
  <c r="J1216" i="10"/>
  <c r="L1216" i="10"/>
  <c r="N1216" i="10"/>
  <c r="K1216" i="10"/>
  <c r="M1216" i="10"/>
  <c r="O1216" i="10"/>
  <c r="P1216" i="10"/>
  <c r="J1217" i="10"/>
  <c r="L1217" i="10"/>
  <c r="K1217" i="10"/>
  <c r="M1217" i="10"/>
  <c r="N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O1220" i="10"/>
  <c r="P1220" i="10"/>
  <c r="J1221" i="10"/>
  <c r="L1221" i="10"/>
  <c r="K1221" i="10"/>
  <c r="M1221" i="10"/>
  <c r="N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O1230" i="10"/>
  <c r="P1230" i="10"/>
  <c r="J1231" i="10"/>
  <c r="L1231" i="10"/>
  <c r="K1231" i="10"/>
  <c r="M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O1234" i="10"/>
  <c r="P1234" i="10"/>
  <c r="J1235" i="10"/>
  <c r="L1235" i="10"/>
  <c r="K1235" i="10"/>
  <c r="M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O1247" i="10"/>
  <c r="P1247" i="10"/>
  <c r="J1248" i="10"/>
  <c r="L1248" i="10"/>
  <c r="K1248" i="10"/>
  <c r="M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N1252" i="10"/>
  <c r="K1252" i="10"/>
  <c r="M1252" i="10"/>
  <c r="O1252" i="10"/>
  <c r="P1252" i="10"/>
  <c r="J1253" i="10"/>
  <c r="L1253" i="10"/>
  <c r="K1253" i="10"/>
  <c r="M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N1260" i="10"/>
  <c r="K1260" i="10"/>
  <c r="M1260" i="10"/>
  <c r="O1260" i="10"/>
  <c r="P1260" i="10"/>
  <c r="J1261" i="10"/>
  <c r="L1261" i="10"/>
  <c r="K1261" i="10"/>
  <c r="M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N1265" i="10"/>
  <c r="O1265" i="10"/>
  <c r="P1265" i="10"/>
  <c r="J1266" i="10"/>
  <c r="L1266" i="10"/>
  <c r="K1266" i="10"/>
  <c r="M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O1290" i="10"/>
  <c r="P1290" i="10"/>
  <c r="J1291" i="10"/>
  <c r="L1291" i="10"/>
  <c r="K1291" i="10"/>
  <c r="M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N1296" i="10"/>
  <c r="K1296" i="10"/>
  <c r="M1296" i="10"/>
  <c r="O1296" i="10"/>
  <c r="P1296" i="10"/>
  <c r="J1297" i="10"/>
  <c r="L1297" i="10"/>
  <c r="K1297" i="10"/>
  <c r="M1297" i="10"/>
  <c r="N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O1300" i="10"/>
  <c r="P1300" i="10"/>
  <c r="J1301" i="10"/>
  <c r="L1301" i="10"/>
  <c r="K1301" i="10"/>
  <c r="M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O1310" i="10"/>
  <c r="P1310" i="10"/>
  <c r="J1311" i="10"/>
  <c r="L1311" i="10"/>
  <c r="K1311" i="10"/>
  <c r="M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O1320" i="10"/>
  <c r="P1320" i="10"/>
  <c r="J1321" i="10"/>
  <c r="L1321" i="10"/>
  <c r="K1321" i="10"/>
  <c r="M1321" i="10"/>
  <c r="N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N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O1334" i="10"/>
  <c r="P1334" i="10"/>
  <c r="J1335" i="10"/>
  <c r="L1335" i="10"/>
  <c r="K1335" i="10"/>
  <c r="M1335" i="10"/>
  <c r="O1335" i="10"/>
  <c r="P1335" i="10"/>
  <c r="J1336" i="10"/>
  <c r="L1336" i="10"/>
  <c r="K1336" i="10"/>
  <c r="M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O1340" i="10"/>
  <c r="P1340" i="10"/>
  <c r="J1341" i="10"/>
  <c r="L1341" i="10"/>
  <c r="K1341" i="10"/>
  <c r="M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O1347" i="10"/>
  <c r="P1347" i="10"/>
  <c r="J1348" i="10"/>
  <c r="L1348" i="10"/>
  <c r="K1348" i="10"/>
  <c r="M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O1353" i="10"/>
  <c r="P1353" i="10"/>
  <c r="J1354" i="10"/>
  <c r="L1354" i="10"/>
  <c r="K1354" i="10"/>
  <c r="M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O1360" i="10"/>
  <c r="P1360" i="10"/>
  <c r="J1361" i="10"/>
  <c r="L1361" i="10"/>
  <c r="K1361" i="10"/>
  <c r="M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N1373" i="10"/>
  <c r="O1373" i="10"/>
  <c r="P1373" i="10"/>
  <c r="J1374" i="10"/>
  <c r="L1374" i="10"/>
  <c r="K1374" i="10"/>
  <c r="M1374" i="10"/>
  <c r="O1374" i="10"/>
  <c r="P1374" i="10"/>
  <c r="J1375" i="10"/>
  <c r="L1375" i="10"/>
  <c r="K1375" i="10"/>
  <c r="M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O1377" i="10"/>
  <c r="P1377" i="10"/>
  <c r="J1378" i="10"/>
  <c r="L1378" i="10"/>
  <c r="N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M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N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M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O1416" i="10"/>
  <c r="P1416" i="10"/>
  <c r="J1417" i="10"/>
  <c r="L1417" i="10"/>
  <c r="K1417" i="10"/>
  <c r="M1417" i="10"/>
  <c r="O1417" i="10"/>
  <c r="P1417" i="10"/>
  <c r="J1418" i="10"/>
  <c r="L1418" i="10"/>
  <c r="K1418" i="10"/>
  <c r="M1418" i="10"/>
  <c r="O1418" i="10"/>
  <c r="P1418" i="10"/>
  <c r="J1419" i="10"/>
  <c r="L1419" i="10"/>
  <c r="K1419" i="10"/>
  <c r="M1419" i="10"/>
  <c r="O1419" i="10"/>
  <c r="P1419" i="10"/>
  <c r="J1420" i="10"/>
  <c r="L1420" i="10"/>
  <c r="K1420" i="10"/>
  <c r="O1420" i="10"/>
  <c r="P1420" i="10"/>
  <c r="J1421" i="10"/>
  <c r="L1421" i="10"/>
  <c r="K1421" i="10"/>
  <c r="O1421" i="10"/>
  <c r="P1421" i="10"/>
  <c r="J1422" i="10"/>
  <c r="L1422" i="10"/>
  <c r="K1422" i="10"/>
  <c r="M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M1431" i="10"/>
  <c r="O1431" i="10"/>
  <c r="P1431" i="10"/>
  <c r="J1432" i="10"/>
  <c r="L1432" i="10"/>
  <c r="K1432" i="10"/>
  <c r="M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M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O1448" i="10"/>
  <c r="P1448" i="10"/>
  <c r="J1449" i="10"/>
  <c r="L1449" i="10"/>
  <c r="K1449" i="10"/>
  <c r="M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M1451" i="10"/>
  <c r="O1451" i="10"/>
  <c r="P1451" i="10"/>
  <c r="J1452" i="10"/>
  <c r="L1452" i="10"/>
  <c r="K1452" i="10"/>
  <c r="M1452" i="10"/>
  <c r="O1452" i="10"/>
  <c r="P1452" i="10"/>
  <c r="J1453" i="10"/>
  <c r="L1453" i="10"/>
  <c r="K1453" i="10"/>
  <c r="M1453" i="10"/>
  <c r="O1453" i="10"/>
  <c r="P1453" i="10"/>
  <c r="J1454" i="10"/>
  <c r="L1454" i="10"/>
  <c r="K1454" i="10"/>
  <c r="M1454" i="10"/>
  <c r="N1454" i="10"/>
  <c r="O1454" i="10"/>
  <c r="P1454" i="10"/>
  <c r="J1455" i="10"/>
  <c r="L1455" i="10"/>
  <c r="K1455" i="10"/>
  <c r="O1455" i="10"/>
  <c r="P1455" i="10"/>
  <c r="J1456" i="10"/>
  <c r="L1456" i="10"/>
  <c r="K1456" i="10"/>
  <c r="O1456" i="10"/>
  <c r="P1456" i="10"/>
  <c r="J1457" i="10"/>
  <c r="L1457" i="10"/>
  <c r="K1457" i="10"/>
  <c r="M1457" i="10"/>
  <c r="O1457" i="10"/>
  <c r="P1457" i="10"/>
  <c r="N1057" i="10"/>
  <c r="N860" i="10"/>
  <c r="N778" i="10"/>
  <c r="N974" i="10"/>
  <c r="N892" i="10"/>
  <c r="N868" i="10"/>
  <c r="N702" i="10"/>
  <c r="N970" i="10"/>
  <c r="N827" i="10"/>
  <c r="N987" i="10"/>
  <c r="N966" i="10"/>
  <c r="N959" i="10"/>
  <c r="N957" i="10"/>
  <c r="N754" i="10"/>
  <c r="N701" i="10"/>
  <c r="N915" i="10"/>
  <c r="N1135" i="10"/>
  <c r="N1023" i="10"/>
  <c r="N961" i="10"/>
  <c r="N931" i="10"/>
  <c r="N866" i="10"/>
  <c r="N858" i="10"/>
  <c r="N834" i="10"/>
  <c r="N818" i="10"/>
  <c r="N667" i="10"/>
  <c r="N925" i="10"/>
  <c r="N879" i="10"/>
  <c r="N871" i="10"/>
  <c r="N648" i="10"/>
  <c r="N967" i="10"/>
  <c r="N944" i="10"/>
  <c r="N943" i="10"/>
  <c r="N980" i="10"/>
  <c r="N848" i="10"/>
  <c r="N899" i="10"/>
  <c r="N883" i="10"/>
  <c r="N859" i="10"/>
  <c r="N823" i="10"/>
  <c r="N715" i="10"/>
  <c r="N696" i="10"/>
  <c r="L207" i="10"/>
  <c r="P184" i="10"/>
  <c r="O7" i="10"/>
  <c r="G9" i="39"/>
  <c r="G6" i="39"/>
  <c r="C2" i="41"/>
  <c r="J7" i="10"/>
  <c r="L112" i="10"/>
  <c r="K7" i="10"/>
  <c r="M7" i="10"/>
  <c r="L172" i="10"/>
  <c r="L201" i="10"/>
  <c r="L177" i="10"/>
  <c r="L171" i="10"/>
  <c r="E36" i="39"/>
  <c r="D36" i="39"/>
  <c r="H36" i="39" s="1"/>
  <c r="G36" i="39"/>
  <c r="J15" i="39"/>
  <c r="I15" i="39"/>
  <c r="H15" i="39"/>
  <c r="G15" i="39"/>
  <c r="J14" i="39"/>
  <c r="I14" i="39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K15" i="29" s="1"/>
  <c r="J15" i="29"/>
  <c r="J14" i="29"/>
  <c r="I14" i="29"/>
  <c r="H14" i="29"/>
  <c r="K14" i="29" s="1"/>
  <c r="G14" i="29"/>
  <c r="G15" i="29"/>
  <c r="C2" i="29"/>
  <c r="N1467" i="10"/>
  <c r="N1466" i="10"/>
  <c r="G97" i="11"/>
  <c r="I14" i="10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I37" i="10"/>
  <c r="I117" i="10"/>
  <c r="I140" i="10"/>
  <c r="I157" i="10"/>
  <c r="I176" i="10"/>
  <c r="I194" i="10"/>
  <c r="I197" i="10"/>
  <c r="I216" i="10"/>
  <c r="I234" i="10"/>
  <c r="I251" i="10"/>
  <c r="I273" i="10"/>
  <c r="I296" i="10"/>
  <c r="I316" i="10"/>
  <c r="I340" i="10"/>
  <c r="I360" i="10"/>
  <c r="I380" i="10"/>
  <c r="I405" i="10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I847" i="10"/>
  <c r="I874" i="10"/>
  <c r="I889" i="10"/>
  <c r="I921" i="10"/>
  <c r="I963" i="10"/>
  <c r="I997" i="10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I12" i="10"/>
  <c r="I36" i="10"/>
  <c r="I103" i="10"/>
  <c r="I134" i="10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I248" i="10"/>
  <c r="I265" i="10"/>
  <c r="I291" i="10"/>
  <c r="I312" i="10"/>
  <c r="I332" i="10"/>
  <c r="I356" i="10"/>
  <c r="I376" i="10"/>
  <c r="I397" i="10"/>
  <c r="I421" i="10"/>
  <c r="I441" i="10"/>
  <c r="I461" i="10"/>
  <c r="I485" i="10"/>
  <c r="I505" i="10"/>
  <c r="I525" i="10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I956" i="10"/>
  <c r="I1002" i="10"/>
  <c r="I1043" i="10"/>
  <c r="I32" i="10"/>
  <c r="I130" i="10"/>
  <c r="I181" i="10"/>
  <c r="I213" i="10"/>
  <c r="I262" i="10"/>
  <c r="I323" i="10"/>
  <c r="I377" i="10"/>
  <c r="I436" i="10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I470" i="10"/>
  <c r="I534" i="10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I294" i="10"/>
  <c r="I347" i="10"/>
  <c r="I418" i="10"/>
  <c r="I26" i="10"/>
  <c r="I115" i="10"/>
  <c r="I173" i="10"/>
  <c r="I311" i="10"/>
  <c r="I370" i="10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96" i="1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104" i="11"/>
  <c r="I1223" i="10"/>
  <c r="I1222" i="10"/>
  <c r="I9" i="10"/>
  <c r="P191" i="10"/>
  <c r="P189" i="10"/>
  <c r="P193" i="10"/>
  <c r="P190" i="10"/>
  <c r="P7" i="10"/>
  <c r="P194" i="10"/>
  <c r="L31" i="10"/>
  <c r="N31" i="10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N1011" i="10"/>
  <c r="L172" i="29"/>
  <c r="B171" i="29" s="1"/>
  <c r="L42" i="39"/>
  <c r="B41" i="39" s="1"/>
  <c r="L206" i="10"/>
  <c r="L129" i="10"/>
  <c r="N1158" i="10"/>
  <c r="N1102" i="10"/>
  <c r="N106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08" i="10"/>
  <c r="M146" i="10"/>
  <c r="M224" i="10"/>
  <c r="M144" i="10"/>
  <c r="M140" i="10"/>
  <c r="M245" i="10"/>
  <c r="M273" i="10"/>
  <c r="M197" i="10"/>
  <c r="N197" i="10"/>
  <c r="M232" i="10"/>
  <c r="M192" i="10"/>
  <c r="M119" i="10"/>
  <c r="M1435" i="10"/>
  <c r="M118" i="10"/>
  <c r="M1416" i="10"/>
  <c r="M226" i="10"/>
  <c r="P80" i="10"/>
  <c r="N1301" i="10"/>
  <c r="N1054" i="10"/>
  <c r="N1099" i="10"/>
  <c r="G8" i="29"/>
  <c r="N1362" i="10"/>
  <c r="N1211" i="10"/>
  <c r="N1063" i="10"/>
  <c r="N1006" i="10"/>
  <c r="N1055" i="10"/>
  <c r="N1111" i="10"/>
  <c r="N926" i="10"/>
  <c r="N919" i="10"/>
  <c r="N870" i="10"/>
  <c r="N822" i="10"/>
  <c r="N814" i="10"/>
  <c r="N770" i="10"/>
  <c r="N762" i="10"/>
  <c r="N750" i="10"/>
  <c r="N746" i="10"/>
  <c r="N738" i="10"/>
  <c r="N730" i="10"/>
  <c r="N722" i="10"/>
  <c r="N718" i="10"/>
  <c r="N905" i="10"/>
  <c r="N852" i="10"/>
  <c r="N847" i="10"/>
  <c r="N937" i="10"/>
  <c r="N842" i="10"/>
  <c r="N698" i="10"/>
  <c r="N690" i="10"/>
  <c r="N686" i="10"/>
  <c r="N678" i="10"/>
  <c r="N670" i="10"/>
  <c r="N654" i="10"/>
  <c r="N650" i="10"/>
  <c r="P202" i="10"/>
  <c r="N1255" i="10"/>
  <c r="L70" i="10"/>
  <c r="N70" i="10"/>
  <c r="L9" i="10"/>
  <c r="N1188" i="10"/>
  <c r="N1322" i="10"/>
  <c r="L86" i="10"/>
  <c r="N86" i="10"/>
  <c r="N1214" i="10"/>
  <c r="N1148" i="10"/>
  <c r="N975" i="10"/>
  <c r="N854" i="10"/>
  <c r="N1257" i="10"/>
  <c r="N1166" i="10"/>
  <c r="N1051" i="10"/>
  <c r="N906" i="10"/>
  <c r="N863" i="10"/>
  <c r="N830" i="10"/>
  <c r="N815" i="10"/>
  <c r="N1115" i="10"/>
  <c r="N1082" i="10"/>
  <c r="N918" i="10"/>
  <c r="N888" i="10"/>
  <c r="N886" i="10"/>
  <c r="N867" i="10"/>
  <c r="N836" i="10"/>
  <c r="N785" i="10"/>
  <c r="N1100" i="10"/>
  <c r="N1095" i="10"/>
  <c r="N1087" i="10"/>
  <c r="N681" i="10"/>
  <c r="N649" i="10"/>
  <c r="N1014" i="10"/>
  <c r="N1001" i="10"/>
  <c r="N983" i="10"/>
  <c r="N978" i="10"/>
  <c r="N977" i="10"/>
  <c r="N962" i="10"/>
  <c r="N946" i="10"/>
  <c r="N923" i="10"/>
  <c r="N907" i="10"/>
  <c r="N898" i="10"/>
  <c r="N875" i="10"/>
  <c r="N855" i="10"/>
  <c r="N844" i="10"/>
  <c r="N839" i="10"/>
  <c r="N835" i="10"/>
  <c r="N819" i="10"/>
  <c r="N803" i="10"/>
  <c r="N796" i="10"/>
  <c r="N791" i="10"/>
  <c r="N783" i="10"/>
  <c r="N775" i="10"/>
  <c r="N771" i="10"/>
  <c r="N767" i="10"/>
  <c r="N763" i="10"/>
  <c r="N759" i="10"/>
  <c r="N755" i="10"/>
  <c r="N751" i="10"/>
  <c r="N747" i="10"/>
  <c r="N743" i="10"/>
  <c r="N739" i="10"/>
  <c r="N735" i="10"/>
  <c r="N731" i="10"/>
  <c r="N727" i="10"/>
  <c r="N723" i="10"/>
  <c r="N717" i="10"/>
  <c r="N710" i="10"/>
  <c r="N699" i="10"/>
  <c r="N691" i="10"/>
  <c r="N687" i="10"/>
  <c r="N675" i="10"/>
  <c r="N663" i="10"/>
  <c r="N659" i="10"/>
  <c r="N651" i="10"/>
  <c r="N1299" i="10"/>
  <c r="N1171" i="10"/>
  <c r="N1161" i="10"/>
  <c r="N1144" i="10"/>
  <c r="N1140" i="10"/>
  <c r="N1137" i="10"/>
  <c r="N1136" i="10"/>
  <c r="N1093" i="10"/>
  <c r="N1074" i="10"/>
  <c r="N1210" i="10"/>
  <c r="L208" i="10"/>
  <c r="L259" i="10"/>
  <c r="L271" i="10"/>
  <c r="L258" i="10"/>
  <c r="L242" i="10"/>
  <c r="L235" i="10"/>
  <c r="L270" i="10"/>
  <c r="L237" i="10"/>
  <c r="N1176" i="10"/>
  <c r="N1275" i="10"/>
  <c r="N1132" i="10"/>
  <c r="N1112" i="10"/>
  <c r="N1052" i="10"/>
  <c r="N1239" i="10"/>
  <c r="N1219" i="10"/>
  <c r="N1174" i="10"/>
  <c r="N1141" i="10"/>
  <c r="N1128" i="10"/>
  <c r="N1113" i="10"/>
  <c r="N1079" i="10"/>
  <c r="N1066" i="10"/>
  <c r="N1305" i="10"/>
  <c r="N1243" i="10"/>
  <c r="N1163" i="10"/>
  <c r="N1162" i="10"/>
  <c r="P10" i="10"/>
  <c r="P198" i="10"/>
  <c r="P201" i="10"/>
  <c r="M1455" i="10"/>
  <c r="N1455" i="10"/>
  <c r="M98" i="10"/>
  <c r="M609" i="10"/>
  <c r="N609" i="10"/>
  <c r="M183" i="10"/>
  <c r="M99" i="10"/>
  <c r="M317" i="10"/>
  <c r="N317" i="10"/>
  <c r="M642" i="10"/>
  <c r="N642" i="10"/>
  <c r="M193" i="10"/>
  <c r="M106" i="10"/>
  <c r="N106" i="10"/>
  <c r="M262" i="10"/>
  <c r="M102" i="10"/>
  <c r="M1425" i="10"/>
  <c r="M1434" i="10"/>
  <c r="N1434" i="10"/>
  <c r="M318" i="10"/>
  <c r="N318" i="10"/>
  <c r="M105" i="10"/>
  <c r="N105" i="10"/>
  <c r="M100" i="10"/>
  <c r="M610" i="10"/>
  <c r="M188" i="10"/>
  <c r="M103" i="10"/>
  <c r="M364" i="10"/>
  <c r="N364" i="10"/>
  <c r="M600" i="10"/>
  <c r="M108" i="10"/>
  <c r="M1421" i="10"/>
  <c r="M104" i="10"/>
  <c r="M97" i="10"/>
  <c r="M559" i="10"/>
  <c r="N559" i="10"/>
  <c r="M147" i="10"/>
  <c r="M247" i="10"/>
  <c r="M101" i="10"/>
  <c r="M107" i="10"/>
  <c r="N107" i="10"/>
  <c r="M275" i="10"/>
  <c r="N275" i="10"/>
  <c r="M560" i="10"/>
  <c r="N560" i="10"/>
  <c r="M246" i="10"/>
  <c r="M233" i="10"/>
  <c r="N1425" i="10"/>
  <c r="L120" i="10"/>
  <c r="N120" i="10"/>
  <c r="N1421" i="10"/>
  <c r="N1231" i="10"/>
  <c r="N1116" i="10"/>
  <c r="N1104" i="10"/>
  <c r="N1046" i="10"/>
  <c r="N1043" i="10"/>
  <c r="N934" i="10"/>
  <c r="N198" i="10"/>
  <c r="L217" i="10"/>
  <c r="N217" i="10"/>
  <c r="L229" i="10"/>
  <c r="N229" i="10"/>
  <c r="N1318" i="10"/>
  <c r="N1223" i="10"/>
  <c r="N1212" i="10"/>
  <c r="N1207" i="10"/>
  <c r="N1202" i="10"/>
  <c r="N989" i="10"/>
  <c r="N952" i="10"/>
  <c r="N911" i="10"/>
  <c r="N831" i="10"/>
  <c r="N1328" i="10"/>
  <c r="N1287" i="10"/>
  <c r="N1226" i="10"/>
  <c r="N955" i="10"/>
  <c r="N950" i="10"/>
  <c r="N947" i="10"/>
  <c r="N914" i="10"/>
  <c r="N913" i="10"/>
  <c r="N773" i="10"/>
  <c r="N1359" i="10"/>
  <c r="N1309" i="10"/>
  <c r="N1273" i="10"/>
  <c r="N1264" i="10"/>
  <c r="N1248" i="10"/>
  <c r="N935" i="10"/>
  <c r="N933" i="10"/>
  <c r="N930" i="10"/>
  <c r="N864" i="10"/>
  <c r="N802" i="10"/>
  <c r="N799" i="10"/>
  <c r="N797" i="10"/>
  <c r="N768" i="10"/>
  <c r="N760" i="10"/>
  <c r="N725" i="10"/>
  <c r="N704" i="10"/>
  <c r="N668" i="10"/>
  <c r="N655" i="10"/>
  <c r="N125" i="10"/>
  <c r="N1330" i="10"/>
  <c r="N1311" i="10"/>
  <c r="N1307" i="10"/>
  <c r="N1303" i="10"/>
  <c r="N1300" i="10"/>
  <c r="N1295" i="10"/>
  <c r="N1279" i="10"/>
  <c r="N1263" i="10"/>
  <c r="N1250" i="10"/>
  <c r="N1249" i="10"/>
  <c r="N1032" i="10"/>
  <c r="N1003" i="10"/>
  <c r="N887" i="10"/>
  <c r="N857" i="10"/>
  <c r="N841" i="10"/>
  <c r="N838" i="10"/>
  <c r="N833" i="10"/>
  <c r="N828" i="10"/>
  <c r="N825" i="10"/>
  <c r="N817" i="10"/>
  <c r="N780" i="10"/>
  <c r="N679" i="10"/>
  <c r="N674" i="10"/>
  <c r="N671" i="10"/>
  <c r="N666" i="10"/>
  <c r="N658" i="10"/>
  <c r="N653" i="10"/>
  <c r="N637" i="10"/>
  <c r="N1457" i="10"/>
  <c r="N1452" i="10"/>
  <c r="N1397" i="10"/>
  <c r="N1389" i="10"/>
  <c r="N1368" i="10"/>
  <c r="N1350" i="10"/>
  <c r="N1339" i="10"/>
  <c r="N1338" i="10"/>
  <c r="N1334" i="10"/>
  <c r="N1281" i="10"/>
  <c r="N1272" i="10"/>
  <c r="N1271" i="10"/>
  <c r="N1244" i="10"/>
  <c r="N1240" i="10"/>
  <c r="N1229" i="10"/>
  <c r="N1195" i="10"/>
  <c r="N1170" i="10"/>
  <c r="N1124" i="10"/>
  <c r="N1106" i="10"/>
  <c r="N1086" i="10"/>
  <c r="N1038" i="10"/>
  <c r="N1037" i="10"/>
  <c r="N1015" i="10"/>
  <c r="N1012" i="10"/>
  <c r="N940" i="10"/>
  <c r="N895" i="10"/>
  <c r="N890" i="10"/>
  <c r="N885" i="10"/>
  <c r="N877" i="10"/>
  <c r="N874" i="10"/>
  <c r="N840" i="10"/>
  <c r="N807" i="10"/>
  <c r="N804" i="10"/>
  <c r="N707" i="10"/>
  <c r="L248" i="10"/>
  <c r="L226" i="10"/>
  <c r="N226" i="10"/>
  <c r="L218" i="10"/>
  <c r="N218" i="10"/>
  <c r="N1370" i="10"/>
  <c r="N1349" i="10"/>
  <c r="N1332" i="10"/>
  <c r="N1256" i="10"/>
  <c r="N1245" i="10"/>
  <c r="N1230" i="10"/>
  <c r="N1180" i="10"/>
  <c r="N1125" i="10"/>
  <c r="N1091" i="10"/>
  <c r="N1083" i="10"/>
  <c r="N1080" i="10"/>
  <c r="N1075" i="10"/>
  <c r="N1067" i="10"/>
  <c r="N1059" i="10"/>
  <c r="N1056" i="10"/>
  <c r="N1048" i="10"/>
  <c r="N979" i="10"/>
  <c r="N976" i="10"/>
  <c r="N971" i="10"/>
  <c r="N968" i="10"/>
  <c r="N963" i="10"/>
  <c r="N942" i="10"/>
  <c r="N939" i="10"/>
  <c r="N928" i="10"/>
  <c r="N920" i="10"/>
  <c r="N851" i="10"/>
  <c r="N846" i="10"/>
  <c r="N843" i="10"/>
  <c r="N809" i="10"/>
  <c r="N795" i="10"/>
  <c r="N792" i="10"/>
  <c r="N787" i="10"/>
  <c r="N779" i="10"/>
  <c r="N774" i="10"/>
  <c r="N769" i="10"/>
  <c r="N766" i="10"/>
  <c r="N758" i="10"/>
  <c r="N742" i="10"/>
  <c r="N734" i="10"/>
  <c r="N729" i="10"/>
  <c r="N726" i="10"/>
  <c r="N713" i="10"/>
  <c r="N703" i="10"/>
  <c r="N700" i="10"/>
  <c r="N695" i="10"/>
  <c r="N692" i="10"/>
  <c r="N684" i="10"/>
  <c r="L93" i="10"/>
  <c r="N93" i="10"/>
  <c r="L85" i="10"/>
  <c r="N85" i="10"/>
  <c r="L29" i="10"/>
  <c r="N29" i="10"/>
  <c r="L225" i="10"/>
  <c r="N225" i="10"/>
  <c r="N1315" i="10"/>
  <c r="N986" i="10"/>
  <c r="N1238" i="10"/>
  <c r="N1122" i="10"/>
  <c r="L135" i="10"/>
  <c r="N135" i="10"/>
  <c r="L128" i="10"/>
  <c r="N1366" i="10"/>
  <c r="N1351" i="10"/>
  <c r="N1288" i="10"/>
  <c r="N1218" i="10"/>
  <c r="N1215" i="10"/>
  <c r="N1096" i="10"/>
  <c r="N901" i="10"/>
  <c r="N849" i="10"/>
  <c r="N810" i="10"/>
  <c r="N764" i="10"/>
  <c r="N748" i="10"/>
  <c r="N640" i="10"/>
  <c r="L223" i="10"/>
  <c r="N223" i="10"/>
  <c r="L117" i="10"/>
  <c r="N117" i="10"/>
  <c r="L123" i="10"/>
  <c r="N123" i="10"/>
  <c r="L239" i="10"/>
  <c r="N1402" i="10"/>
  <c r="N1363" i="10"/>
  <c r="N1280" i="10"/>
  <c r="N1237" i="10"/>
  <c r="N1232" i="10"/>
  <c r="N903" i="10"/>
  <c r="N639" i="10"/>
  <c r="L186" i="10"/>
  <c r="N186" i="10"/>
  <c r="N1337" i="10"/>
  <c r="N1282" i="10"/>
  <c r="N1270" i="10"/>
  <c r="N1105" i="10"/>
  <c r="L146" i="10"/>
  <c r="L90" i="10"/>
  <c r="N90" i="10"/>
  <c r="L127" i="10"/>
  <c r="N108" i="10"/>
  <c r="L234" i="10"/>
  <c r="N1422" i="10"/>
  <c r="N709" i="10"/>
  <c r="N662" i="10"/>
  <c r="N600" i="10"/>
  <c r="L230" i="10"/>
  <c r="N230" i="10"/>
  <c r="L137" i="10"/>
  <c r="N137" i="10"/>
  <c r="N1406" i="10"/>
  <c r="N1364" i="10"/>
  <c r="N1316" i="10"/>
  <c r="N1306" i="10"/>
  <c r="N813" i="10"/>
  <c r="N688" i="10"/>
  <c r="N1377" i="10"/>
  <c r="N910" i="10"/>
  <c r="L7" i="10"/>
  <c r="N1430" i="10"/>
  <c r="N1411" i="10"/>
  <c r="N1394" i="10"/>
  <c r="N1390" i="10"/>
  <c r="N1386" i="10"/>
  <c r="N1361" i="10"/>
  <c r="N1327" i="10"/>
  <c r="N1323" i="10"/>
  <c r="N1314" i="10"/>
  <c r="N1313" i="10"/>
  <c r="N1308" i="10"/>
  <c r="N1293" i="10"/>
  <c r="N1234" i="10"/>
  <c r="N1016" i="10"/>
  <c r="L251" i="10"/>
  <c r="N7" i="10"/>
  <c r="N1356" i="10"/>
  <c r="N1251" i="10"/>
  <c r="N1198" i="10"/>
  <c r="N1192" i="10"/>
  <c r="K14" i="39"/>
  <c r="K15" i="39"/>
  <c r="N1451" i="10"/>
  <c r="N1447" i="10"/>
  <c r="N1380" i="10"/>
  <c r="N1357" i="10"/>
  <c r="N1354" i="10"/>
  <c r="N1344" i="10"/>
  <c r="N1343" i="10"/>
  <c r="N1320" i="10"/>
  <c r="N1304" i="10"/>
  <c r="N1294" i="10"/>
  <c r="N1289" i="10"/>
  <c r="N1283" i="10"/>
  <c r="N1269" i="10"/>
  <c r="N1259" i="10"/>
  <c r="N1233" i="10"/>
  <c r="N1072" i="10"/>
  <c r="L274" i="10"/>
  <c r="N274" i="10"/>
  <c r="L119" i="10"/>
  <c r="N119" i="10"/>
  <c r="L79" i="10"/>
  <c r="N79" i="10"/>
  <c r="L49" i="10"/>
  <c r="N49" i="10"/>
  <c r="L48" i="10"/>
  <c r="N48" i="10"/>
  <c r="N1186" i="10"/>
  <c r="N1159" i="10"/>
  <c r="N1117" i="10"/>
  <c r="N1107" i="10"/>
  <c r="N1040" i="10"/>
  <c r="N1029" i="10"/>
  <c r="N1010" i="10"/>
  <c r="N922" i="10"/>
  <c r="N891" i="10"/>
  <c r="N856" i="10"/>
  <c r="N826" i="10"/>
  <c r="N714" i="10"/>
  <c r="N694" i="10"/>
  <c r="N677" i="10"/>
  <c r="L151" i="10"/>
  <c r="L145" i="10"/>
  <c r="N145" i="10"/>
  <c r="L101" i="10"/>
  <c r="N101" i="10"/>
  <c r="L99" i="10"/>
  <c r="N99" i="10"/>
  <c r="A9" i="54"/>
  <c r="P205" i="10"/>
  <c r="L142" i="10"/>
  <c r="N142" i="10"/>
  <c r="L138" i="10"/>
  <c r="N138" i="10"/>
  <c r="L65" i="10"/>
  <c r="N65" i="10"/>
  <c r="L64" i="10"/>
  <c r="N64" i="10"/>
  <c r="N1183" i="10"/>
  <c r="N1172" i="10"/>
  <c r="N1156" i="10"/>
  <c r="N1152" i="10"/>
  <c r="N1110" i="10"/>
  <c r="N1109" i="10"/>
  <c r="N1035" i="10"/>
  <c r="N929" i="10"/>
  <c r="N894" i="10"/>
  <c r="N811" i="10"/>
  <c r="N719" i="10"/>
  <c r="L148" i="10"/>
  <c r="L102" i="10"/>
  <c r="N102" i="10"/>
  <c r="N1365" i="10"/>
  <c r="N1360" i="10"/>
  <c r="N1352" i="10"/>
  <c r="N1335" i="10"/>
  <c r="N1319" i="10"/>
  <c r="N1312" i="10"/>
  <c r="N1261" i="10"/>
  <c r="N1414" i="10"/>
  <c r="N1412" i="10"/>
  <c r="N1409" i="10"/>
  <c r="N1379" i="10"/>
  <c r="N1371" i="10"/>
  <c r="N1358" i="10"/>
  <c r="N1353" i="10"/>
  <c r="N1345" i="10"/>
  <c r="N1326" i="10"/>
  <c r="N1324" i="10"/>
  <c r="N1262" i="10"/>
  <c r="N1433" i="10"/>
  <c r="N1393" i="10"/>
  <c r="N1355" i="10"/>
  <c r="N1347" i="10"/>
  <c r="N1340" i="10"/>
  <c r="N1310" i="10"/>
  <c r="N146" i="10"/>
  <c r="N1436" i="10"/>
  <c r="N1428" i="10"/>
  <c r="N1381" i="10"/>
  <c r="N1342" i="10"/>
  <c r="N1317" i="10"/>
  <c r="N1285" i="10"/>
  <c r="N1325" i="10"/>
  <c r="N1302" i="10"/>
  <c r="N1298" i="10"/>
  <c r="N1278" i="10"/>
  <c r="N1277" i="10"/>
  <c r="N1268" i="10"/>
  <c r="N1258" i="10"/>
  <c r="N1246" i="10"/>
  <c r="N1236" i="10"/>
  <c r="N1235" i="10"/>
  <c r="N1225" i="10"/>
  <c r="N1224" i="10"/>
  <c r="N1200" i="10"/>
  <c r="N1197" i="10"/>
  <c r="N1194" i="10"/>
  <c r="N1185" i="10"/>
  <c r="N1151" i="10"/>
  <c r="N1149" i="10"/>
  <c r="N1145" i="10"/>
  <c r="N1130" i="10"/>
  <c r="N1129" i="10"/>
  <c r="N1126" i="10"/>
  <c r="N1123" i="10"/>
  <c r="N1098" i="10"/>
  <c r="N1071" i="10"/>
  <c r="N1020" i="10"/>
  <c r="N958" i="10"/>
  <c r="N861" i="10"/>
  <c r="N1045" i="10"/>
  <c r="N1042" i="10"/>
  <c r="N1036" i="10"/>
  <c r="N1220" i="10"/>
  <c r="N1209" i="10"/>
  <c r="N1203" i="10"/>
  <c r="N1193" i="10"/>
  <c r="N1168" i="10"/>
  <c r="N1154" i="10"/>
  <c r="N1153" i="10"/>
  <c r="N1103" i="10"/>
  <c r="N1085" i="10"/>
  <c r="N1081" i="10"/>
  <c r="N1058" i="10"/>
  <c r="N1050" i="10"/>
  <c r="N1031" i="10"/>
  <c r="N1027" i="10"/>
  <c r="N984" i="10"/>
  <c r="N1284" i="10"/>
  <c r="N1266" i="10"/>
  <c r="N1254" i="10"/>
  <c r="N1253" i="10"/>
  <c r="N1242" i="10"/>
  <c r="N1206" i="10"/>
  <c r="N1205" i="10"/>
  <c r="N1196" i="10"/>
  <c r="N1191" i="10"/>
  <c r="N1190" i="10"/>
  <c r="N1187" i="10"/>
  <c r="N1173" i="10"/>
  <c r="N1157" i="10"/>
  <c r="N1120" i="10"/>
  <c r="N1119" i="10"/>
  <c r="N1108" i="10"/>
  <c r="N1097" i="10"/>
  <c r="N1092" i="10"/>
  <c r="N1070" i="10"/>
  <c r="N1068" i="10"/>
  <c r="N1065" i="10"/>
  <c r="N1064" i="10"/>
  <c r="N1033" i="10"/>
  <c r="N1030" i="10"/>
  <c r="N1026" i="10"/>
  <c r="N1025" i="10"/>
  <c r="N1022" i="10"/>
  <c r="N1017" i="10"/>
  <c r="N1013" i="10"/>
  <c r="N1002" i="10"/>
  <c r="N999" i="10"/>
  <c r="N998" i="10"/>
  <c r="N995" i="10"/>
  <c r="N994" i="10"/>
  <c r="N990" i="10"/>
  <c r="N982" i="10"/>
  <c r="N981" i="10"/>
  <c r="N960" i="10"/>
  <c r="N956" i="10"/>
  <c r="N953" i="10"/>
  <c r="N941" i="10"/>
  <c r="N938" i="10"/>
  <c r="N902" i="10"/>
  <c r="N882" i="10"/>
  <c r="N862" i="10"/>
  <c r="N812" i="10"/>
  <c r="N765" i="10"/>
  <c r="N761" i="10"/>
  <c r="N757" i="10"/>
  <c r="N753" i="10"/>
  <c r="N745" i="10"/>
  <c r="N741" i="10"/>
  <c r="N737" i="10"/>
  <c r="N712" i="10"/>
  <c r="N711" i="10"/>
  <c r="N706" i="10"/>
  <c r="N693" i="10"/>
  <c r="N689" i="10"/>
  <c r="N683" i="10"/>
  <c r="N682" i="10"/>
  <c r="N676" i="10"/>
  <c r="N661" i="10"/>
  <c r="N657" i="10"/>
  <c r="N884" i="10"/>
  <c r="N850" i="10"/>
  <c r="N790" i="10"/>
  <c r="N736" i="10"/>
  <c r="P206" i="10"/>
  <c r="L103" i="10"/>
  <c r="N103" i="10"/>
  <c r="L100" i="10"/>
  <c r="N100" i="10"/>
  <c r="L263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61" i="10"/>
  <c r="N261" i="10"/>
  <c r="L13" i="10"/>
  <c r="N13" i="10"/>
  <c r="L233" i="10"/>
  <c r="N233" i="10"/>
  <c r="L11" i="10"/>
  <c r="N11" i="10"/>
  <c r="L18" i="10"/>
  <c r="N18" i="10"/>
  <c r="L262" i="10"/>
  <c r="N262" i="10"/>
  <c r="L52" i="10"/>
  <c r="N52" i="10"/>
  <c r="L12" i="10"/>
  <c r="N12" i="10"/>
  <c r="L219" i="10"/>
  <c r="N219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6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2" i="10"/>
  <c r="N222" i="10"/>
  <c r="P200" i="10"/>
  <c r="L114" i="10"/>
  <c r="N114" i="10"/>
  <c r="L232" i="10"/>
  <c r="N232" i="10"/>
  <c r="L213" i="10"/>
  <c r="N213" i="10"/>
  <c r="L116" i="10"/>
  <c r="N116" i="10"/>
  <c r="L76" i="10"/>
  <c r="N76" i="10"/>
  <c r="L231" i="10"/>
  <c r="N231" i="10"/>
  <c r="L131" i="10"/>
  <c r="L25" i="10"/>
  <c r="N25" i="10"/>
  <c r="L92" i="10"/>
  <c r="N92" i="10"/>
  <c r="L60" i="10"/>
  <c r="N60" i="10"/>
  <c r="L14" i="10"/>
  <c r="N14" i="10"/>
  <c r="N1392" i="10"/>
  <c r="N1184" i="10"/>
  <c r="L73" i="10"/>
  <c r="N73" i="10"/>
  <c r="L81" i="10"/>
  <c r="N81" i="10"/>
  <c r="L220" i="10"/>
  <c r="N220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6" i="10"/>
  <c r="N1208" i="10"/>
  <c r="N1182" i="10"/>
  <c r="N1165" i="10"/>
  <c r="L260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8" i="10"/>
  <c r="N228" i="10"/>
  <c r="L113" i="10"/>
  <c r="N113" i="10"/>
  <c r="L209" i="10"/>
  <c r="L94" i="10"/>
  <c r="N94" i="10"/>
  <c r="L140" i="10"/>
  <c r="N140" i="10"/>
  <c r="L139" i="10"/>
  <c r="N139" i="10"/>
  <c r="N610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5" i="10"/>
  <c r="N245" i="10"/>
  <c r="L221" i="10"/>
  <c r="N221" i="10"/>
  <c r="L75" i="10"/>
  <c r="N75" i="10"/>
  <c r="L118" i="10"/>
  <c r="N118" i="10"/>
  <c r="L212" i="10"/>
  <c r="N212" i="10"/>
  <c r="L124" i="10"/>
  <c r="N124" i="10"/>
  <c r="L227" i="10"/>
  <c r="N227" i="10"/>
  <c r="L30" i="10"/>
  <c r="N30" i="10"/>
  <c r="L16" i="10"/>
  <c r="N16" i="10"/>
  <c r="L55" i="10"/>
  <c r="N55" i="10"/>
  <c r="L250" i="10"/>
  <c r="L63" i="10"/>
  <c r="N63" i="10"/>
  <c r="L39" i="10"/>
  <c r="N1435" i="10"/>
  <c r="N1375" i="10"/>
  <c r="N1181" i="10"/>
  <c r="N1453" i="10"/>
  <c r="N1449" i="10"/>
  <c r="N1445" i="10"/>
  <c r="N1440" i="10"/>
  <c r="N1431" i="10"/>
  <c r="N1429" i="10"/>
  <c r="N1426" i="10"/>
  <c r="N1424" i="10"/>
  <c r="N1419" i="10"/>
  <c r="N1417" i="10"/>
  <c r="N1415" i="10"/>
  <c r="N1413" i="10"/>
  <c r="N1408" i="10"/>
  <c r="N1404" i="10"/>
  <c r="N1398" i="10"/>
  <c r="N1395" i="10"/>
  <c r="N1388" i="10"/>
  <c r="N1384" i="10"/>
  <c r="N1382" i="10"/>
  <c r="N1346" i="10"/>
  <c r="N1333" i="10"/>
  <c r="N1292" i="10"/>
  <c r="N1291" i="10"/>
  <c r="N1290" i="10"/>
  <c r="N1276" i="10"/>
  <c r="N1267" i="10"/>
  <c r="N1222" i="10"/>
  <c r="N1204" i="10"/>
  <c r="N1155" i="10"/>
  <c r="N1150" i="10"/>
  <c r="N1078" i="10"/>
  <c r="N1077" i="10"/>
  <c r="N1047" i="10"/>
  <c r="N1007" i="10"/>
  <c r="N1437" i="10"/>
  <c r="N1427" i="10"/>
  <c r="N1420" i="10"/>
  <c r="N1418" i="10"/>
  <c r="N1416" i="10"/>
  <c r="N1372" i="10"/>
  <c r="N1369" i="10"/>
  <c r="N1367" i="10"/>
  <c r="N1331" i="10"/>
  <c r="N1286" i="10"/>
  <c r="N1274" i="10"/>
  <c r="N1247" i="10"/>
  <c r="N1179" i="10"/>
  <c r="L224" i="10"/>
  <c r="N224" i="10"/>
  <c r="N1443" i="10"/>
  <c r="N1432" i="10"/>
  <c r="N1400" i="10"/>
  <c r="N1383" i="10"/>
  <c r="N1374" i="10"/>
  <c r="N1175" i="10"/>
  <c r="N988" i="10"/>
  <c r="N1164" i="10"/>
  <c r="N1041" i="10"/>
  <c r="N1028" i="10"/>
  <c r="N1021" i="10"/>
  <c r="N991" i="10"/>
  <c r="N951" i="10"/>
  <c r="N786" i="10"/>
  <c r="N985" i="10"/>
  <c r="N954" i="10"/>
  <c r="N927" i="10"/>
  <c r="N869" i="10"/>
  <c r="N782" i="10"/>
  <c r="N732" i="10"/>
  <c r="N720" i="10"/>
  <c r="N878" i="10"/>
  <c r="N806" i="10"/>
  <c r="N752" i="10"/>
  <c r="N705" i="10"/>
  <c r="N641" i="10"/>
  <c r="L247" i="10"/>
  <c r="N247" i="10"/>
  <c r="L246" i="10"/>
  <c r="N246" i="10"/>
  <c r="L272" i="10"/>
  <c r="L238" i="10"/>
  <c r="N728" i="10"/>
  <c r="N716" i="10"/>
  <c r="L273" i="10"/>
  <c r="N273" i="10"/>
  <c r="N1450" i="10"/>
  <c r="N1446" i="10"/>
  <c r="N1442" i="10"/>
  <c r="N1441" i="10"/>
  <c r="N1405" i="10"/>
  <c r="N1401" i="10"/>
  <c r="N1399" i="10"/>
  <c r="N1396" i="10"/>
  <c r="N1385" i="10"/>
  <c r="N1438" i="10"/>
  <c r="C274" i="29"/>
  <c r="D274" i="29" s="1"/>
  <c r="E274" i="29" s="1"/>
  <c r="C285" i="29"/>
  <c r="D285" i="29" s="1"/>
  <c r="C280" i="29"/>
  <c r="D280" i="29" s="1"/>
  <c r="F280" i="29" s="1"/>
  <c r="C245" i="29"/>
  <c r="D245" i="29" s="1"/>
  <c r="F245" i="29" s="1"/>
  <c r="C309" i="29"/>
  <c r="D309" i="29" s="1"/>
  <c r="C267" i="29"/>
  <c r="D267" i="29" s="1"/>
  <c r="F267" i="29" s="1"/>
  <c r="C243" i="29"/>
  <c r="D243" i="29" s="1"/>
  <c r="C234" i="29"/>
  <c r="D234" i="29" s="1"/>
  <c r="E234" i="29" s="1"/>
  <c r="C315" i="29"/>
  <c r="D315" i="29" s="1"/>
  <c r="E315" i="29" s="1"/>
  <c r="N9" i="10"/>
  <c r="C228" i="29"/>
  <c r="D228" i="29" s="1"/>
  <c r="C252" i="29"/>
  <c r="D252" i="29" s="1"/>
  <c r="C317" i="29"/>
  <c r="D317" i="29" s="1"/>
  <c r="E317" i="29" s="1"/>
  <c r="C270" i="29"/>
  <c r="D270" i="29" s="1"/>
  <c r="C263" i="29"/>
  <c r="D263" i="29" s="1"/>
  <c r="E263" i="29" s="1"/>
  <c r="N1448" i="10"/>
  <c r="N1444" i="10"/>
  <c r="N1439" i="10"/>
  <c r="N1423" i="10"/>
  <c r="N1407" i="10"/>
  <c r="N1403" i="10"/>
  <c r="N1391" i="10"/>
  <c r="N1387" i="10"/>
  <c r="N1348" i="10"/>
  <c r="N1336" i="10"/>
  <c r="N1227" i="10"/>
  <c r="N1341" i="10"/>
  <c r="N1228" i="10"/>
  <c r="N1201" i="10"/>
  <c r="N1199" i="10"/>
  <c r="N1121" i="10"/>
  <c r="N1069" i="10"/>
  <c r="N1039" i="10"/>
  <c r="N1034" i="10"/>
  <c r="N1018" i="10"/>
  <c r="N1090" i="10"/>
  <c r="N1061" i="10"/>
  <c r="N917" i="10"/>
  <c r="N1009" i="10"/>
  <c r="N945" i="10"/>
  <c r="N881" i="10"/>
  <c r="N798" i="10"/>
  <c r="N740" i="10"/>
  <c r="N756" i="10"/>
  <c r="N744" i="10"/>
  <c r="N638" i="10"/>
  <c r="N724" i="10"/>
  <c r="L215" i="10"/>
  <c r="N215" i="10"/>
  <c r="L144" i="10"/>
  <c r="L147" i="10"/>
  <c r="N147" i="10"/>
  <c r="P204" i="10"/>
  <c r="L188" i="10"/>
  <c r="N188" i="10"/>
  <c r="L183" i="10"/>
  <c r="N183" i="10"/>
  <c r="B31" i="54"/>
  <c r="B32" i="54"/>
  <c r="C324" i="29"/>
  <c r="D324" i="29" s="1"/>
  <c r="E324" i="29" s="1"/>
  <c r="C293" i="29"/>
  <c r="D293" i="29" s="1"/>
  <c r="E293" i="29" s="1"/>
  <c r="C235" i="29"/>
  <c r="D235" i="29" s="1"/>
  <c r="C275" i="29"/>
  <c r="D275" i="29" s="1"/>
  <c r="C239" i="29"/>
  <c r="D239" i="29" s="1"/>
  <c r="E239" i="29" s="1"/>
  <c r="C286" i="29"/>
  <c r="D286" i="29" s="1"/>
  <c r="F286" i="29" s="1"/>
  <c r="C318" i="29"/>
  <c r="D318" i="29" s="1"/>
  <c r="E318" i="29" s="1"/>
  <c r="C304" i="29"/>
  <c r="D304" i="29" s="1"/>
  <c r="E304" i="29" s="1"/>
  <c r="C321" i="29"/>
  <c r="D321" i="29" s="1"/>
  <c r="C236" i="29"/>
  <c r="D236" i="29" s="1"/>
  <c r="F236" i="29" s="1"/>
  <c r="C278" i="29"/>
  <c r="D278" i="29" s="1"/>
  <c r="E278" i="29" s="1"/>
  <c r="C316" i="29"/>
  <c r="D316" i="29" s="1"/>
  <c r="E316" i="29" s="1"/>
  <c r="C277" i="29"/>
  <c r="D277" i="29" s="1"/>
  <c r="C290" i="29"/>
  <c r="D290" i="29" s="1"/>
  <c r="E290" i="29" s="1"/>
  <c r="C265" i="29"/>
  <c r="D265" i="29" s="1"/>
  <c r="C283" i="29"/>
  <c r="D283" i="29" s="1"/>
  <c r="F283" i="29" s="1"/>
  <c r="C273" i="29"/>
  <c r="D273" i="29" s="1"/>
  <c r="F273" i="29" s="1"/>
  <c r="C271" i="29"/>
  <c r="D271" i="29" s="1"/>
  <c r="F271" i="29" s="1"/>
  <c r="C229" i="29"/>
  <c r="D229" i="29" s="1"/>
  <c r="C305" i="29"/>
  <c r="D305" i="29" s="1"/>
  <c r="E305" i="29" s="1"/>
  <c r="C75" i="39"/>
  <c r="D75" i="39" s="1"/>
  <c r="E75" i="39" s="1"/>
  <c r="C246" i="29"/>
  <c r="D246" i="29" s="1"/>
  <c r="E246" i="29" s="1"/>
  <c r="C287" i="29"/>
  <c r="D287" i="29" s="1"/>
  <c r="C261" i="29"/>
  <c r="D261" i="29" s="1"/>
  <c r="F261" i="29" s="1"/>
  <c r="C296" i="29"/>
  <c r="D296" i="29" s="1"/>
  <c r="C314" i="29"/>
  <c r="D314" i="29" s="1"/>
  <c r="E314" i="29" s="1"/>
  <c r="C253" i="29"/>
  <c r="D253" i="29" s="1"/>
  <c r="C282" i="29"/>
  <c r="D282" i="29" s="1"/>
  <c r="F282" i="29" s="1"/>
  <c r="C227" i="29"/>
  <c r="D227" i="29" s="1"/>
  <c r="C260" i="29"/>
  <c r="D260" i="29" s="1"/>
  <c r="F260" i="29" s="1"/>
  <c r="C311" i="29"/>
  <c r="D311" i="29" s="1"/>
  <c r="F311" i="29" s="1"/>
  <c r="C247" i="29"/>
  <c r="D247" i="29" s="1"/>
  <c r="F247" i="29" s="1"/>
  <c r="C232" i="29"/>
  <c r="D232" i="29" s="1"/>
  <c r="E232" i="29" s="1"/>
  <c r="C240" i="29"/>
  <c r="D240" i="29" s="1"/>
  <c r="E240" i="29" s="1"/>
  <c r="C308" i="29"/>
  <c r="D308" i="29" s="1"/>
  <c r="E308" i="29" s="1"/>
  <c r="C303" i="29"/>
  <c r="D303" i="29" s="1"/>
  <c r="E303" i="29" s="1"/>
  <c r="C256" i="29"/>
  <c r="D256" i="29" s="1"/>
  <c r="E256" i="29" s="1"/>
  <c r="C306" i="29"/>
  <c r="D306" i="29" s="1"/>
  <c r="E306" i="29" s="1"/>
  <c r="C251" i="29"/>
  <c r="D251" i="29" s="1"/>
  <c r="C298" i="29"/>
  <c r="D298" i="29" s="1"/>
  <c r="E298" i="29" s="1"/>
  <c r="C264" i="29"/>
  <c r="D264" i="29" s="1"/>
  <c r="C250" i="29"/>
  <c r="D250" i="29" s="1"/>
  <c r="E250" i="29" s="1"/>
  <c r="C299" i="29"/>
  <c r="D299" i="29" s="1"/>
  <c r="C302" i="29"/>
  <c r="D302" i="29" s="1"/>
  <c r="E302" i="29" s="1"/>
  <c r="C268" i="29"/>
  <c r="D268" i="29" s="1"/>
  <c r="F268" i="29" s="1"/>
  <c r="C266" i="29"/>
  <c r="D266" i="29" s="1"/>
  <c r="E266" i="29" s="1"/>
  <c r="C284" i="29"/>
  <c r="D284" i="29" s="1"/>
  <c r="C289" i="29"/>
  <c r="D289" i="29" s="1"/>
  <c r="E289" i="29" s="1"/>
  <c r="C254" i="29"/>
  <c r="D254" i="29" s="1"/>
  <c r="E254" i="29" s="1"/>
  <c r="C281" i="29"/>
  <c r="D281" i="29" s="1"/>
  <c r="F281" i="29" s="1"/>
  <c r="C249" i="29"/>
  <c r="D249" i="29" s="1"/>
  <c r="E249" i="29" s="1"/>
  <c r="C233" i="29"/>
  <c r="D233" i="29" s="1"/>
  <c r="F233" i="29" s="1"/>
  <c r="C288" i="29"/>
  <c r="D288" i="29" s="1"/>
  <c r="F288" i="29" s="1"/>
  <c r="C313" i="29"/>
  <c r="D313" i="29" s="1"/>
  <c r="E313" i="29" s="1"/>
  <c r="C276" i="29"/>
  <c r="D276" i="29" s="1"/>
  <c r="F276" i="29" s="1"/>
  <c r="C294" i="29"/>
  <c r="D294" i="29" s="1"/>
  <c r="E294" i="29" s="1"/>
  <c r="C310" i="29"/>
  <c r="D310" i="29" s="1"/>
  <c r="C279" i="29"/>
  <c r="D279" i="29" s="1"/>
  <c r="E279" i="29" s="1"/>
  <c r="C244" i="29"/>
  <c r="D244" i="29" s="1"/>
  <c r="E244" i="29" s="1"/>
  <c r="C300" i="29"/>
  <c r="D300" i="29" s="1"/>
  <c r="C292" i="29"/>
  <c r="D292" i="29" s="1"/>
  <c r="E292" i="29" s="1"/>
  <c r="A10" i="54"/>
  <c r="O9" i="54"/>
  <c r="C323" i="29"/>
  <c r="D323" i="29" s="1"/>
  <c r="C61" i="39"/>
  <c r="D61" i="39" s="1"/>
  <c r="C322" i="29"/>
  <c r="D322" i="29" s="1"/>
  <c r="F322" i="29" s="1"/>
  <c r="C59" i="39"/>
  <c r="D59" i="39" s="1"/>
  <c r="E59" i="39" s="1"/>
  <c r="C57" i="39"/>
  <c r="D57" i="39" s="1"/>
  <c r="C60" i="39"/>
  <c r="D60" i="39" s="1"/>
  <c r="C58" i="39"/>
  <c r="D58" i="39" s="1"/>
  <c r="C343" i="29"/>
  <c r="D343" i="29" s="1"/>
  <c r="C237" i="29"/>
  <c r="D237" i="29" s="1"/>
  <c r="C242" i="29"/>
  <c r="D242" i="29" s="1"/>
  <c r="F242" i="29" s="1"/>
  <c r="C272" i="29"/>
  <c r="D272" i="29" s="1"/>
  <c r="C307" i="29"/>
  <c r="D307" i="29" s="1"/>
  <c r="F307" i="29" s="1"/>
  <c r="C258" i="29"/>
  <c r="D258" i="29" s="1"/>
  <c r="E258" i="29" s="1"/>
  <c r="C312" i="29"/>
  <c r="C241" i="29"/>
  <c r="D241" i="29" s="1"/>
  <c r="C248" i="29"/>
  <c r="D248" i="29" s="1"/>
  <c r="C295" i="29"/>
  <c r="D295" i="29" s="1"/>
  <c r="E295" i="29" s="1"/>
  <c r="C297" i="29"/>
  <c r="D297" i="29" s="1"/>
  <c r="F297" i="29" s="1"/>
  <c r="C231" i="29"/>
  <c r="D231" i="29" s="1"/>
  <c r="C319" i="29"/>
  <c r="D319" i="29" s="1"/>
  <c r="E319" i="29" s="1"/>
  <c r="N8" i="10"/>
  <c r="C269" i="29"/>
  <c r="D269" i="29" s="1"/>
  <c r="E269" i="29" s="1"/>
  <c r="C224" i="29"/>
  <c r="D224" i="29" s="1"/>
  <c r="C255" i="29"/>
  <c r="D255" i="29" s="1"/>
  <c r="F255" i="29" s="1"/>
  <c r="C238" i="29"/>
  <c r="D238" i="29" s="1"/>
  <c r="C257" i="29"/>
  <c r="D257" i="29" s="1"/>
  <c r="C291" i="29"/>
  <c r="D291" i="29" s="1"/>
  <c r="E291" i="29" s="1"/>
  <c r="C225" i="29"/>
  <c r="D225" i="29" s="1"/>
  <c r="E225" i="29" s="1"/>
  <c r="C259" i="29"/>
  <c r="D259" i="29" s="1"/>
  <c r="C226" i="29"/>
  <c r="D226" i="29" s="1"/>
  <c r="E226" i="29" s="1"/>
  <c r="C301" i="29"/>
  <c r="D301" i="29" s="1"/>
  <c r="C262" i="29"/>
  <c r="D262" i="29" s="1"/>
  <c r="F262" i="29" s="1"/>
  <c r="C230" i="29"/>
  <c r="D230" i="29" s="1"/>
  <c r="C320" i="29"/>
  <c r="D320" i="29" s="1"/>
  <c r="E320" i="29" s="1"/>
  <c r="C352" i="29"/>
  <c r="D352" i="29" s="1"/>
  <c r="C334" i="29"/>
  <c r="D334" i="29" s="1"/>
  <c r="C341" i="29"/>
  <c r="D341" i="29" s="1"/>
  <c r="E341" i="29" s="1"/>
  <c r="C353" i="29"/>
  <c r="D353" i="29" s="1"/>
  <c r="F353" i="29" s="1"/>
  <c r="C328" i="29"/>
  <c r="D328" i="29" s="1"/>
  <c r="C365" i="29"/>
  <c r="D365" i="29" s="1"/>
  <c r="E365" i="29" s="1"/>
  <c r="C350" i="29"/>
  <c r="D350" i="29" s="1"/>
  <c r="E350" i="29" s="1"/>
  <c r="C326" i="29"/>
  <c r="D326" i="29" s="1"/>
  <c r="C337" i="29"/>
  <c r="D337" i="29" s="1"/>
  <c r="C62" i="39"/>
  <c r="D62" i="39" s="1"/>
  <c r="C65" i="39"/>
  <c r="D65" i="39" s="1"/>
  <c r="C331" i="29"/>
  <c r="D331" i="29" s="1"/>
  <c r="E331" i="29" s="1"/>
  <c r="C364" i="29"/>
  <c r="D364" i="29" s="1"/>
  <c r="C714" i="41"/>
  <c r="D714" i="41" s="1"/>
  <c r="E714" i="41" s="1"/>
  <c r="C339" i="29"/>
  <c r="C329" i="29"/>
  <c r="D329" i="29" s="1"/>
  <c r="C373" i="29"/>
  <c r="D373" i="29" s="1"/>
  <c r="C369" i="29"/>
  <c r="D369" i="29" s="1"/>
  <c r="C372" i="29"/>
  <c r="D372" i="29" s="1"/>
  <c r="C67" i="39"/>
  <c r="D67" i="39" s="1"/>
  <c r="C73" i="39"/>
  <c r="D73" i="39" s="1"/>
  <c r="N144" i="10"/>
  <c r="C363" i="29"/>
  <c r="D363" i="29" s="1"/>
  <c r="E363" i="29" s="1"/>
  <c r="C346" i="29"/>
  <c r="D346" i="29" s="1"/>
  <c r="C358" i="29"/>
  <c r="D358" i="29" s="1"/>
  <c r="C371" i="29"/>
  <c r="D371" i="29" s="1"/>
  <c r="E371" i="29" s="1"/>
  <c r="C351" i="29"/>
  <c r="D351" i="29" s="1"/>
  <c r="C340" i="29"/>
  <c r="D340" i="29" s="1"/>
  <c r="E340" i="29" s="1"/>
  <c r="C359" i="29"/>
  <c r="D359" i="29" s="1"/>
  <c r="C330" i="29"/>
  <c r="D330" i="29" s="1"/>
  <c r="C356" i="29"/>
  <c r="D356" i="29" s="1"/>
  <c r="C355" i="29"/>
  <c r="D355" i="29" s="1"/>
  <c r="E355" i="29" s="1"/>
  <c r="C333" i="29"/>
  <c r="D333" i="29" s="1"/>
  <c r="C360" i="29"/>
  <c r="D360" i="29" s="1"/>
  <c r="F360" i="29" s="1"/>
  <c r="C366" i="29"/>
  <c r="D366" i="29" s="1"/>
  <c r="C335" i="29"/>
  <c r="D335" i="29" s="1"/>
  <c r="C344" i="29"/>
  <c r="D344" i="29" s="1"/>
  <c r="E344" i="29" s="1"/>
  <c r="C367" i="29"/>
  <c r="D367" i="29" s="1"/>
  <c r="C347" i="29"/>
  <c r="D347" i="29" s="1"/>
  <c r="C348" i="29"/>
  <c r="D348" i="29" s="1"/>
  <c r="C362" i="29"/>
  <c r="D362" i="29" s="1"/>
  <c r="C325" i="29"/>
  <c r="D325" i="29" s="1"/>
  <c r="C342" i="29"/>
  <c r="D342" i="29" s="1"/>
  <c r="F342" i="29" s="1"/>
  <c r="C338" i="29"/>
  <c r="D338" i="29" s="1"/>
  <c r="F338" i="29" s="1"/>
  <c r="C64" i="39"/>
  <c r="D64" i="39" s="1"/>
  <c r="C69" i="39"/>
  <c r="D69" i="39" s="1"/>
  <c r="C70" i="39"/>
  <c r="D70" i="39" s="1"/>
  <c r="E70" i="39" s="1"/>
  <c r="C66" i="39"/>
  <c r="D66" i="39" s="1"/>
  <c r="C76" i="39"/>
  <c r="D76" i="39" s="1"/>
  <c r="C74" i="39"/>
  <c r="D74" i="39" s="1"/>
  <c r="C68" i="39"/>
  <c r="D68" i="39" s="1"/>
  <c r="C72" i="39"/>
  <c r="D72" i="39" s="1"/>
  <c r="C332" i="29"/>
  <c r="D332" i="29" s="1"/>
  <c r="C370" i="29"/>
  <c r="D370" i="29" s="1"/>
  <c r="C357" i="29"/>
  <c r="D357" i="29" s="1"/>
  <c r="C361" i="29"/>
  <c r="D361" i="29" s="1"/>
  <c r="C336" i="29"/>
  <c r="D336" i="29" s="1"/>
  <c r="C349" i="29"/>
  <c r="D349" i="29" s="1"/>
  <c r="C368" i="29"/>
  <c r="D368" i="29" s="1"/>
  <c r="C327" i="29"/>
  <c r="D327" i="29" s="1"/>
  <c r="K6" i="10"/>
  <c r="M280" i="10"/>
  <c r="N280" i="10"/>
  <c r="C354" i="29"/>
  <c r="D354" i="29" s="1"/>
  <c r="C63" i="39"/>
  <c r="D63" i="39" s="1"/>
  <c r="C71" i="39"/>
  <c r="D71" i="39" s="1"/>
  <c r="C345" i="29"/>
  <c r="A11" i="54"/>
  <c r="O10" i="54"/>
  <c r="M38" i="10"/>
  <c r="N38" i="10"/>
  <c r="M272" i="10"/>
  <c r="N272" i="10"/>
  <c r="M205" i="10"/>
  <c r="N205" i="10"/>
  <c r="M180" i="10"/>
  <c r="N180" i="10"/>
  <c r="M238" i="10"/>
  <c r="N238" i="10"/>
  <c r="M260" i="10"/>
  <c r="N260" i="10"/>
  <c r="M185" i="10"/>
  <c r="N185" i="10"/>
  <c r="M250" i="10"/>
  <c r="N250" i="10"/>
  <c r="M236" i="10"/>
  <c r="N236" i="10"/>
  <c r="M244" i="10"/>
  <c r="N244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M235" i="10"/>
  <c r="N235" i="10"/>
  <c r="M181" i="10"/>
  <c r="N181" i="10"/>
  <c r="M204" i="10"/>
  <c r="N204" i="10"/>
  <c r="M206" i="10"/>
  <c r="N206" i="10"/>
  <c r="M624" i="10"/>
  <c r="N624" i="10"/>
  <c r="M628" i="10"/>
  <c r="N628" i="10"/>
  <c r="M645" i="10"/>
  <c r="N645" i="10"/>
  <c r="M184" i="10"/>
  <c r="N184" i="10"/>
  <c r="M243" i="10"/>
  <c r="N243" i="10"/>
  <c r="M595" i="10"/>
  <c r="N595" i="10"/>
  <c r="M191" i="10"/>
  <c r="N191" i="10"/>
  <c r="M354" i="10"/>
  <c r="N354" i="10"/>
  <c r="M271" i="10"/>
  <c r="N271" i="10"/>
  <c r="M622" i="10"/>
  <c r="N622" i="10"/>
  <c r="M237" i="10"/>
  <c r="N237" i="10"/>
  <c r="M590" i="10"/>
  <c r="N590" i="10"/>
  <c r="M493" i="10"/>
  <c r="N493" i="10"/>
  <c r="M341" i="10"/>
  <c r="N341" i="10"/>
  <c r="M296" i="10"/>
  <c r="N296" i="10"/>
  <c r="M566" i="10"/>
  <c r="N566" i="10"/>
  <c r="M479" i="10"/>
  <c r="N479" i="10"/>
  <c r="M459" i="10"/>
  <c r="N459" i="10"/>
  <c r="M339" i="10"/>
  <c r="N339" i="10"/>
  <c r="M597" i="10"/>
  <c r="N597" i="10"/>
  <c r="M607" i="10"/>
  <c r="N607" i="10"/>
  <c r="M410" i="10"/>
  <c r="N410" i="10"/>
  <c r="M165" i="10"/>
  <c r="N165" i="10"/>
  <c r="M332" i="10"/>
  <c r="N332" i="10"/>
  <c r="M416" i="10"/>
  <c r="N416" i="10"/>
  <c r="M466" i="10"/>
  <c r="N466" i="10"/>
  <c r="M282" i="10"/>
  <c r="N282" i="10"/>
  <c r="M169" i="10"/>
  <c r="N169" i="10"/>
  <c r="M239" i="10"/>
  <c r="N239" i="10"/>
  <c r="M200" i="10"/>
  <c r="N200" i="10"/>
  <c r="M472" i="10"/>
  <c r="N472" i="10"/>
  <c r="M562" i="10"/>
  <c r="N562" i="10"/>
  <c r="M336" i="10"/>
  <c r="N336" i="10"/>
  <c r="M422" i="10"/>
  <c r="N422" i="10"/>
  <c r="M357" i="10"/>
  <c r="N357" i="10"/>
  <c r="M552" i="10"/>
  <c r="N552" i="10"/>
  <c r="M128" i="10"/>
  <c r="N128" i="10"/>
  <c r="M631" i="10"/>
  <c r="N631" i="10"/>
  <c r="M159" i="10"/>
  <c r="N159" i="10"/>
  <c r="M325" i="10"/>
  <c r="N325" i="10"/>
  <c r="M162" i="10"/>
  <c r="N162" i="10"/>
  <c r="M155" i="10"/>
  <c r="N155" i="10"/>
  <c r="M424" i="10"/>
  <c r="N424" i="10"/>
  <c r="M476" i="10"/>
  <c r="N476" i="10"/>
  <c r="M330" i="10"/>
  <c r="N330" i="10"/>
  <c r="M528" i="10"/>
  <c r="N528" i="10"/>
  <c r="M611" i="10"/>
  <c r="N611" i="10"/>
  <c r="M539" i="10"/>
  <c r="N539" i="10"/>
  <c r="M593" i="10"/>
  <c r="N593" i="10"/>
  <c r="M370" i="10"/>
  <c r="N370" i="10"/>
  <c r="M368" i="10"/>
  <c r="N368" i="10"/>
  <c r="M1456" i="10"/>
  <c r="N1456" i="10"/>
  <c r="M377" i="10"/>
  <c r="N377" i="10"/>
  <c r="M167" i="10"/>
  <c r="N167" i="10"/>
  <c r="M286" i="10"/>
  <c r="N286" i="10"/>
  <c r="M294" i="10"/>
  <c r="N294" i="10"/>
  <c r="M581" i="10"/>
  <c r="N581" i="10"/>
  <c r="M548" i="10"/>
  <c r="N548" i="10"/>
  <c r="M521" i="10"/>
  <c r="N521" i="10"/>
  <c r="M467" i="10"/>
  <c r="N467" i="10"/>
  <c r="M388" i="10"/>
  <c r="N388" i="10"/>
  <c r="M384" i="10"/>
  <c r="N384" i="10"/>
  <c r="M395" i="10"/>
  <c r="N395" i="10"/>
  <c r="M252" i="10"/>
  <c r="N252" i="10"/>
  <c r="M474" i="10"/>
  <c r="N474" i="10"/>
  <c r="M269" i="10"/>
  <c r="N269" i="10"/>
  <c r="M518" i="10"/>
  <c r="N518" i="10"/>
  <c r="M36" i="10"/>
  <c r="N36" i="10"/>
  <c r="M240" i="10"/>
  <c r="N240" i="10"/>
  <c r="M369" i="10"/>
  <c r="N369" i="10"/>
  <c r="M331" i="10"/>
  <c r="N331" i="10"/>
  <c r="M405" i="10"/>
  <c r="N405" i="10"/>
  <c r="M148" i="10"/>
  <c r="N148" i="10"/>
  <c r="M345" i="10"/>
  <c r="N345" i="10"/>
  <c r="M436" i="10"/>
  <c r="N436" i="10"/>
  <c r="M177" i="10"/>
  <c r="N177" i="10"/>
  <c r="M251" i="10"/>
  <c r="N251" i="10"/>
  <c r="M201" i="10"/>
  <c r="N201" i="10"/>
  <c r="M168" i="10"/>
  <c r="N168" i="10"/>
  <c r="M279" i="10"/>
  <c r="N279" i="10"/>
  <c r="M509" i="10"/>
  <c r="N509" i="10"/>
  <c r="M523" i="10"/>
  <c r="N523" i="10"/>
  <c r="M481" i="10"/>
  <c r="N481" i="10"/>
  <c r="M596" i="10"/>
  <c r="N596" i="10"/>
  <c r="M242" i="10"/>
  <c r="N242" i="10"/>
  <c r="M353" i="10"/>
  <c r="N353" i="10"/>
  <c r="M587" i="10"/>
  <c r="N587" i="10"/>
  <c r="M259" i="10"/>
  <c r="N259" i="10"/>
  <c r="M270" i="10"/>
  <c r="N270" i="10"/>
  <c r="M311" i="10"/>
  <c r="N311" i="10"/>
  <c r="M178" i="10"/>
  <c r="N178" i="10"/>
  <c r="M546" i="10"/>
  <c r="N546" i="10"/>
  <c r="M258" i="10"/>
  <c r="N258" i="10"/>
  <c r="M248" i="10"/>
  <c r="N248" i="10"/>
  <c r="M623" i="10"/>
  <c r="N623" i="10"/>
  <c r="M312" i="10"/>
  <c r="N312" i="10"/>
  <c r="M432" i="10"/>
  <c r="N432" i="10"/>
  <c r="M350" i="10"/>
  <c r="N350" i="10"/>
  <c r="M372" i="10"/>
  <c r="N372" i="10"/>
  <c r="M35" i="10"/>
  <c r="N35" i="10"/>
  <c r="M127" i="10"/>
  <c r="N127" i="10"/>
  <c r="M268" i="10"/>
  <c r="N268" i="10"/>
  <c r="M492" i="10"/>
  <c r="N492" i="10"/>
  <c r="M417" i="10"/>
  <c r="N417" i="10"/>
  <c r="M506" i="10"/>
  <c r="N506" i="10"/>
  <c r="M524" i="10"/>
  <c r="N524" i="10"/>
  <c r="M358" i="10"/>
  <c r="N358" i="10"/>
  <c r="M532" i="10"/>
  <c r="N532" i="10"/>
  <c r="M254" i="10"/>
  <c r="N254" i="10"/>
  <c r="M394" i="10"/>
  <c r="N394" i="10"/>
  <c r="M278" i="10"/>
  <c r="N278" i="10"/>
  <c r="M194" i="10"/>
  <c r="N194" i="10"/>
  <c r="M374" i="10"/>
  <c r="N374" i="10"/>
  <c r="M498" i="10"/>
  <c r="N498" i="10"/>
  <c r="M381" i="10"/>
  <c r="N381" i="10"/>
  <c r="M284" i="10"/>
  <c r="N284" i="10"/>
  <c r="M34" i="10"/>
  <c r="N34" i="10"/>
  <c r="M527" i="10"/>
  <c r="N527" i="10"/>
  <c r="M426" i="10"/>
  <c r="N426" i="10"/>
  <c r="M555" i="10"/>
  <c r="N555" i="10"/>
  <c r="M469" i="10"/>
  <c r="N469" i="10"/>
  <c r="M465" i="10"/>
  <c r="N465" i="10"/>
  <c r="M451" i="10"/>
  <c r="N451" i="10"/>
  <c r="M391" i="10"/>
  <c r="N391" i="10"/>
  <c r="M572" i="10"/>
  <c r="N572" i="10"/>
  <c r="M298" i="10"/>
  <c r="N298" i="10"/>
  <c r="M461" i="10"/>
  <c r="N461" i="10"/>
  <c r="M158" i="10"/>
  <c r="N158" i="10"/>
  <c r="M300" i="10"/>
  <c r="N300" i="10"/>
  <c r="M633" i="10"/>
  <c r="N633" i="10"/>
  <c r="M126" i="10"/>
  <c r="N126" i="10"/>
  <c r="M308" i="10"/>
  <c r="N308" i="10"/>
  <c r="M161" i="10"/>
  <c r="N161" i="10"/>
  <c r="M365" i="10"/>
  <c r="N365" i="10"/>
  <c r="M551" i="10"/>
  <c r="N551" i="10"/>
  <c r="M496" i="10"/>
  <c r="N496" i="10"/>
  <c r="M608" i="10"/>
  <c r="N608" i="10"/>
  <c r="M522" i="10"/>
  <c r="N522" i="10"/>
  <c r="M431" i="10"/>
  <c r="N431" i="10"/>
  <c r="M408" i="10"/>
  <c r="N408" i="10"/>
  <c r="M349" i="10"/>
  <c r="N349" i="10"/>
  <c r="M419" i="10"/>
  <c r="N419" i="10"/>
  <c r="M399" i="10"/>
  <c r="N399" i="10"/>
  <c r="M441" i="10"/>
  <c r="N441" i="10"/>
  <c r="M612" i="10"/>
  <c r="N612" i="10"/>
  <c r="M199" i="10"/>
  <c r="N199" i="10"/>
  <c r="M575" i="10"/>
  <c r="N575" i="10"/>
  <c r="M413" i="10"/>
  <c r="N413" i="10"/>
  <c r="M540" i="10"/>
  <c r="N540" i="10"/>
  <c r="M305" i="10"/>
  <c r="N305" i="10"/>
  <c r="M534" i="10"/>
  <c r="N534" i="10"/>
  <c r="M241" i="10"/>
  <c r="N241" i="10"/>
  <c r="M454" i="10"/>
  <c r="N454" i="10"/>
  <c r="M403" i="10"/>
  <c r="N403" i="10"/>
  <c r="M338" i="10"/>
  <c r="N338" i="10"/>
  <c r="M443" i="10"/>
  <c r="N443" i="10"/>
  <c r="M150" i="10"/>
  <c r="N150" i="10"/>
  <c r="M567" i="10"/>
  <c r="N567" i="10"/>
  <c r="M558" i="10"/>
  <c r="N558" i="10"/>
  <c r="M263" i="10"/>
  <c r="N263" i="10"/>
  <c r="M618" i="10"/>
  <c r="N618" i="10"/>
  <c r="M310" i="10"/>
  <c r="N310" i="10"/>
  <c r="M549" i="10"/>
  <c r="N549" i="10"/>
  <c r="M385" i="10"/>
  <c r="N385" i="10"/>
  <c r="M526" i="10"/>
  <c r="N526" i="10"/>
  <c r="M306" i="10"/>
  <c r="N306" i="10"/>
  <c r="M383" i="10"/>
  <c r="N383" i="10"/>
  <c r="M428" i="10"/>
  <c r="N428" i="10"/>
  <c r="M573" i="10"/>
  <c r="N573" i="10"/>
  <c r="M490" i="10"/>
  <c r="N490" i="10"/>
  <c r="M319" i="10"/>
  <c r="N319" i="10"/>
  <c r="M414" i="10"/>
  <c r="N414" i="10"/>
  <c r="M520" i="10"/>
  <c r="N520" i="10"/>
  <c r="M404" i="10"/>
  <c r="N404" i="10"/>
  <c r="M154" i="10"/>
  <c r="N154" i="10"/>
  <c r="M203" i="10"/>
  <c r="N203" i="10"/>
  <c r="M171" i="10"/>
  <c r="N171" i="10"/>
  <c r="M495" i="10"/>
  <c r="N495" i="10"/>
  <c r="M347" i="10"/>
  <c r="N347" i="10"/>
  <c r="M486" i="10"/>
  <c r="N486" i="10"/>
  <c r="M407" i="10"/>
  <c r="N407" i="10"/>
  <c r="M297" i="10"/>
  <c r="N297" i="10"/>
  <c r="M591" i="10"/>
  <c r="N591" i="10"/>
  <c r="M470" i="10"/>
  <c r="N470" i="10"/>
  <c r="M190" i="10"/>
  <c r="N190" i="10"/>
  <c r="M489" i="10"/>
  <c r="N489" i="10"/>
  <c r="M234" i="10"/>
  <c r="N234" i="10"/>
  <c r="M346" i="10"/>
  <c r="N346" i="10"/>
  <c r="M473" i="10"/>
  <c r="N473" i="10"/>
  <c r="M478" i="10"/>
  <c r="N478" i="10"/>
  <c r="M580" i="10"/>
  <c r="N580" i="10"/>
  <c r="M348" i="10"/>
  <c r="N348" i="10"/>
  <c r="M324" i="10"/>
  <c r="N324" i="10"/>
  <c r="M554" i="10"/>
  <c r="N554" i="10"/>
  <c r="M502" i="10"/>
  <c r="N502" i="10"/>
  <c r="M160" i="10"/>
  <c r="N160" i="10"/>
  <c r="M544" i="10"/>
  <c r="N544" i="10"/>
  <c r="M429" i="10"/>
  <c r="N429" i="10"/>
  <c r="M561" i="10"/>
  <c r="N561" i="10"/>
  <c r="M511" i="10"/>
  <c r="N511" i="10"/>
  <c r="M265" i="10"/>
  <c r="N265" i="10"/>
  <c r="M392" i="10"/>
  <c r="N392" i="10"/>
  <c r="M447" i="10"/>
  <c r="N447" i="10"/>
  <c r="M464" i="10"/>
  <c r="N464" i="10"/>
  <c r="M176" i="10"/>
  <c r="N176" i="10"/>
  <c r="M619" i="10"/>
  <c r="N619" i="10"/>
  <c r="M583" i="10"/>
  <c r="N583" i="10"/>
  <c r="M291" i="10"/>
  <c r="N291" i="10"/>
  <c r="M292" i="10"/>
  <c r="N292" i="10"/>
  <c r="M574" i="10"/>
  <c r="N574" i="10"/>
  <c r="M340" i="10"/>
  <c r="N340" i="10"/>
  <c r="M409" i="10"/>
  <c r="N409" i="10"/>
  <c r="M507" i="10"/>
  <c r="N507" i="10"/>
  <c r="M288" i="10"/>
  <c r="N288" i="10"/>
  <c r="M538" i="10"/>
  <c r="N538" i="10"/>
  <c r="M401" i="10"/>
  <c r="N401" i="10"/>
  <c r="M277" i="10"/>
  <c r="N277" i="10"/>
  <c r="M585" i="10"/>
  <c r="N585" i="10"/>
  <c r="M112" i="10"/>
  <c r="N112" i="10"/>
  <c r="M411" i="10"/>
  <c r="N411" i="10"/>
  <c r="M485" i="10"/>
  <c r="N485" i="10"/>
  <c r="M471" i="10"/>
  <c r="N471" i="10"/>
  <c r="M342" i="10"/>
  <c r="N342" i="10"/>
  <c r="M594" i="10"/>
  <c r="N594" i="10"/>
  <c r="M570" i="10"/>
  <c r="N570" i="10"/>
  <c r="M373" i="10"/>
  <c r="N373" i="10"/>
  <c r="M497" i="10"/>
  <c r="N497" i="10"/>
  <c r="M505" i="10"/>
  <c r="N505" i="10"/>
  <c r="M412" i="10"/>
  <c r="N412" i="10"/>
  <c r="M463" i="10"/>
  <c r="N463" i="10"/>
  <c r="M537" i="10"/>
  <c r="N537" i="10"/>
  <c r="M615" i="10"/>
  <c r="N615" i="10"/>
  <c r="M433" i="10"/>
  <c r="N433" i="10"/>
  <c r="M423" i="10"/>
  <c r="N423" i="10"/>
  <c r="M400" i="10"/>
  <c r="N400" i="10"/>
  <c r="M553" i="10"/>
  <c r="N553" i="10"/>
  <c r="M568" i="10"/>
  <c r="N568" i="10"/>
  <c r="M448" i="10"/>
  <c r="N448" i="10"/>
  <c r="M257" i="10"/>
  <c r="N257" i="10"/>
  <c r="M389" i="10"/>
  <c r="N389" i="10"/>
  <c r="M334" i="10"/>
  <c r="N334" i="10"/>
  <c r="M430" i="10"/>
  <c r="N430" i="10"/>
  <c r="M525" i="10"/>
  <c r="N525" i="10"/>
  <c r="M571" i="10"/>
  <c r="N571" i="10"/>
  <c r="M195" i="10"/>
  <c r="N195" i="10"/>
  <c r="M356" i="10"/>
  <c r="N356" i="10"/>
  <c r="M151" i="10"/>
  <c r="N151" i="10"/>
  <c r="M462" i="10"/>
  <c r="N462" i="10"/>
  <c r="M569" i="10"/>
  <c r="N569" i="10"/>
  <c r="M290" i="10"/>
  <c r="N290" i="10"/>
  <c r="M535" i="10"/>
  <c r="N535" i="10"/>
  <c r="M616" i="10"/>
  <c r="N616" i="10"/>
  <c r="M249" i="10"/>
  <c r="N249" i="10"/>
  <c r="M579" i="10"/>
  <c r="N579" i="10"/>
  <c r="M578" i="10"/>
  <c r="N578" i="10"/>
  <c r="M396" i="10"/>
  <c r="N396" i="10"/>
  <c r="M313" i="10"/>
  <c r="N313" i="10"/>
  <c r="M299" i="10"/>
  <c r="N299" i="10"/>
  <c r="M458" i="10"/>
  <c r="N458" i="10"/>
  <c r="M438" i="10"/>
  <c r="N438" i="10"/>
  <c r="M387" i="10"/>
  <c r="N387" i="10"/>
  <c r="M542" i="10"/>
  <c r="N542" i="10"/>
  <c r="M449" i="10"/>
  <c r="N449" i="10"/>
  <c r="M439" i="10"/>
  <c r="N439" i="10"/>
  <c r="M503" i="10"/>
  <c r="N503" i="10"/>
  <c r="M545" i="10"/>
  <c r="N545" i="10"/>
  <c r="M577" i="10"/>
  <c r="N577" i="10"/>
  <c r="M453" i="10"/>
  <c r="N453" i="10"/>
  <c r="M442" i="10"/>
  <c r="N442" i="10"/>
  <c r="M267" i="10"/>
  <c r="N267" i="10"/>
  <c r="M588" i="10"/>
  <c r="N588" i="10"/>
  <c r="M589" i="10"/>
  <c r="N589" i="10"/>
  <c r="M307" i="10"/>
  <c r="N307" i="10"/>
  <c r="M617" i="10"/>
  <c r="N617" i="10"/>
  <c r="M10" i="10"/>
  <c r="M329" i="10"/>
  <c r="N329" i="10"/>
  <c r="M606" i="10"/>
  <c r="N606" i="10"/>
  <c r="M264" i="10"/>
  <c r="N264" i="10"/>
  <c r="M397" i="10"/>
  <c r="N397" i="10"/>
  <c r="M333" i="10"/>
  <c r="N333" i="10"/>
  <c r="M156" i="10"/>
  <c r="N156" i="10"/>
  <c r="M460" i="10"/>
  <c r="N460" i="10"/>
  <c r="M304" i="10"/>
  <c r="N304" i="10"/>
  <c r="M517" i="10"/>
  <c r="N517" i="10"/>
  <c r="M149" i="10"/>
  <c r="N149" i="10"/>
  <c r="M541" i="10"/>
  <c r="N541" i="10"/>
  <c r="M604" i="10"/>
  <c r="N604" i="10"/>
  <c r="M427" i="10"/>
  <c r="N427" i="10"/>
  <c r="M351" i="10"/>
  <c r="N351" i="10"/>
  <c r="M418" i="10"/>
  <c r="N418" i="10"/>
  <c r="M17" i="10"/>
  <c r="N17" i="10"/>
  <c r="M344" i="10"/>
  <c r="N344" i="10"/>
  <c r="M343" i="10"/>
  <c r="N343" i="10"/>
  <c r="M475" i="10"/>
  <c r="N475" i="10"/>
  <c r="M445" i="10"/>
  <c r="N445" i="10"/>
  <c r="M371" i="10"/>
  <c r="N371" i="10"/>
  <c r="M437" i="10"/>
  <c r="N437" i="10"/>
  <c r="M276" i="10"/>
  <c r="N276" i="10"/>
  <c r="M398" i="10"/>
  <c r="N398" i="10"/>
  <c r="M450" i="10"/>
  <c r="N450" i="10"/>
  <c r="M321" i="10"/>
  <c r="N321" i="10"/>
  <c r="M529" i="10"/>
  <c r="N529" i="10"/>
  <c r="M314" i="10"/>
  <c r="N314" i="10"/>
  <c r="M515" i="10"/>
  <c r="N515" i="10"/>
  <c r="M390" i="10"/>
  <c r="N390" i="10"/>
  <c r="M293" i="10"/>
  <c r="N293" i="10"/>
  <c r="M322" i="10"/>
  <c r="N322" i="10"/>
  <c r="M584" i="10"/>
  <c r="N584" i="10"/>
  <c r="M613" i="10"/>
  <c r="N613" i="10"/>
  <c r="M173" i="10"/>
  <c r="N173" i="10"/>
  <c r="M157" i="10"/>
  <c r="N157" i="10"/>
  <c r="M564" i="10"/>
  <c r="N564" i="10"/>
  <c r="M315" i="10"/>
  <c r="N315" i="10"/>
  <c r="M421" i="10"/>
  <c r="N421" i="10"/>
  <c r="M435" i="10"/>
  <c r="N435" i="10"/>
  <c r="M425" i="10"/>
  <c r="N425" i="10"/>
  <c r="M32" i="10"/>
  <c r="N32" i="10"/>
  <c r="M499" i="10"/>
  <c r="N499" i="10"/>
  <c r="M361" i="10"/>
  <c r="N361" i="10"/>
  <c r="M605" i="10"/>
  <c r="N605" i="10"/>
  <c r="M415" i="10"/>
  <c r="N415" i="10"/>
  <c r="M362" i="10"/>
  <c r="N362" i="10"/>
  <c r="M295" i="10"/>
  <c r="N295" i="10"/>
  <c r="M484" i="10"/>
  <c r="N484" i="10"/>
  <c r="M335" i="10"/>
  <c r="N335" i="10"/>
  <c r="M491" i="10"/>
  <c r="N491" i="10"/>
  <c r="M482" i="10"/>
  <c r="N482" i="10"/>
  <c r="M508" i="10"/>
  <c r="N508" i="10"/>
  <c r="M283" i="10"/>
  <c r="N283" i="10"/>
  <c r="M592" i="10"/>
  <c r="N592" i="10"/>
  <c r="M153" i="10"/>
  <c r="N153" i="10"/>
  <c r="M163" i="10"/>
  <c r="N163" i="10"/>
  <c r="M352" i="10"/>
  <c r="N352" i="10"/>
  <c r="M366" i="10"/>
  <c r="N366" i="10"/>
  <c r="M320" i="10"/>
  <c r="N320" i="10"/>
  <c r="M602" i="10"/>
  <c r="N602" i="10"/>
  <c r="M287" i="10"/>
  <c r="N287" i="10"/>
  <c r="M629" i="10"/>
  <c r="N629" i="10"/>
  <c r="M536" i="10"/>
  <c r="N536" i="10"/>
  <c r="M434" i="10"/>
  <c r="N434" i="10"/>
  <c r="M630" i="10"/>
  <c r="N630" i="10"/>
  <c r="M557" i="10"/>
  <c r="N557" i="10"/>
  <c r="M457" i="10"/>
  <c r="N457" i="10"/>
  <c r="M164" i="10"/>
  <c r="N164" i="10"/>
  <c r="M376" i="10"/>
  <c r="N376" i="10"/>
  <c r="M393" i="10"/>
  <c r="N393" i="10"/>
  <c r="M510" i="10"/>
  <c r="N510" i="10"/>
  <c r="M337" i="10"/>
  <c r="N337" i="10"/>
  <c r="M289" i="10"/>
  <c r="N289" i="10"/>
  <c r="M302" i="10"/>
  <c r="N302" i="10"/>
  <c r="M420" i="10"/>
  <c r="N420" i="10"/>
  <c r="M266" i="10"/>
  <c r="N266" i="10"/>
  <c r="M152" i="10"/>
  <c r="N152" i="10"/>
  <c r="M550" i="10"/>
  <c r="N550" i="10"/>
  <c r="M455" i="10"/>
  <c r="N455" i="10"/>
  <c r="M514" i="10"/>
  <c r="N514" i="10"/>
  <c r="M379" i="10"/>
  <c r="N379" i="10"/>
  <c r="M440" i="10"/>
  <c r="N440" i="10"/>
  <c r="M301" i="10"/>
  <c r="N301" i="10"/>
  <c r="M281" i="10"/>
  <c r="N281" i="10"/>
  <c r="M285" i="10"/>
  <c r="N285" i="10"/>
  <c r="M175" i="10"/>
  <c r="N175" i="10"/>
  <c r="M328" i="10"/>
  <c r="N328" i="10"/>
  <c r="M513" i="10"/>
  <c r="N513" i="10"/>
  <c r="M565" i="10"/>
  <c r="N565" i="10"/>
  <c r="M556" i="10"/>
  <c r="N556" i="10"/>
  <c r="M603" i="10"/>
  <c r="N603" i="10"/>
  <c r="M531" i="10"/>
  <c r="N531" i="10"/>
  <c r="M468" i="10"/>
  <c r="N468" i="10"/>
  <c r="M576" i="10"/>
  <c r="N576" i="10"/>
  <c r="M519" i="10"/>
  <c r="N519" i="10"/>
  <c r="M375" i="10"/>
  <c r="N375" i="10"/>
  <c r="M303" i="10"/>
  <c r="N303" i="10"/>
  <c r="M406" i="10"/>
  <c r="N406" i="10"/>
  <c r="M323" i="10"/>
  <c r="N323" i="10"/>
  <c r="M326" i="10"/>
  <c r="N326" i="10"/>
  <c r="M530" i="10"/>
  <c r="N530" i="10"/>
  <c r="M533" i="10"/>
  <c r="N533" i="10"/>
  <c r="M170" i="10"/>
  <c r="N170" i="10"/>
  <c r="M598" i="10"/>
  <c r="N598" i="10"/>
  <c r="M504" i="10"/>
  <c r="N504" i="10"/>
  <c r="M477" i="10"/>
  <c r="N477" i="10"/>
  <c r="M446" i="10"/>
  <c r="N446" i="10"/>
  <c r="M256" i="10"/>
  <c r="N256" i="10"/>
  <c r="M494" i="10"/>
  <c r="N494" i="10"/>
  <c r="M632" i="10"/>
  <c r="N632" i="10"/>
  <c r="M488" i="10"/>
  <c r="N488" i="10"/>
  <c r="M33" i="10"/>
  <c r="N33" i="10"/>
  <c r="M360" i="10"/>
  <c r="N360" i="10"/>
  <c r="M386" i="10"/>
  <c r="N386" i="10"/>
  <c r="M614" i="10"/>
  <c r="N614" i="10"/>
  <c r="M480" i="10"/>
  <c r="N480" i="10"/>
  <c r="M253" i="10"/>
  <c r="N253" i="10"/>
  <c r="M621" i="10"/>
  <c r="N621" i="10"/>
  <c r="M255" i="10"/>
  <c r="N255" i="10"/>
  <c r="M327" i="10"/>
  <c r="N327" i="10"/>
  <c r="M582" i="10"/>
  <c r="N582" i="10"/>
  <c r="M172" i="10"/>
  <c r="N172" i="10"/>
  <c r="M359" i="10"/>
  <c r="N359" i="10"/>
  <c r="M456" i="10"/>
  <c r="N456" i="10"/>
  <c r="M500" i="10"/>
  <c r="N500" i="10"/>
  <c r="M501" i="10"/>
  <c r="N501" i="10"/>
  <c r="M483" i="10"/>
  <c r="N483" i="10"/>
  <c r="M174" i="10"/>
  <c r="N174" i="10"/>
  <c r="M563" i="10"/>
  <c r="N563" i="10"/>
  <c r="M620" i="10"/>
  <c r="N620" i="10"/>
  <c r="M378" i="10"/>
  <c r="N378" i="10"/>
  <c r="M37" i="10"/>
  <c r="N37" i="10"/>
  <c r="M543" i="10"/>
  <c r="N543" i="10"/>
  <c r="M512" i="10"/>
  <c r="N512" i="10"/>
  <c r="M402" i="10"/>
  <c r="N402" i="10"/>
  <c r="M516" i="10"/>
  <c r="N516" i="10"/>
  <c r="M452" i="10"/>
  <c r="N452" i="10"/>
  <c r="M380" i="10"/>
  <c r="N380" i="10"/>
  <c r="M355" i="10"/>
  <c r="N355" i="10"/>
  <c r="M444" i="10"/>
  <c r="N444" i="10"/>
  <c r="M189" i="10"/>
  <c r="N189" i="10"/>
  <c r="M316" i="10"/>
  <c r="N316" i="10"/>
  <c r="M599" i="10"/>
  <c r="N599" i="10"/>
  <c r="M367" i="10"/>
  <c r="N367" i="10"/>
  <c r="M309" i="10"/>
  <c r="N309" i="10"/>
  <c r="M382" i="10"/>
  <c r="N382" i="10"/>
  <c r="M166" i="10"/>
  <c r="N166" i="10"/>
  <c r="M487" i="10"/>
  <c r="N487" i="10"/>
  <c r="M202" i="10"/>
  <c r="N202" i="10"/>
  <c r="M627" i="10"/>
  <c r="N627" i="10"/>
  <c r="M647" i="10"/>
  <c r="N647" i="10"/>
  <c r="M586" i="10"/>
  <c r="N586" i="10"/>
  <c r="M547" i="10"/>
  <c r="N547" i="10"/>
  <c r="M646" i="10"/>
  <c r="N646" i="10"/>
  <c r="M656" i="10"/>
  <c r="N656" i="10"/>
  <c r="M196" i="10"/>
  <c r="N196" i="10"/>
  <c r="M643" i="10"/>
  <c r="N643" i="10"/>
  <c r="M634" i="10"/>
  <c r="N634" i="10"/>
  <c r="M644" i="10"/>
  <c r="N644" i="10"/>
  <c r="M625" i="10"/>
  <c r="N625" i="10"/>
  <c r="M626" i="10"/>
  <c r="N626" i="10"/>
  <c r="M635" i="10"/>
  <c r="N635" i="10"/>
  <c r="A12" i="54"/>
  <c r="O11" i="54"/>
  <c r="M6" i="10"/>
  <c r="N10" i="10"/>
  <c r="A13" i="54"/>
  <c r="O12" i="54"/>
  <c r="C1201" i="41"/>
  <c r="D1201" i="41" s="1"/>
  <c r="E1201" i="41" s="1"/>
  <c r="C744" i="41"/>
  <c r="D744" i="41" s="1"/>
  <c r="C1165" i="41"/>
  <c r="D1165" i="41" s="1"/>
  <c r="E1165" i="41" s="1"/>
  <c r="C997" i="41"/>
  <c r="D997" i="41" s="1"/>
  <c r="E997" i="41" s="1"/>
  <c r="C1192" i="41"/>
  <c r="D1192" i="41" s="1"/>
  <c r="E1192" i="41" s="1"/>
  <c r="C1028" i="41"/>
  <c r="D1028" i="41" s="1"/>
  <c r="E1028" i="41" s="1"/>
  <c r="C1212" i="41"/>
  <c r="D1212" i="41" s="1"/>
  <c r="E1212" i="41" s="1"/>
  <c r="C1238" i="41"/>
  <c r="D1238" i="41" s="1"/>
  <c r="E1238" i="41" s="1"/>
  <c r="C1285" i="41"/>
  <c r="D1285" i="41" s="1"/>
  <c r="C762" i="41"/>
  <c r="D762" i="41" s="1"/>
  <c r="E762" i="41" s="1"/>
  <c r="C858" i="41"/>
  <c r="D858" i="41" s="1"/>
  <c r="F858" i="41" s="1"/>
  <c r="C743" i="41"/>
  <c r="D743" i="41" s="1"/>
  <c r="F743" i="41" s="1"/>
  <c r="C1116" i="41"/>
  <c r="D1116" i="41" s="1"/>
  <c r="C862" i="41"/>
  <c r="D862" i="41" s="1"/>
  <c r="C1061" i="41"/>
  <c r="D1061" i="41" s="1"/>
  <c r="E1061" i="41" s="1"/>
  <c r="C1102" i="41"/>
  <c r="D1102" i="41" s="1"/>
  <c r="E1102" i="41" s="1"/>
  <c r="C1059" i="41"/>
  <c r="D1059" i="41" s="1"/>
  <c r="C920" i="41"/>
  <c r="D920" i="41" s="1"/>
  <c r="C1108" i="41"/>
  <c r="D1108" i="41" s="1"/>
  <c r="E1108" i="41" s="1"/>
  <c r="C802" i="41"/>
  <c r="C985" i="41"/>
  <c r="D985" i="41" s="1"/>
  <c r="C1065" i="41"/>
  <c r="D1065" i="41" s="1"/>
  <c r="E1065" i="41" s="1"/>
  <c r="C717" i="41"/>
  <c r="D717" i="41" s="1"/>
  <c r="E717" i="41" s="1"/>
  <c r="C748" i="41"/>
  <c r="D748" i="41" s="1"/>
  <c r="F748" i="41" s="1"/>
  <c r="C1060" i="41"/>
  <c r="D1060" i="41" s="1"/>
  <c r="C845" i="41"/>
  <c r="D845" i="41" s="1"/>
  <c r="F845" i="41" s="1"/>
  <c r="C1223" i="41"/>
  <c r="D1223" i="41" s="1"/>
  <c r="E1223" i="41" s="1"/>
  <c r="C1103" i="41"/>
  <c r="D1103" i="41" s="1"/>
  <c r="E1103" i="41" s="1"/>
  <c r="C1115" i="41"/>
  <c r="D1115" i="41" s="1"/>
  <c r="C1235" i="41"/>
  <c r="D1235" i="41" s="1"/>
  <c r="E1235" i="41" s="1"/>
  <c r="C1256" i="41"/>
  <c r="D1256" i="41" s="1"/>
  <c r="C929" i="41"/>
  <c r="D929" i="41" s="1"/>
  <c r="E929" i="41" s="1"/>
  <c r="C1130" i="41"/>
  <c r="D1130" i="41" s="1"/>
  <c r="E1130" i="41" s="1"/>
  <c r="C731" i="41"/>
  <c r="D731" i="41" s="1"/>
  <c r="F731" i="41" s="1"/>
  <c r="C1167" i="41"/>
  <c r="D1167" i="41" s="1"/>
  <c r="E1167" i="41" s="1"/>
  <c r="C856" i="41"/>
  <c r="D856" i="41" s="1"/>
  <c r="F856" i="41" s="1"/>
  <c r="C764" i="41"/>
  <c r="D764" i="41" s="1"/>
  <c r="E764" i="41" s="1"/>
  <c r="C916" i="41"/>
  <c r="D916" i="41" s="1"/>
  <c r="E916" i="41" s="1"/>
  <c r="C1248" i="41"/>
  <c r="D1248" i="41" s="1"/>
  <c r="E1248" i="41" s="1"/>
  <c r="C1252" i="41"/>
  <c r="D1252" i="41" s="1"/>
  <c r="E1252" i="41" s="1"/>
  <c r="C970" i="41"/>
  <c r="D970" i="41" s="1"/>
  <c r="E970" i="41" s="1"/>
  <c r="C1284" i="41"/>
  <c r="D1284" i="41" s="1"/>
  <c r="E1284" i="41" s="1"/>
  <c r="C875" i="41"/>
  <c r="D875" i="41" s="1"/>
  <c r="E875" i="41" s="1"/>
  <c r="C842" i="41"/>
  <c r="D842" i="41" s="1"/>
  <c r="F842" i="41" s="1"/>
  <c r="C1172" i="41"/>
  <c r="D1172" i="41" s="1"/>
  <c r="C747" i="41"/>
  <c r="D747" i="41" s="1"/>
  <c r="F747" i="41" s="1"/>
  <c r="C811" i="41"/>
  <c r="D811" i="41" s="1"/>
  <c r="E811" i="41" s="1"/>
  <c r="C986" i="41"/>
  <c r="D986" i="41" s="1"/>
  <c r="E986" i="41" s="1"/>
  <c r="C813" i="41"/>
  <c r="D813" i="41" s="1"/>
  <c r="F813" i="41" s="1"/>
  <c r="C951" i="41"/>
  <c r="D951" i="41" s="1"/>
  <c r="C1051" i="41"/>
  <c r="D1051" i="41" s="1"/>
  <c r="E1051" i="41" s="1"/>
  <c r="C879" i="41"/>
  <c r="D879" i="41" s="1"/>
  <c r="E879" i="41" s="1"/>
  <c r="C1222" i="41"/>
  <c r="D1222" i="41" s="1"/>
  <c r="E1222" i="41" s="1"/>
  <c r="C769" i="41"/>
  <c r="D769" i="41" s="1"/>
  <c r="F769" i="41" s="1"/>
  <c r="C1074" i="41"/>
  <c r="D1074" i="41" s="1"/>
  <c r="E1074" i="41" s="1"/>
  <c r="C900" i="41"/>
  <c r="D900" i="41" s="1"/>
  <c r="E900" i="41" s="1"/>
  <c r="C1194" i="41"/>
  <c r="D1194" i="41" s="1"/>
  <c r="E1194" i="41" s="1"/>
  <c r="C1057" i="41"/>
  <c r="D1057" i="41" s="1"/>
  <c r="C941" i="41"/>
  <c r="D941" i="41" s="1"/>
  <c r="E941" i="41" s="1"/>
  <c r="C1030" i="41"/>
  <c r="D1030" i="41" s="1"/>
  <c r="E1030" i="41" s="1"/>
  <c r="C1055" i="41"/>
  <c r="D1055" i="41" s="1"/>
  <c r="E1055" i="41" s="1"/>
  <c r="C831" i="41"/>
  <c r="D831" i="41" s="1"/>
  <c r="C866" i="41"/>
  <c r="D866" i="41" s="1"/>
  <c r="E866" i="41" s="1"/>
  <c r="C903" i="41"/>
  <c r="D903" i="41" s="1"/>
  <c r="E903" i="41" s="1"/>
  <c r="C1105" i="41"/>
  <c r="D1105" i="41" s="1"/>
  <c r="E1105" i="41" s="1"/>
  <c r="C766" i="41"/>
  <c r="D766" i="41" s="1"/>
  <c r="F766" i="41" s="1"/>
  <c r="C761" i="41"/>
  <c r="D761" i="41" s="1"/>
  <c r="F761" i="41" s="1"/>
  <c r="C797" i="41"/>
  <c r="D797" i="41" s="1"/>
  <c r="C1287" i="41"/>
  <c r="D1287" i="41" s="1"/>
  <c r="C1270" i="41"/>
  <c r="D1270" i="41" s="1"/>
  <c r="E1270" i="41" s="1"/>
  <c r="C1107" i="41"/>
  <c r="D1107" i="41" s="1"/>
  <c r="E1107" i="41" s="1"/>
  <c r="C1181" i="41"/>
  <c r="D1181" i="41" s="1"/>
  <c r="E1181" i="41" s="1"/>
  <c r="C1174" i="41"/>
  <c r="D1174" i="41" s="1"/>
  <c r="C1048" i="41"/>
  <c r="D1048" i="41" s="1"/>
  <c r="C738" i="41"/>
  <c r="D738" i="41" s="1"/>
  <c r="E738" i="41" s="1"/>
  <c r="C788" i="41"/>
  <c r="D788" i="41" s="1"/>
  <c r="F788" i="41" s="1"/>
  <c r="C1205" i="41"/>
  <c r="D1205" i="41" s="1"/>
  <c r="E1205" i="41" s="1"/>
  <c r="C1160" i="41"/>
  <c r="D1160" i="41" s="1"/>
  <c r="E1160" i="41" s="1"/>
  <c r="C1163" i="41"/>
  <c r="D1163" i="41" s="1"/>
  <c r="E1163" i="41" s="1"/>
  <c r="C834" i="41"/>
  <c r="D834" i="41" s="1"/>
  <c r="E834" i="41" s="1"/>
  <c r="C1183" i="41"/>
  <c r="D1183" i="41" s="1"/>
  <c r="E1183" i="41" s="1"/>
  <c r="C992" i="41"/>
  <c r="D992" i="41" s="1"/>
  <c r="C751" i="41"/>
  <c r="D751" i="41" s="1"/>
  <c r="F751" i="41" s="1"/>
  <c r="C988" i="41"/>
  <c r="D988" i="41" s="1"/>
  <c r="E988" i="41" s="1"/>
  <c r="C1319" i="41"/>
  <c r="D1319" i="41" s="1"/>
  <c r="E1319" i="41" s="1"/>
  <c r="C897" i="41"/>
  <c r="D897" i="41" s="1"/>
  <c r="C914" i="41"/>
  <c r="D914" i="41" s="1"/>
  <c r="E914" i="41" s="1"/>
  <c r="C1281" i="41"/>
  <c r="D1281" i="41" s="1"/>
  <c r="E1281" i="41" s="1"/>
  <c r="C913" i="41"/>
  <c r="D913" i="41" s="1"/>
  <c r="E913" i="41" s="1"/>
  <c r="C1001" i="41"/>
  <c r="D1001" i="41" s="1"/>
  <c r="C967" i="41"/>
  <c r="D967" i="41" s="1"/>
  <c r="E967" i="41" s="1"/>
  <c r="C1250" i="41"/>
  <c r="D1250" i="41" s="1"/>
  <c r="E1250" i="41" s="1"/>
  <c r="C949" i="41"/>
  <c r="D949" i="41" s="1"/>
  <c r="E949" i="41" s="1"/>
  <c r="C836" i="41"/>
  <c r="D836" i="41" s="1"/>
  <c r="E836" i="41" s="1"/>
  <c r="C1312" i="41"/>
  <c r="D1312" i="41" s="1"/>
  <c r="E1312" i="41" s="1"/>
  <c r="C718" i="41"/>
  <c r="D718" i="41" s="1"/>
  <c r="E718" i="41" s="1"/>
  <c r="C716" i="41"/>
  <c r="D716" i="41" s="1"/>
  <c r="E716" i="41" s="1"/>
  <c r="C938" i="41"/>
  <c r="D938" i="41" s="1"/>
  <c r="C1104" i="41"/>
  <c r="D1104" i="41" s="1"/>
  <c r="E1104" i="41" s="1"/>
  <c r="C794" i="41"/>
  <c r="D794" i="41" s="1"/>
  <c r="F794" i="41" s="1"/>
  <c r="C1217" i="41"/>
  <c r="D1217" i="41" s="1"/>
  <c r="E1217" i="41" s="1"/>
  <c r="C1024" i="41"/>
  <c r="D1024" i="41" s="1"/>
  <c r="E1024" i="41" s="1"/>
  <c r="C732" i="41"/>
  <c r="D732" i="41" s="1"/>
  <c r="F732" i="41" s="1"/>
  <c r="C1078" i="41"/>
  <c r="D1078" i="41" s="1"/>
  <c r="E1078" i="41" s="1"/>
  <c r="C1314" i="41"/>
  <c r="D1314" i="41" s="1"/>
  <c r="E1314" i="41" s="1"/>
  <c r="C882" i="41"/>
  <c r="D882" i="41" s="1"/>
  <c r="C1044" i="41"/>
  <c r="D1044" i="41" s="1"/>
  <c r="E1044" i="41" s="1"/>
  <c r="C1144" i="41"/>
  <c r="D1144" i="41" s="1"/>
  <c r="E1144" i="41" s="1"/>
  <c r="C968" i="41"/>
  <c r="D968" i="41" s="1"/>
  <c r="C1227" i="41"/>
  <c r="D1227" i="41" s="1"/>
  <c r="C1098" i="41"/>
  <c r="D1098" i="41" s="1"/>
  <c r="E1098" i="41" s="1"/>
  <c r="C795" i="41"/>
  <c r="D795" i="41" s="1"/>
  <c r="F795" i="41" s="1"/>
  <c r="C1127" i="41"/>
  <c r="D1127" i="41" s="1"/>
  <c r="E1127" i="41" s="1"/>
  <c r="C1243" i="41"/>
  <c r="D1243" i="41" s="1"/>
  <c r="E1243" i="41" s="1"/>
  <c r="C1015" i="41"/>
  <c r="D1015" i="41" s="1"/>
  <c r="E1015" i="41" s="1"/>
  <c r="C942" i="41"/>
  <c r="D942" i="41" s="1"/>
  <c r="E942" i="41" s="1"/>
  <c r="C1008" i="41"/>
  <c r="D1008" i="41" s="1"/>
  <c r="E1008" i="41" s="1"/>
  <c r="C936" i="41"/>
  <c r="D936" i="41" s="1"/>
  <c r="E936" i="41" s="1"/>
  <c r="C940" i="41"/>
  <c r="D940" i="41" s="1"/>
  <c r="E940" i="41" s="1"/>
  <c r="C1085" i="41"/>
  <c r="D1085" i="41" s="1"/>
  <c r="E1085" i="41" s="1"/>
  <c r="C753" i="41"/>
  <c r="D753" i="41" s="1"/>
  <c r="F753" i="41" s="1"/>
  <c r="C890" i="41"/>
  <c r="D890" i="41" s="1"/>
  <c r="E890" i="41" s="1"/>
  <c r="C945" i="41"/>
  <c r="D945" i="41" s="1"/>
  <c r="E945" i="41" s="1"/>
  <c r="C740" i="41"/>
  <c r="D740" i="41" s="1"/>
  <c r="E740" i="41" s="1"/>
  <c r="C832" i="41"/>
  <c r="D832" i="41" s="1"/>
  <c r="F832" i="41" s="1"/>
  <c r="C955" i="41"/>
  <c r="D955" i="41" s="1"/>
  <c r="E955" i="41" s="1"/>
  <c r="C1157" i="41"/>
  <c r="D1157" i="41" s="1"/>
  <c r="E1157" i="41" s="1"/>
  <c r="C1023" i="41"/>
  <c r="D1023" i="41" s="1"/>
  <c r="E1023" i="41" s="1"/>
  <c r="C1017" i="41"/>
  <c r="D1017" i="41" s="1"/>
  <c r="E1017" i="41" s="1"/>
  <c r="C963" i="41"/>
  <c r="D963" i="41" s="1"/>
  <c r="C723" i="41"/>
  <c r="D723" i="41" s="1"/>
  <c r="E723" i="41" s="1"/>
  <c r="C999" i="41"/>
  <c r="D999" i="41" s="1"/>
  <c r="C1075" i="41"/>
  <c r="D1075" i="41" s="1"/>
  <c r="E1075" i="41" s="1"/>
  <c r="C859" i="41"/>
  <c r="D859" i="41" s="1"/>
  <c r="E859" i="41" s="1"/>
  <c r="C733" i="41"/>
  <c r="D733" i="41" s="1"/>
  <c r="E733" i="41" s="1"/>
  <c r="C720" i="41"/>
  <c r="D720" i="41" s="1"/>
  <c r="C803" i="41"/>
  <c r="D803" i="41" s="1"/>
  <c r="E803" i="41" s="1"/>
  <c r="C853" i="41"/>
  <c r="D853" i="41" s="1"/>
  <c r="C1224" i="41"/>
  <c r="D1224" i="41" s="1"/>
  <c r="E1224" i="41" s="1"/>
  <c r="C798" i="41"/>
  <c r="D798" i="41" s="1"/>
  <c r="E798" i="41" s="1"/>
  <c r="C1029" i="41"/>
  <c r="D1029" i="41" s="1"/>
  <c r="C895" i="41"/>
  <c r="D895" i="41" s="1"/>
  <c r="C1296" i="41"/>
  <c r="D1296" i="41" s="1"/>
  <c r="C1095" i="41"/>
  <c r="D1095" i="41" s="1"/>
  <c r="E1095" i="41" s="1"/>
  <c r="C1046" i="41"/>
  <c r="D1046" i="41" s="1"/>
  <c r="E1046" i="41" s="1"/>
  <c r="C869" i="41"/>
  <c r="D869" i="41" s="1"/>
  <c r="E869" i="41" s="1"/>
  <c r="C1275" i="41"/>
  <c r="D1275" i="41" s="1"/>
  <c r="E1275" i="41" s="1"/>
  <c r="C935" i="41"/>
  <c r="D935" i="41" s="1"/>
  <c r="E935" i="41" s="1"/>
  <c r="C1155" i="41"/>
  <c r="D1155" i="41" s="1"/>
  <c r="E1155" i="41" s="1"/>
  <c r="C950" i="41"/>
  <c r="D950" i="41" s="1"/>
  <c r="C987" i="41"/>
  <c r="D987" i="41" s="1"/>
  <c r="E987" i="41" s="1"/>
  <c r="C952" i="41"/>
  <c r="D952" i="41" s="1"/>
  <c r="E952" i="41" s="1"/>
  <c r="C899" i="41"/>
  <c r="D899" i="41" s="1"/>
  <c r="E899" i="41" s="1"/>
  <c r="C1269" i="41"/>
  <c r="D1269" i="41" s="1"/>
  <c r="E1269" i="41" s="1"/>
  <c r="C1228" i="41"/>
  <c r="D1228" i="41" s="1"/>
  <c r="E1228" i="41" s="1"/>
  <c r="C993" i="41"/>
  <c r="D993" i="41" s="1"/>
  <c r="E993" i="41" s="1"/>
  <c r="C1282" i="41"/>
  <c r="D1282" i="41" s="1"/>
  <c r="E1282" i="41" s="1"/>
  <c r="C1231" i="41"/>
  <c r="D1231" i="41" s="1"/>
  <c r="E1231" i="41" s="1"/>
  <c r="C926" i="41"/>
  <c r="D926" i="41" s="1"/>
  <c r="E926" i="41" s="1"/>
  <c r="C1267" i="41"/>
  <c r="D1267" i="41" s="1"/>
  <c r="E1267" i="41" s="1"/>
  <c r="C1241" i="41"/>
  <c r="D1241" i="41" s="1"/>
  <c r="E1241" i="41" s="1"/>
  <c r="C1022" i="41"/>
  <c r="D1022" i="41" s="1"/>
  <c r="E1022" i="41" s="1"/>
  <c r="C1086" i="41"/>
  <c r="D1086" i="41" s="1"/>
  <c r="E1086" i="41" s="1"/>
  <c r="C1042" i="41"/>
  <c r="D1042" i="41" s="1"/>
  <c r="E1042" i="41" s="1"/>
  <c r="C905" i="41"/>
  <c r="D905" i="41" s="1"/>
  <c r="E905" i="41" s="1"/>
  <c r="C1279" i="41"/>
  <c r="D1279" i="41" s="1"/>
  <c r="E1279" i="41" s="1"/>
  <c r="C1280" i="41"/>
  <c r="D1280" i="41" s="1"/>
  <c r="E1280" i="41" s="1"/>
  <c r="C1135" i="41"/>
  <c r="D1135" i="41" s="1"/>
  <c r="E1135" i="41" s="1"/>
  <c r="C868" i="41"/>
  <c r="D868" i="41" s="1"/>
  <c r="E868" i="41" s="1"/>
  <c r="C958" i="41"/>
  <c r="D958" i="41" s="1"/>
  <c r="C1120" i="41"/>
  <c r="D1120" i="41" s="1"/>
  <c r="E1120" i="41" s="1"/>
  <c r="C736" i="41"/>
  <c r="D736" i="41" s="1"/>
  <c r="E736" i="41" s="1"/>
  <c r="C1069" i="41"/>
  <c r="D1069" i="41" s="1"/>
  <c r="E1069" i="41" s="1"/>
  <c r="C1050" i="41"/>
  <c r="D1050" i="41" s="1"/>
  <c r="E1050" i="41" s="1"/>
  <c r="C1239" i="41"/>
  <c r="D1239" i="41" s="1"/>
  <c r="E1239" i="41" s="1"/>
  <c r="C1067" i="41"/>
  <c r="D1067" i="41" s="1"/>
  <c r="E1067" i="41" s="1"/>
  <c r="C1097" i="41"/>
  <c r="D1097" i="41" s="1"/>
  <c r="C1303" i="41"/>
  <c r="D1303" i="41" s="1"/>
  <c r="C1013" i="41"/>
  <c r="D1013" i="41" s="1"/>
  <c r="E1013" i="41" s="1"/>
  <c r="C719" i="41"/>
  <c r="D719" i="41" s="1"/>
  <c r="F719" i="41" s="1"/>
  <c r="C1191" i="41"/>
  <c r="D1191" i="41" s="1"/>
  <c r="C1039" i="41"/>
  <c r="D1039" i="41" s="1"/>
  <c r="E1039" i="41" s="1"/>
  <c r="C1195" i="41"/>
  <c r="D1195" i="41" s="1"/>
  <c r="E1195" i="41" s="1"/>
  <c r="C874" i="41"/>
  <c r="D874" i="41" s="1"/>
  <c r="C984" i="41"/>
  <c r="D984" i="41" s="1"/>
  <c r="E984" i="41" s="1"/>
  <c r="C1031" i="41"/>
  <c r="D1031" i="41" s="1"/>
  <c r="E1031" i="41" s="1"/>
  <c r="C752" i="41"/>
  <c r="D752" i="41" s="1"/>
  <c r="C969" i="41"/>
  <c r="D969" i="41" s="1"/>
  <c r="E969" i="41" s="1"/>
  <c r="C975" i="41"/>
  <c r="D975" i="41" s="1"/>
  <c r="E975" i="41" s="1"/>
  <c r="C1079" i="41"/>
  <c r="D1079" i="41" s="1"/>
  <c r="C1276" i="41"/>
  <c r="D1276" i="41" s="1"/>
  <c r="E1276" i="41" s="1"/>
  <c r="C1310" i="41"/>
  <c r="D1310" i="41" s="1"/>
  <c r="E1310" i="41" s="1"/>
  <c r="C921" i="41"/>
  <c r="D921" i="41" s="1"/>
  <c r="C1011" i="41"/>
  <c r="D1011" i="41" s="1"/>
  <c r="E1011" i="41" s="1"/>
  <c r="C759" i="41"/>
  <c r="D759" i="41" s="1"/>
  <c r="E759" i="41" s="1"/>
  <c r="C1099" i="41"/>
  <c r="D1099" i="41" s="1"/>
  <c r="C786" i="41"/>
  <c r="D786" i="41" s="1"/>
  <c r="E786" i="41" s="1"/>
  <c r="C1169" i="41"/>
  <c r="D1169" i="41" s="1"/>
  <c r="C923" i="41"/>
  <c r="D923" i="41" s="1"/>
  <c r="E923" i="41" s="1"/>
  <c r="C1317" i="41"/>
  <c r="D1317" i="41" s="1"/>
  <c r="E1317" i="41" s="1"/>
  <c r="C932" i="41"/>
  <c r="D932" i="41" s="1"/>
  <c r="E932" i="41" s="1"/>
  <c r="C1131" i="41"/>
  <c r="D1131" i="41" s="1"/>
  <c r="C939" i="41"/>
  <c r="D939" i="41" s="1"/>
  <c r="E939" i="41" s="1"/>
  <c r="C784" i="41"/>
  <c r="D784" i="41" s="1"/>
  <c r="C1198" i="41"/>
  <c r="D1198" i="41" s="1"/>
  <c r="E1198" i="41" s="1"/>
  <c r="C734" i="41"/>
  <c r="D734" i="41" s="1"/>
  <c r="F734" i="41" s="1"/>
  <c r="C1242" i="41"/>
  <c r="D1242" i="41" s="1"/>
  <c r="C754" i="41"/>
  <c r="D754" i="41" s="1"/>
  <c r="C765" i="41"/>
  <c r="D765" i="41" s="1"/>
  <c r="E765" i="41" s="1"/>
  <c r="C1187" i="41"/>
  <c r="D1187" i="41" s="1"/>
  <c r="E1187" i="41" s="1"/>
  <c r="C1219" i="41"/>
  <c r="D1219" i="41" s="1"/>
  <c r="E1219" i="41" s="1"/>
  <c r="C799" i="41"/>
  <c r="D799" i="41" s="1"/>
  <c r="E799" i="41" s="1"/>
  <c r="C861" i="41"/>
  <c r="D861" i="41" s="1"/>
  <c r="F861" i="41" s="1"/>
  <c r="C1247" i="41"/>
  <c r="D1247" i="41" s="1"/>
  <c r="E1247" i="41" s="1"/>
  <c r="C835" i="41"/>
  <c r="D835" i="41" s="1"/>
  <c r="E835" i="41" s="1"/>
  <c r="C961" i="41"/>
  <c r="D961" i="41" s="1"/>
  <c r="E961" i="41" s="1"/>
  <c r="C1265" i="41"/>
  <c r="D1265" i="41" s="1"/>
  <c r="E1265" i="41" s="1"/>
  <c r="C1125" i="41"/>
  <c r="D1125" i="41" s="1"/>
  <c r="E1125" i="41" s="1"/>
  <c r="C757" i="41"/>
  <c r="D757" i="41" s="1"/>
  <c r="F757" i="41" s="1"/>
  <c r="C966" i="41"/>
  <c r="D966" i="41" s="1"/>
  <c r="C907" i="41"/>
  <c r="D907" i="41" s="1"/>
  <c r="E907" i="41" s="1"/>
  <c r="C1220" i="41"/>
  <c r="D1220" i="41" s="1"/>
  <c r="E1220" i="41" s="1"/>
  <c r="C841" i="41"/>
  <c r="D841" i="41" s="1"/>
  <c r="E841" i="41" s="1"/>
  <c r="C1264" i="41"/>
  <c r="D1264" i="41" s="1"/>
  <c r="E1264" i="41" s="1"/>
  <c r="C768" i="41"/>
  <c r="D768" i="41" s="1"/>
  <c r="F768" i="41" s="1"/>
  <c r="C1301" i="41"/>
  <c r="D1301" i="41" s="1"/>
  <c r="E1301" i="41" s="1"/>
  <c r="C1288" i="41"/>
  <c r="D1288" i="41" s="1"/>
  <c r="E1288" i="41" s="1"/>
  <c r="C780" i="41"/>
  <c r="D780" i="41" s="1"/>
  <c r="C998" i="41"/>
  <c r="D998" i="41" s="1"/>
  <c r="E998" i="41" s="1"/>
  <c r="C822" i="41"/>
  <c r="D822" i="41" s="1"/>
  <c r="E822" i="41" s="1"/>
  <c r="C1145" i="41"/>
  <c r="D1145" i="41" s="1"/>
  <c r="C931" i="41"/>
  <c r="D931" i="41" s="1"/>
  <c r="E931" i="41" s="1"/>
  <c r="C1315" i="41"/>
  <c r="D1315" i="41" s="1"/>
  <c r="C871" i="41"/>
  <c r="D871" i="41" s="1"/>
  <c r="E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E1258" i="41" s="1"/>
  <c r="C721" i="41"/>
  <c r="D721" i="41" s="1"/>
  <c r="C1305" i="41"/>
  <c r="D1305" i="41" s="1"/>
  <c r="C1209" i="41"/>
  <c r="D1209" i="41" s="1"/>
  <c r="E1209" i="41" s="1"/>
  <c r="C1232" i="41"/>
  <c r="D1232" i="41" s="1"/>
  <c r="E1232" i="41" s="1"/>
  <c r="C933" i="41"/>
  <c r="D933" i="41" s="1"/>
  <c r="E933" i="41" s="1"/>
  <c r="C1257" i="41"/>
  <c r="D1257" i="41" s="1"/>
  <c r="E1257" i="41" s="1"/>
  <c r="C915" i="41"/>
  <c r="D915" i="41" s="1"/>
  <c r="C846" i="41"/>
  <c r="D846" i="41" s="1"/>
  <c r="E846" i="41" s="1"/>
  <c r="C901" i="41"/>
  <c r="D901" i="41" s="1"/>
  <c r="C745" i="41"/>
  <c r="D745" i="41" s="1"/>
  <c r="F745" i="41" s="1"/>
  <c r="C894" i="41"/>
  <c r="D894" i="41" s="1"/>
  <c r="C758" i="41"/>
  <c r="D758" i="41" s="1"/>
  <c r="E758" i="41" s="1"/>
  <c r="C1094" i="41"/>
  <c r="D1094" i="41" s="1"/>
  <c r="C791" i="41"/>
  <c r="D791" i="41" s="1"/>
  <c r="C1080" i="41"/>
  <c r="D1080" i="41" s="1"/>
  <c r="E1080" i="41" s="1"/>
  <c r="C1129" i="41"/>
  <c r="D1129" i="41" s="1"/>
  <c r="E1129" i="41" s="1"/>
  <c r="C1151" i="41"/>
  <c r="D1151" i="41" s="1"/>
  <c r="E1151" i="41" s="1"/>
  <c r="C1234" i="41"/>
  <c r="D1234" i="41" s="1"/>
  <c r="E1234" i="41" s="1"/>
  <c r="C1041" i="41"/>
  <c r="D1041" i="41" s="1"/>
  <c r="C781" i="41"/>
  <c r="D781" i="41" s="1"/>
  <c r="F781" i="41" s="1"/>
  <c r="C1308" i="41"/>
  <c r="D1308" i="41" s="1"/>
  <c r="E1308" i="41" s="1"/>
  <c r="C922" i="41"/>
  <c r="D922" i="41" s="1"/>
  <c r="E922" i="41" s="1"/>
  <c r="C1123" i="41"/>
  <c r="D1123" i="41" s="1"/>
  <c r="C957" i="41"/>
  <c r="D957" i="41" s="1"/>
  <c r="C994" i="41"/>
  <c r="D994" i="41" s="1"/>
  <c r="E994" i="41" s="1"/>
  <c r="C1118" i="41"/>
  <c r="D1118" i="41" s="1"/>
  <c r="E1118" i="41" s="1"/>
  <c r="C1170" i="41"/>
  <c r="D1170" i="41" s="1"/>
  <c r="C1176" i="41"/>
  <c r="D1176" i="41" s="1"/>
  <c r="C973" i="41"/>
  <c r="D973" i="41" s="1"/>
  <c r="E973" i="41" s="1"/>
  <c r="C1038" i="41"/>
  <c r="D1038" i="41" s="1"/>
  <c r="E1038" i="41" s="1"/>
  <c r="C1226" i="41"/>
  <c r="D1226" i="41" s="1"/>
  <c r="C959" i="41"/>
  <c r="D959" i="41" s="1"/>
  <c r="C857" i="41"/>
  <c r="D857" i="41" s="1"/>
  <c r="E857" i="41" s="1"/>
  <c r="C1316" i="41"/>
  <c r="D1316" i="41" s="1"/>
  <c r="E1316" i="41" s="1"/>
  <c r="C1173" i="41"/>
  <c r="D1173" i="41" s="1"/>
  <c r="E1173" i="41" s="1"/>
  <c r="C809" i="41"/>
  <c r="D809" i="41" s="1"/>
  <c r="F809" i="41" s="1"/>
  <c r="C1208" i="41"/>
  <c r="D1208" i="41" s="1"/>
  <c r="C1199" i="41"/>
  <c r="D1199" i="41" s="1"/>
  <c r="C1117" i="41"/>
  <c r="D1117" i="41" s="1"/>
  <c r="E1117" i="41" s="1"/>
  <c r="C818" i="41"/>
  <c r="D818" i="41" s="1"/>
  <c r="C1058" i="41"/>
  <c r="D1058" i="41" s="1"/>
  <c r="E1058" i="41" s="1"/>
  <c r="C946" i="41"/>
  <c r="D946" i="41" s="1"/>
  <c r="C974" i="41"/>
  <c r="D974" i="41" s="1"/>
  <c r="C1274" i="41"/>
  <c r="D1274" i="41" s="1"/>
  <c r="E1274" i="41" s="1"/>
  <c r="C1273" i="41"/>
  <c r="D1273" i="41" s="1"/>
  <c r="C1295" i="41"/>
  <c r="D1295" i="41" s="1"/>
  <c r="C1249" i="41"/>
  <c r="D1249" i="41" s="1"/>
  <c r="E1249" i="41" s="1"/>
  <c r="C792" i="41"/>
  <c r="D792" i="41" s="1"/>
  <c r="C1021" i="41"/>
  <c r="D1021" i="41" s="1"/>
  <c r="E1021" i="41" s="1"/>
  <c r="C847" i="41"/>
  <c r="D847" i="41" s="1"/>
  <c r="E847" i="41" s="1"/>
  <c r="C796" i="41"/>
  <c r="D796" i="41" s="1"/>
  <c r="C800" i="41"/>
  <c r="D800" i="41" s="1"/>
  <c r="E800" i="41" s="1"/>
  <c r="C789" i="41"/>
  <c r="D789" i="41" s="1"/>
  <c r="E789" i="41" s="1"/>
  <c r="C911" i="41"/>
  <c r="D911" i="41" s="1"/>
  <c r="E911" i="41" s="1"/>
  <c r="C1110" i="41"/>
  <c r="D1110" i="41" s="1"/>
  <c r="C1141" i="41"/>
  <c r="D1141" i="41" s="1"/>
  <c r="E1141" i="41" s="1"/>
  <c r="C735" i="41"/>
  <c r="D735" i="41" s="1"/>
  <c r="C1293" i="41"/>
  <c r="D1293" i="41" s="1"/>
  <c r="C1207" i="41"/>
  <c r="D1207" i="41" s="1"/>
  <c r="E1207" i="41" s="1"/>
  <c r="C1068" i="41"/>
  <c r="D1068" i="41" s="1"/>
  <c r="E1068" i="41" s="1"/>
  <c r="C1213" i="41"/>
  <c r="D1213" i="41" s="1"/>
  <c r="E1213" i="41" s="1"/>
  <c r="C865" i="41"/>
  <c r="D865" i="41" s="1"/>
  <c r="F865" i="41" s="1"/>
  <c r="C1289" i="41"/>
  <c r="D1289" i="41" s="1"/>
  <c r="C1203" i="41"/>
  <c r="D1203" i="41" s="1"/>
  <c r="E1203" i="41" s="1"/>
  <c r="C1056" i="41"/>
  <c r="D1056" i="41" s="1"/>
  <c r="E1056" i="41" s="1"/>
  <c r="C1073" i="41"/>
  <c r="D1073" i="41" s="1"/>
  <c r="E1073" i="41" s="1"/>
  <c r="C806" i="41"/>
  <c r="D806" i="41" s="1"/>
  <c r="E806" i="41" s="1"/>
  <c r="C1088" i="41"/>
  <c r="D1088" i="41" s="1"/>
  <c r="E1088" i="41" s="1"/>
  <c r="C1253" i="41"/>
  <c r="D1253" i="41" s="1"/>
  <c r="C891" i="41"/>
  <c r="D891" i="41" s="1"/>
  <c r="E891" i="41" s="1"/>
  <c r="C1197" i="41"/>
  <c r="D1197" i="41" s="1"/>
  <c r="C1007" i="41"/>
  <c r="D1007" i="41" s="1"/>
  <c r="E1007" i="41" s="1"/>
  <c r="C860" i="41"/>
  <c r="D860" i="41" s="1"/>
  <c r="F860" i="41" s="1"/>
  <c r="C917" i="41"/>
  <c r="D917" i="41" s="1"/>
  <c r="E917" i="41" s="1"/>
  <c r="C1311" i="41"/>
  <c r="D1311" i="41" s="1"/>
  <c r="C1309" i="41"/>
  <c r="D1309" i="41" s="1"/>
  <c r="C1002" i="41"/>
  <c r="D1002" i="41" s="1"/>
  <c r="E1002" i="41" s="1"/>
  <c r="C1035" i="41"/>
  <c r="D1035" i="41" s="1"/>
  <c r="E1035" i="41" s="1"/>
  <c r="C837" i="41"/>
  <c r="D837" i="41" s="1"/>
  <c r="C1283" i="41"/>
  <c r="D1283" i="41" s="1"/>
  <c r="C826" i="41"/>
  <c r="D826" i="41" s="1"/>
  <c r="F826" i="41" s="1"/>
  <c r="C995" i="41"/>
  <c r="D995" i="41" s="1"/>
  <c r="C1266" i="41"/>
  <c r="D1266" i="41" s="1"/>
  <c r="C1188" i="41"/>
  <c r="D1188" i="41" s="1"/>
  <c r="C902" i="41"/>
  <c r="D902" i="41" s="1"/>
  <c r="E902" i="41" s="1"/>
  <c r="C850" i="41"/>
  <c r="D850" i="41" s="1"/>
  <c r="C810" i="41"/>
  <c r="D810" i="41" s="1"/>
  <c r="F810" i="41" s="1"/>
  <c r="C964" i="41"/>
  <c r="D964" i="41" s="1"/>
  <c r="E964" i="41" s="1"/>
  <c r="C824" i="41"/>
  <c r="D824" i="41" s="1"/>
  <c r="E824" i="41" s="1"/>
  <c r="C960" i="41"/>
  <c r="D960" i="41" s="1"/>
  <c r="C1255" i="41"/>
  <c r="D1255" i="41" s="1"/>
  <c r="E1255" i="41" s="1"/>
  <c r="C1101" i="41"/>
  <c r="D1101" i="41" s="1"/>
  <c r="E1101" i="41" s="1"/>
  <c r="C1036" i="41"/>
  <c r="D1036" i="41" s="1"/>
  <c r="E1036" i="41" s="1"/>
  <c r="C888" i="41"/>
  <c r="D888" i="41" s="1"/>
  <c r="C1306" i="41"/>
  <c r="D1306" i="41" s="1"/>
  <c r="C739" i="41"/>
  <c r="D739" i="41" s="1"/>
  <c r="E739" i="41" s="1"/>
  <c r="C1204" i="41"/>
  <c r="D1204" i="41" s="1"/>
  <c r="C1263" i="41"/>
  <c r="D1263" i="41" s="1"/>
  <c r="E1263" i="41" s="1"/>
  <c r="C827" i="41"/>
  <c r="D827" i="41" s="1"/>
  <c r="F827" i="41" s="1"/>
  <c r="C829" i="41"/>
  <c r="D829" i="41" s="1"/>
  <c r="E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E776" i="41" s="1"/>
  <c r="C1026" i="41"/>
  <c r="D1026" i="41" s="1"/>
  <c r="C867" i="41"/>
  <c r="D867" i="41" s="1"/>
  <c r="E867" i="41" s="1"/>
  <c r="C1087" i="41"/>
  <c r="D1087" i="41" s="1"/>
  <c r="C1299" i="41"/>
  <c r="D1299" i="41" s="1"/>
  <c r="C728" i="41"/>
  <c r="D728" i="41" s="1"/>
  <c r="C801" i="41"/>
  <c r="D801" i="41" s="1"/>
  <c r="E801" i="41" s="1"/>
  <c r="C830" i="41"/>
  <c r="D830" i="41" s="1"/>
  <c r="C825" i="41"/>
  <c r="D825" i="41" s="1"/>
  <c r="E825" i="41" s="1"/>
  <c r="C896" i="41"/>
  <c r="D896" i="41" s="1"/>
  <c r="E896" i="41" s="1"/>
  <c r="C715" i="41"/>
  <c r="D715" i="41" s="1"/>
  <c r="F715" i="41" s="1"/>
  <c r="C1114" i="41"/>
  <c r="D1114" i="41" s="1"/>
  <c r="C804" i="41"/>
  <c r="D804" i="41" s="1"/>
  <c r="C1025" i="41"/>
  <c r="D1025" i="41" s="1"/>
  <c r="E1025" i="41" s="1"/>
  <c r="C774" i="41"/>
  <c r="D774" i="41" s="1"/>
  <c r="C1010" i="41"/>
  <c r="D1010" i="41" s="1"/>
  <c r="E1010" i="41" s="1"/>
  <c r="C956" i="41"/>
  <c r="D956" i="41" s="1"/>
  <c r="E956" i="41" s="1"/>
  <c r="C1045" i="41"/>
  <c r="D1045" i="41" s="1"/>
  <c r="E1045" i="41" s="1"/>
  <c r="C1229" i="41"/>
  <c r="D1229" i="41" s="1"/>
  <c r="C872" i="41"/>
  <c r="D872" i="41" s="1"/>
  <c r="C1150" i="41"/>
  <c r="D1150" i="41" s="1"/>
  <c r="E1150" i="41" s="1"/>
  <c r="C1000" i="41"/>
  <c r="D1000" i="41" s="1"/>
  <c r="E1000" i="41" s="1"/>
  <c r="C910" i="41"/>
  <c r="D910" i="41" s="1"/>
  <c r="E910" i="41" s="1"/>
  <c r="C1162" i="41"/>
  <c r="D1162" i="41" s="1"/>
  <c r="E1162" i="41" s="1"/>
  <c r="C1014" i="41"/>
  <c r="D1014" i="41" s="1"/>
  <c r="E1014" i="41" s="1"/>
  <c r="C849" i="41"/>
  <c r="D849" i="41" s="1"/>
  <c r="F849" i="41" s="1"/>
  <c r="C805" i="41"/>
  <c r="D805" i="41" s="1"/>
  <c r="E805" i="41" s="1"/>
  <c r="C1112" i="41"/>
  <c r="D1112" i="41" s="1"/>
  <c r="C1027" i="41"/>
  <c r="D1027" i="41" s="1"/>
  <c r="E1027" i="41" s="1"/>
  <c r="C1278" i="41"/>
  <c r="D1278" i="41" s="1"/>
  <c r="C1096" i="41"/>
  <c r="D1096" i="41" s="1"/>
  <c r="E1096" i="41" s="1"/>
  <c r="C1216" i="41"/>
  <c r="D1216" i="41" s="1"/>
  <c r="C947" i="41"/>
  <c r="D947" i="41" s="1"/>
  <c r="E947" i="41" s="1"/>
  <c r="C815" i="41"/>
  <c r="D815" i="41" s="1"/>
  <c r="C996" i="41"/>
  <c r="D996" i="41" s="1"/>
  <c r="E996" i="41" s="1"/>
  <c r="C1004" i="41"/>
  <c r="D1004" i="41" s="1"/>
  <c r="C1159" i="41"/>
  <c r="D1159" i="41" s="1"/>
  <c r="E1159" i="41" s="1"/>
  <c r="C851" i="41"/>
  <c r="D851" i="41" s="1"/>
  <c r="F851" i="41" s="1"/>
  <c r="C1064" i="41"/>
  <c r="D1064" i="41" s="1"/>
  <c r="E1064" i="41" s="1"/>
  <c r="C724" i="41"/>
  <c r="D724" i="41" s="1"/>
  <c r="C885" i="41"/>
  <c r="D885" i="41" s="1"/>
  <c r="C1128" i="41"/>
  <c r="D1128" i="41" s="1"/>
  <c r="C1210" i="41"/>
  <c r="D1210" i="41" s="1"/>
  <c r="E1210" i="41" s="1"/>
  <c r="C1109" i="41"/>
  <c r="D1109" i="41" s="1"/>
  <c r="E1109" i="41" s="1"/>
  <c r="C1012" i="41"/>
  <c r="D1012" i="41" s="1"/>
  <c r="C989" i="41"/>
  <c r="D989" i="41" s="1"/>
  <c r="C817" i="41"/>
  <c r="D817" i="41" s="1"/>
  <c r="E817" i="41" s="1"/>
  <c r="C750" i="41"/>
  <c r="D750" i="41" s="1"/>
  <c r="E750" i="41" s="1"/>
  <c r="C1066" i="41"/>
  <c r="D1066" i="41" s="1"/>
  <c r="E1066" i="41" s="1"/>
  <c r="C1113" i="41"/>
  <c r="D1113" i="41" s="1"/>
  <c r="C991" i="41"/>
  <c r="D991" i="41" s="1"/>
  <c r="C1153" i="41"/>
  <c r="D1153" i="41" s="1"/>
  <c r="E1153" i="41" s="1"/>
  <c r="C909" i="41"/>
  <c r="D909" i="41" s="1"/>
  <c r="E909" i="41" s="1"/>
  <c r="C948" i="41"/>
  <c r="D948" i="41" s="1"/>
  <c r="E948" i="41" s="1"/>
  <c r="C1290" i="41"/>
  <c r="D1290" i="41" s="1"/>
  <c r="E1290" i="41" s="1"/>
  <c r="C1260" i="41"/>
  <c r="D1260" i="41" s="1"/>
  <c r="E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E1082" i="41" s="1"/>
  <c r="C767" i="41"/>
  <c r="D767" i="41" s="1"/>
  <c r="C1189" i="41"/>
  <c r="D1189" i="41" s="1"/>
  <c r="E1189" i="41" s="1"/>
  <c r="C1261" i="41"/>
  <c r="D1261" i="41" s="1"/>
  <c r="E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E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E1202" i="41" s="1"/>
  <c r="C1054" i="41"/>
  <c r="D1054" i="41" s="1"/>
  <c r="C1272" i="41"/>
  <c r="D1272" i="41" s="1"/>
  <c r="E1272" i="41" s="1"/>
  <c r="C1033" i="41"/>
  <c r="D1033" i="41" s="1"/>
  <c r="E1033" i="41" s="1"/>
  <c r="C990" i="41"/>
  <c r="D990" i="41" s="1"/>
  <c r="C1070" i="41"/>
  <c r="D1070" i="41" s="1"/>
  <c r="E1070" i="41" s="1"/>
  <c r="C1313" i="41"/>
  <c r="D1313" i="41" s="1"/>
  <c r="E1313" i="41" s="1"/>
  <c r="C1177" i="41"/>
  <c r="D1177" i="41" s="1"/>
  <c r="E1177" i="41" s="1"/>
  <c r="C819" i="41"/>
  <c r="D819" i="41" s="1"/>
  <c r="E819" i="41" s="1"/>
  <c r="C1292" i="41"/>
  <c r="D1292" i="41" s="1"/>
  <c r="E1292" i="41" s="1"/>
  <c r="C884" i="41"/>
  <c r="D884" i="41" s="1"/>
  <c r="E884" i="41" s="1"/>
  <c r="C887" i="41"/>
  <c r="D887" i="41" s="1"/>
  <c r="C1277" i="41"/>
  <c r="D1277" i="41" s="1"/>
  <c r="E1277" i="41" s="1"/>
  <c r="C1040" i="41"/>
  <c r="D1040" i="41" s="1"/>
  <c r="C1142" i="41"/>
  <c r="D1142" i="41" s="1"/>
  <c r="E1142" i="41" s="1"/>
  <c r="C1215" i="41"/>
  <c r="D1215" i="41" s="1"/>
  <c r="E1215" i="41" s="1"/>
  <c r="C943" i="41"/>
  <c r="D943" i="41" s="1"/>
  <c r="C1225" i="41"/>
  <c r="D1225" i="41" s="1"/>
  <c r="C1089" i="41"/>
  <c r="D1089" i="41" s="1"/>
  <c r="E1089" i="41" s="1"/>
  <c r="C1233" i="41"/>
  <c r="D1233" i="41" s="1"/>
  <c r="E1233" i="41" s="1"/>
  <c r="C1154" i="41"/>
  <c r="D1154" i="41" s="1"/>
  <c r="C843" i="41"/>
  <c r="D843" i="41" s="1"/>
  <c r="C749" i="41"/>
  <c r="D749" i="41" s="1"/>
  <c r="C870" i="41"/>
  <c r="D870" i="41" s="1"/>
  <c r="E870" i="41" s="1"/>
  <c r="C1190" i="41"/>
  <c r="D1190" i="41" s="1"/>
  <c r="C1168" i="41"/>
  <c r="D1168" i="41" s="1"/>
  <c r="C1245" i="41"/>
  <c r="D1245" i="41" s="1"/>
  <c r="E1245" i="41" s="1"/>
  <c r="C1093" i="41"/>
  <c r="D1093" i="41" s="1"/>
  <c r="C808" i="41"/>
  <c r="D808" i="41" s="1"/>
  <c r="C1297" i="41"/>
  <c r="D1297" i="41" s="1"/>
  <c r="E1297" i="41" s="1"/>
  <c r="C763" i="41"/>
  <c r="D763" i="41" s="1"/>
  <c r="C1320" i="41"/>
  <c r="D1320" i="41" s="1"/>
  <c r="C1218" i="41"/>
  <c r="D1218" i="41" s="1"/>
  <c r="E1218" i="41" s="1"/>
  <c r="C1132" i="41"/>
  <c r="D1132" i="41" s="1"/>
  <c r="C880" i="41"/>
  <c r="D880" i="41" s="1"/>
  <c r="C1206" i="41"/>
  <c r="D1206" i="41" s="1"/>
  <c r="C1134" i="41"/>
  <c r="D1134" i="41" s="1"/>
  <c r="E1134" i="41" s="1"/>
  <c r="C823" i="41"/>
  <c r="D823" i="41" s="1"/>
  <c r="C892" i="41"/>
  <c r="D892" i="41" s="1"/>
  <c r="E892" i="41" s="1"/>
  <c r="C962" i="41"/>
  <c r="D962" i="41" s="1"/>
  <c r="E962" i="41" s="1"/>
  <c r="C1006" i="41"/>
  <c r="D1006" i="41" s="1"/>
  <c r="E1006" i="41" s="1"/>
  <c r="C1146" i="41"/>
  <c r="D1146" i="41" s="1"/>
  <c r="C908" i="41"/>
  <c r="D908" i="41" s="1"/>
  <c r="E908" i="41" s="1"/>
  <c r="C1200" i="41"/>
  <c r="D1200" i="41" s="1"/>
  <c r="E1200" i="41" s="1"/>
  <c r="C1121" i="41"/>
  <c r="D1121" i="41" s="1"/>
  <c r="C1156" i="41"/>
  <c r="D1156" i="41" s="1"/>
  <c r="C904" i="41"/>
  <c r="D904" i="41" s="1"/>
  <c r="E904" i="41" s="1"/>
  <c r="C1164" i="41"/>
  <c r="D1164" i="41" s="1"/>
  <c r="E1164" i="41" s="1"/>
  <c r="C1237" i="41"/>
  <c r="D1237" i="41" s="1"/>
  <c r="C1147" i="41"/>
  <c r="D1147" i="41" s="1"/>
  <c r="E1147" i="41" s="1"/>
  <c r="C1143" i="41"/>
  <c r="D1143" i="41" s="1"/>
  <c r="E1143" i="41" s="1"/>
  <c r="C925" i="41"/>
  <c r="D925" i="41" s="1"/>
  <c r="C980" i="41"/>
  <c r="D980" i="41" s="1"/>
  <c r="E980" i="41" s="1"/>
  <c r="C1184" i="41"/>
  <c r="D1184" i="41" s="1"/>
  <c r="E1184" i="41" s="1"/>
  <c r="C937" i="41"/>
  <c r="D937" i="41" s="1"/>
  <c r="C877" i="41"/>
  <c r="D877" i="41" s="1"/>
  <c r="E877" i="41" s="1"/>
  <c r="C934" i="41"/>
  <c r="D934" i="41" s="1"/>
  <c r="E934" i="41" s="1"/>
  <c r="C864" i="41"/>
  <c r="D864" i="41" s="1"/>
  <c r="C876" i="41"/>
  <c r="D876" i="41" s="1"/>
  <c r="E876" i="41" s="1"/>
  <c r="C1083" i="41"/>
  <c r="D1083" i="41" s="1"/>
  <c r="C1037" i="41"/>
  <c r="D1037" i="41" s="1"/>
  <c r="C729" i="41"/>
  <c r="D729" i="41" s="1"/>
  <c r="C1005" i="41"/>
  <c r="D1005" i="41" s="1"/>
  <c r="E1005" i="41" s="1"/>
  <c r="C1196" i="41"/>
  <c r="D1196" i="41" s="1"/>
  <c r="C1049" i="41"/>
  <c r="D1049" i="41" s="1"/>
  <c r="C1071" i="41"/>
  <c r="D1071" i="41" s="1"/>
  <c r="C924" i="41"/>
  <c r="D924" i="41" s="1"/>
  <c r="E924" i="41" s="1"/>
  <c r="C898" i="41"/>
  <c r="D898" i="41" s="1"/>
  <c r="E898" i="41" s="1"/>
  <c r="C1020" i="41"/>
  <c r="D1020" i="41" s="1"/>
  <c r="C944" i="41"/>
  <c r="D944" i="41" s="1"/>
  <c r="E944" i="41" s="1"/>
  <c r="C1077" i="41"/>
  <c r="D1077" i="41" s="1"/>
  <c r="E1077" i="41" s="1"/>
  <c r="C782" i="41"/>
  <c r="D782" i="41" s="1"/>
  <c r="C982" i="41"/>
  <c r="D982" i="41" s="1"/>
  <c r="E982" i="41" s="1"/>
  <c r="C1016" i="41"/>
  <c r="D1016" i="41" s="1"/>
  <c r="E1016" i="41" s="1"/>
  <c r="C722" i="41"/>
  <c r="D722" i="41" s="1"/>
  <c r="F722" i="41" s="1"/>
  <c r="C1259" i="41"/>
  <c r="D1259" i="41" s="1"/>
  <c r="E1259" i="41" s="1"/>
  <c r="C1090" i="41"/>
  <c r="D1090" i="41" s="1"/>
  <c r="E1090" i="41" s="1"/>
  <c r="C790" i="41"/>
  <c r="D790" i="41" s="1"/>
  <c r="E790" i="41" s="1"/>
  <c r="C883" i="41"/>
  <c r="D883" i="41" s="1"/>
  <c r="E883" i="41" s="1"/>
  <c r="C1158" i="41"/>
  <c r="D1158" i="41" s="1"/>
  <c r="E1158" i="41" s="1"/>
  <c r="C1291" i="41"/>
  <c r="D1291" i="41" s="1"/>
  <c r="C1149" i="41"/>
  <c r="D1149" i="41" s="1"/>
  <c r="E1149" i="41" s="1"/>
  <c r="C821" i="41"/>
  <c r="D821" i="41" s="1"/>
  <c r="E821" i="41" s="1"/>
  <c r="C730" i="41"/>
  <c r="D730" i="41" s="1"/>
  <c r="F730" i="41" s="1"/>
  <c r="C760" i="41"/>
  <c r="D760" i="41" s="1"/>
  <c r="C1161" i="41"/>
  <c r="D1161" i="41" s="1"/>
  <c r="E1161" i="41" s="1"/>
  <c r="C816" i="41"/>
  <c r="D816" i="41" s="1"/>
  <c r="C863" i="41"/>
  <c r="D863" i="41" s="1"/>
  <c r="E863" i="41" s="1"/>
  <c r="C976" i="41"/>
  <c r="D976" i="41" s="1"/>
  <c r="E976" i="41" s="1"/>
  <c r="C787" i="41"/>
  <c r="D787" i="41" s="1"/>
  <c r="C1062" i="41"/>
  <c r="D1062" i="41" s="1"/>
  <c r="C1166" i="41"/>
  <c r="D1166" i="41" s="1"/>
  <c r="C1019" i="41"/>
  <c r="D1019" i="41" s="1"/>
  <c r="E1019" i="41" s="1"/>
  <c r="C981" i="41"/>
  <c r="D981" i="41" s="1"/>
  <c r="C1034" i="41"/>
  <c r="D1034" i="41" s="1"/>
  <c r="E1034" i="41" s="1"/>
  <c r="C972" i="41"/>
  <c r="D972" i="41" s="1"/>
  <c r="E972" i="41" s="1"/>
  <c r="C1053" i="41"/>
  <c r="D1053" i="41" s="1"/>
  <c r="E1053" i="41" s="1"/>
  <c r="C840" i="41"/>
  <c r="D840" i="41" s="1"/>
  <c r="E840" i="41" s="1"/>
  <c r="C1018" i="41"/>
  <c r="D1018" i="41" s="1"/>
  <c r="E1018" i="41" s="1"/>
  <c r="C1214" i="41"/>
  <c r="D1214" i="41" s="1"/>
  <c r="E1214" i="41" s="1"/>
  <c r="C839" i="41"/>
  <c r="D839" i="41" s="1"/>
  <c r="E839" i="41" s="1"/>
  <c r="C983" i="41"/>
  <c r="D983" i="41" s="1"/>
  <c r="E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E953" i="41" s="1"/>
  <c r="C854" i="41"/>
  <c r="D854" i="41" s="1"/>
  <c r="C893" i="41"/>
  <c r="D893" i="41" s="1"/>
  <c r="C1138" i="41"/>
  <c r="D1138" i="41" s="1"/>
  <c r="C772" i="41"/>
  <c r="D772" i="41" s="1"/>
  <c r="F772" i="41" s="1"/>
  <c r="C1081" i="41"/>
  <c r="D1081" i="41" s="1"/>
  <c r="C1106" i="41"/>
  <c r="D1106" i="41" s="1"/>
  <c r="E1106" i="41" s="1"/>
  <c r="C1148" i="41"/>
  <c r="D1148" i="41" s="1"/>
  <c r="C886" i="41"/>
  <c r="D886" i="41" s="1"/>
  <c r="C1076" i="41"/>
  <c r="D1076" i="41" s="1"/>
  <c r="E1076" i="41" s="1"/>
  <c r="C1111" i="41"/>
  <c r="D1111" i="41" s="1"/>
  <c r="E1111" i="41" s="1"/>
  <c r="C889" i="41"/>
  <c r="D889" i="41" s="1"/>
  <c r="C1300" i="41"/>
  <c r="D1300" i="41" s="1"/>
  <c r="E1300" i="41" s="1"/>
  <c r="C1100" i="41"/>
  <c r="D1100" i="41" s="1"/>
  <c r="C793" i="41"/>
  <c r="D793" i="41" s="1"/>
  <c r="C1139" i="41"/>
  <c r="D1139" i="41" s="1"/>
  <c r="C1171" i="41"/>
  <c r="D1171" i="41" s="1"/>
  <c r="E1171" i="41" s="1"/>
  <c r="C979" i="41"/>
  <c r="D979" i="41" s="1"/>
  <c r="C1254" i="41"/>
  <c r="D1254" i="41" s="1"/>
  <c r="C1246" i="41"/>
  <c r="D1246" i="41" s="1"/>
  <c r="E1246" i="41" s="1"/>
  <c r="C746" i="41"/>
  <c r="D746" i="41" s="1"/>
  <c r="C1133" i="41"/>
  <c r="D1133" i="41" s="1"/>
  <c r="E1133" i="41" s="1"/>
  <c r="C1043" i="41"/>
  <c r="D1043" i="41" s="1"/>
  <c r="E1043" i="41" s="1"/>
  <c r="C783" i="41"/>
  <c r="D783" i="41" s="1"/>
  <c r="C807" i="41"/>
  <c r="D807" i="41" s="1"/>
  <c r="E807" i="41" s="1"/>
  <c r="C1211" i="41"/>
  <c r="D1211" i="41" s="1"/>
  <c r="E1211" i="41" s="1"/>
  <c r="C881" i="41"/>
  <c r="D881" i="41" s="1"/>
  <c r="E881" i="41" s="1"/>
  <c r="C965" i="41"/>
  <c r="D965" i="41" s="1"/>
  <c r="E965" i="41" s="1"/>
  <c r="C906" i="41"/>
  <c r="D906" i="41" s="1"/>
  <c r="E906" i="41" s="1"/>
  <c r="C1072" i="41"/>
  <c r="D1072" i="41" s="1"/>
  <c r="C1119" i="41"/>
  <c r="D1119" i="41" s="1"/>
  <c r="C1178" i="41"/>
  <c r="D1178" i="41" s="1"/>
  <c r="E1178" i="41" s="1"/>
  <c r="C919" i="41"/>
  <c r="D919" i="41" s="1"/>
  <c r="C1092" i="41"/>
  <c r="D1092" i="41" s="1"/>
  <c r="E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E1179" i="41" s="1"/>
  <c r="C971" i="41"/>
  <c r="D971" i="41" s="1"/>
  <c r="E971" i="41" s="1"/>
  <c r="C1240" i="41"/>
  <c r="D1240" i="41" s="1"/>
  <c r="C1186" i="41"/>
  <c r="D1186" i="41" s="1"/>
  <c r="E1186" i="41" s="1"/>
  <c r="C912" i="41"/>
  <c r="D912" i="41" s="1"/>
  <c r="E912" i="41" s="1"/>
  <c r="C725" i="41"/>
  <c r="D725" i="41" s="1"/>
  <c r="E725" i="41" s="1"/>
  <c r="C778" i="41"/>
  <c r="D778" i="41" s="1"/>
  <c r="F778" i="41" s="1"/>
  <c r="C755" i="41"/>
  <c r="D755" i="41" s="1"/>
  <c r="C878" i="41"/>
  <c r="D878" i="41" s="1"/>
  <c r="E878" i="41" s="1"/>
  <c r="C838" i="41"/>
  <c r="D838" i="41" s="1"/>
  <c r="E838" i="41" s="1"/>
  <c r="C833" i="41"/>
  <c r="D833" i="41" s="1"/>
  <c r="C828" i="41"/>
  <c r="D828" i="41" s="1"/>
  <c r="E828" i="41" s="1"/>
  <c r="C930" i="41"/>
  <c r="D930" i="41" s="1"/>
  <c r="C1304" i="41"/>
  <c r="D1304" i="41" s="1"/>
  <c r="E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E1091" i="41" s="1"/>
  <c r="C1032" i="41"/>
  <c r="D1032" i="41" s="1"/>
  <c r="C1124" i="41"/>
  <c r="D1124" i="41" s="1"/>
  <c r="E1124" i="41" s="1"/>
  <c r="C844" i="41"/>
  <c r="D844" i="41" s="1"/>
  <c r="E844" i="41" s="1"/>
  <c r="C775" i="41"/>
  <c r="D775" i="41" s="1"/>
  <c r="E775" i="41" s="1"/>
  <c r="C1122" i="41"/>
  <c r="D1122" i="41" s="1"/>
  <c r="C873" i="41"/>
  <c r="D873" i="41" s="1"/>
  <c r="E873" i="41" s="1"/>
  <c r="C785" i="41"/>
  <c r="D785" i="41" s="1"/>
  <c r="C977" i="41"/>
  <c r="D977" i="41" s="1"/>
  <c r="C954" i="41"/>
  <c r="D954" i="41" s="1"/>
  <c r="C1084" i="41"/>
  <c r="D1084" i="41" s="1"/>
  <c r="E1084" i="41" s="1"/>
  <c r="C741" i="41"/>
  <c r="D741" i="41" s="1"/>
  <c r="C928" i="41"/>
  <c r="D928" i="41" s="1"/>
  <c r="C820" i="41"/>
  <c r="D820" i="41" s="1"/>
  <c r="F820" i="41" s="1"/>
  <c r="C1063" i="41"/>
  <c r="D1063" i="41" s="1"/>
  <c r="C1140" i="41"/>
  <c r="D1140" i="41" s="1"/>
  <c r="E1140" i="41" s="1"/>
  <c r="C812" i="41"/>
  <c r="D812" i="41" s="1"/>
  <c r="C1271" i="41"/>
  <c r="D1271" i="41" s="1"/>
  <c r="C852" i="41"/>
  <c r="D852" i="41" s="1"/>
  <c r="F852" i="41" s="1"/>
  <c r="C1307" i="41"/>
  <c r="D1307" i="41" s="1"/>
  <c r="E1307" i="41" s="1"/>
  <c r="C1294" i="41"/>
  <c r="D1294" i="41" s="1"/>
  <c r="C1003" i="41"/>
  <c r="D1003" i="41" s="1"/>
  <c r="E1003" i="41" s="1"/>
  <c r="A14" i="54"/>
  <c r="O13" i="54"/>
  <c r="A15" i="54"/>
  <c r="O14" i="54"/>
  <c r="O15" i="54"/>
  <c r="A16" i="54"/>
  <c r="O16" i="54"/>
  <c r="A17" i="54"/>
  <c r="A18" i="54"/>
  <c r="O17" i="54"/>
  <c r="O18" i="54"/>
  <c r="A19" i="54"/>
  <c r="A20" i="54"/>
  <c r="O19" i="54"/>
  <c r="A21" i="54"/>
  <c r="O20" i="54"/>
  <c r="O21" i="54"/>
  <c r="A22" i="54"/>
  <c r="O22" i="54"/>
  <c r="A23" i="54"/>
  <c r="A24" i="54"/>
  <c r="O23" i="54"/>
  <c r="A25" i="54"/>
  <c r="O24" i="54"/>
  <c r="O25" i="54"/>
  <c r="A26" i="54"/>
  <c r="O26" i="54"/>
  <c r="A27" i="54"/>
  <c r="O27" i="54"/>
  <c r="A28" i="54"/>
  <c r="A29" i="54"/>
  <c r="O28" i="54"/>
  <c r="A30" i="54"/>
  <c r="O29" i="54"/>
  <c r="A31" i="54"/>
  <c r="O30" i="54"/>
  <c r="O31" i="54"/>
  <c r="A32" i="54"/>
  <c r="O32" i="54"/>
  <c r="I82" i="11" l="1"/>
  <c r="K82" i="11" s="1"/>
  <c r="H83" i="11"/>
  <c r="I83" i="11"/>
  <c r="J59" i="11"/>
  <c r="D9" i="59"/>
  <c r="K7" i="54" s="1"/>
  <c r="C7" i="54"/>
  <c r="H7" i="54" s="1"/>
  <c r="C8" i="54"/>
  <c r="I8" i="54" s="1"/>
  <c r="D22" i="59"/>
  <c r="K8" i="60" s="1"/>
  <c r="D21" i="59"/>
  <c r="K7" i="60" s="1"/>
  <c r="K9" i="60" s="1"/>
  <c r="K16" i="60" s="1"/>
  <c r="K20" i="60" s="1"/>
  <c r="D345" i="29"/>
  <c r="E345" i="29" s="1"/>
  <c r="K91" i="11"/>
  <c r="M91" i="11" s="1"/>
  <c r="D339" i="29"/>
  <c r="E339" i="29" s="1"/>
  <c r="D5" i="60"/>
  <c r="K5" i="60" s="1"/>
  <c r="F717" i="41"/>
  <c r="F739" i="41"/>
  <c r="D802" i="41"/>
  <c r="E802" i="41" s="1"/>
  <c r="D312" i="29"/>
  <c r="E312" i="29" s="1"/>
  <c r="K80" i="11"/>
  <c r="K81" i="11"/>
  <c r="K79" i="11"/>
  <c r="F762" i="41"/>
  <c r="E247" i="29"/>
  <c r="F866" i="41"/>
  <c r="E858" i="41"/>
  <c r="F811" i="41"/>
  <c r="E747" i="41"/>
  <c r="F738" i="41"/>
  <c r="E768" i="41"/>
  <c r="E242" i="29"/>
  <c r="F298" i="29"/>
  <c r="E751" i="41"/>
  <c r="F279" i="29"/>
  <c r="E261" i="29"/>
  <c r="F269" i="29"/>
  <c r="E276" i="29"/>
  <c r="F249" i="29"/>
  <c r="F867" i="41"/>
  <c r="F759" i="41"/>
  <c r="E338" i="29"/>
  <c r="F308" i="29"/>
  <c r="E297" i="29"/>
  <c r="E311" i="29"/>
  <c r="F278" i="29"/>
  <c r="E734" i="41"/>
  <c r="E748" i="41"/>
  <c r="F250" i="29"/>
  <c r="E856" i="41"/>
  <c r="E743" i="41"/>
  <c r="I74" i="11"/>
  <c r="F776" i="41"/>
  <c r="F302" i="29"/>
  <c r="F304" i="29"/>
  <c r="I58" i="11"/>
  <c r="F868" i="41"/>
  <c r="F764" i="41"/>
  <c r="E865" i="41"/>
  <c r="E842" i="41"/>
  <c r="E794" i="41"/>
  <c r="E813" i="41"/>
  <c r="F857" i="41"/>
  <c r="F289" i="29"/>
  <c r="F303" i="29"/>
  <c r="E769" i="41"/>
  <c r="E230" i="29"/>
  <c r="E236" i="29"/>
  <c r="E778" i="41"/>
  <c r="E845" i="41"/>
  <c r="F859" i="41"/>
  <c r="E715" i="41"/>
  <c r="F716" i="41" s="1"/>
  <c r="F723" i="41"/>
  <c r="E861" i="41"/>
  <c r="E731" i="41"/>
  <c r="E766" i="41"/>
  <c r="E732" i="41"/>
  <c r="F733" i="41"/>
  <c r="F293" i="29"/>
  <c r="I97" i="11"/>
  <c r="E1114" i="41"/>
  <c r="E1204" i="41"/>
  <c r="F243" i="29"/>
  <c r="E243" i="29"/>
  <c r="E1286" i="41"/>
  <c r="E1175" i="41"/>
  <c r="E1040" i="41"/>
  <c r="F750" i="41"/>
  <c r="E333" i="29"/>
  <c r="F333" i="29"/>
  <c r="E73" i="39"/>
  <c r="E337" i="29"/>
  <c r="F337" i="29"/>
  <c r="F760" i="41"/>
  <c r="E760" i="41"/>
  <c r="E1020" i="41"/>
  <c r="E1037" i="41"/>
  <c r="E1004" i="41"/>
  <c r="E1216" i="41"/>
  <c r="E837" i="41"/>
  <c r="F837" i="41"/>
  <c r="E1197" i="41"/>
  <c r="E1170" i="41"/>
  <c r="E894" i="41"/>
  <c r="E915" i="41"/>
  <c r="E1152" i="41"/>
  <c r="E1131" i="41"/>
  <c r="E1169" i="41"/>
  <c r="E1079" i="41"/>
  <c r="E1303" i="41"/>
  <c r="E950" i="41"/>
  <c r="E895" i="41"/>
  <c r="E1227" i="41"/>
  <c r="E897" i="41"/>
  <c r="E831" i="41"/>
  <c r="F831" i="41"/>
  <c r="E920" i="41"/>
  <c r="E862" i="41"/>
  <c r="F862" i="41"/>
  <c r="E744" i="41"/>
  <c r="F744" i="41"/>
  <c r="E1132" i="41"/>
  <c r="E1225" i="41"/>
  <c r="E1182" i="41"/>
  <c r="E1009" i="41"/>
  <c r="E1251" i="41"/>
  <c r="E1136" i="41"/>
  <c r="E888" i="41"/>
  <c r="E960" i="41"/>
  <c r="F850" i="41"/>
  <c r="E850" i="41"/>
  <c r="E1293" i="41"/>
  <c r="F791" i="41"/>
  <c r="E791" i="41"/>
  <c r="E1302" i="41"/>
  <c r="E1315" i="41"/>
  <c r="E1191" i="41"/>
  <c r="E335" i="29"/>
  <c r="E282" i="29"/>
  <c r="F316" i="29"/>
  <c r="E1097" i="41"/>
  <c r="F291" i="29"/>
  <c r="E353" i="29"/>
  <c r="E1048" i="41"/>
  <c r="E1094" i="41"/>
  <c r="F834" i="41"/>
  <c r="E1285" i="41"/>
  <c r="E1287" i="41"/>
  <c r="E989" i="41"/>
  <c r="E959" i="41"/>
  <c r="E999" i="41"/>
  <c r="F736" i="41"/>
  <c r="E901" i="41"/>
  <c r="F256" i="29"/>
  <c r="E280" i="29"/>
  <c r="E1115" i="41"/>
  <c r="E1172" i="41"/>
  <c r="E1174" i="41"/>
  <c r="E1156" i="41"/>
  <c r="E1113" i="41"/>
  <c r="E809" i="41"/>
  <c r="E788" i="41"/>
  <c r="E795" i="41"/>
  <c r="F798" i="41"/>
  <c r="E874" i="41"/>
  <c r="F319" i="29"/>
  <c r="F790" i="41"/>
  <c r="F800" i="41"/>
  <c r="F740" i="41"/>
  <c r="F799" i="41"/>
  <c r="F263" i="29"/>
  <c r="E852" i="41"/>
  <c r="I54" i="11"/>
  <c r="E1116" i="41"/>
  <c r="E1123" i="41"/>
  <c r="E938" i="41"/>
  <c r="E1099" i="41"/>
  <c r="E326" i="29"/>
  <c r="F326" i="29"/>
  <c r="F839" i="41"/>
  <c r="E1029" i="41"/>
  <c r="E885" i="41"/>
  <c r="E1110" i="41"/>
  <c r="E1256" i="41"/>
  <c r="E761" i="41"/>
  <c r="E991" i="41"/>
  <c r="F807" i="41"/>
  <c r="E719" i="41"/>
  <c r="E860" i="41"/>
  <c r="E785" i="41"/>
  <c r="E288" i="29"/>
  <c r="E268" i="29"/>
  <c r="I14" i="11"/>
  <c r="H58" i="11"/>
  <c r="F290" i="29"/>
  <c r="E307" i="29"/>
  <c r="F232" i="29"/>
  <c r="F246" i="29"/>
  <c r="J56" i="11"/>
  <c r="F819" i="41"/>
  <c r="E990" i="41"/>
  <c r="E968" i="41"/>
  <c r="E995" i="41"/>
  <c r="E832" i="41"/>
  <c r="E992" i="41"/>
  <c r="F758" i="41"/>
  <c r="E1229" i="41"/>
  <c r="E1196" i="41"/>
  <c r="F714" i="41"/>
  <c r="E1001" i="41"/>
  <c r="E1041" i="41"/>
  <c r="E1266" i="41"/>
  <c r="E1273" i="41"/>
  <c r="E951" i="41"/>
  <c r="E1180" i="41"/>
  <c r="E1100" i="41"/>
  <c r="E1126" i="41"/>
  <c r="E1087" i="41"/>
  <c r="E958" i="41"/>
  <c r="E985" i="41"/>
  <c r="E963" i="41"/>
  <c r="I69" i="11"/>
  <c r="H61" i="11"/>
  <c r="E880" i="41"/>
  <c r="E722" i="41"/>
  <c r="E286" i="29"/>
  <c r="E872" i="41"/>
  <c r="E1121" i="41"/>
  <c r="E245" i="29"/>
  <c r="I67" i="11"/>
  <c r="E1128" i="41"/>
  <c r="E1057" i="41"/>
  <c r="E966" i="41"/>
  <c r="E1226" i="41"/>
  <c r="E882" i="41"/>
  <c r="E784" i="41"/>
  <c r="E728" i="41"/>
  <c r="F728" i="41"/>
  <c r="E1289" i="41"/>
  <c r="E792" i="41"/>
  <c r="F792" i="41"/>
  <c r="F352" i="29"/>
  <c r="E352" i="29"/>
  <c r="E946" i="41"/>
  <c r="E753" i="41"/>
  <c r="E781" i="41"/>
  <c r="E1206" i="41"/>
  <c r="E826" i="41"/>
  <c r="E742" i="41"/>
  <c r="F742" i="41"/>
  <c r="E1283" i="41"/>
  <c r="E797" i="41"/>
  <c r="F797" i="41"/>
  <c r="F62" i="39"/>
  <c r="E62" i="39"/>
  <c r="E720" i="41"/>
  <c r="E921" i="41"/>
  <c r="E1199" i="41"/>
  <c r="E1278" i="41"/>
  <c r="E1242" i="41"/>
  <c r="E1188" i="41"/>
  <c r="E1185" i="41"/>
  <c r="F828" i="41"/>
  <c r="E1305" i="41"/>
  <c r="E745" i="41"/>
  <c r="E810" i="41"/>
  <c r="E851" i="41"/>
  <c r="E1296" i="41"/>
  <c r="E757" i="41"/>
  <c r="E1298" i="41"/>
  <c r="E772" i="41"/>
  <c r="E1193" i="41"/>
  <c r="F844" i="41"/>
  <c r="E763" i="41"/>
  <c r="F763" i="41"/>
  <c r="E804" i="41"/>
  <c r="E752" i="41"/>
  <c r="F752" i="41"/>
  <c r="E1060" i="41"/>
  <c r="E978" i="41"/>
  <c r="E981" i="41"/>
  <c r="E1306" i="41"/>
  <c r="E746" i="41"/>
  <c r="F746" i="41"/>
  <c r="E1168" i="41"/>
  <c r="F737" i="41"/>
  <c r="E737" i="41"/>
  <c r="F331" i="29"/>
  <c r="F324" i="29"/>
  <c r="E260" i="29"/>
  <c r="E360" i="29"/>
  <c r="E342" i="29"/>
  <c r="F258" i="29"/>
  <c r="E255" i="29"/>
  <c r="F266" i="29"/>
  <c r="F254" i="29"/>
  <c r="F240" i="29"/>
  <c r="F317" i="29"/>
  <c r="E271" i="29"/>
  <c r="I36" i="39"/>
  <c r="J97" i="11"/>
  <c r="I60" i="11"/>
  <c r="J20" i="11"/>
  <c r="F340" i="29"/>
  <c r="F318" i="29"/>
  <c r="E262" i="29"/>
  <c r="E281" i="29"/>
  <c r="F305" i="29"/>
  <c r="J36" i="39"/>
  <c r="H72" i="11"/>
  <c r="J64" i="11"/>
  <c r="J54" i="11"/>
  <c r="I62" i="11"/>
  <c r="E1139" i="41"/>
  <c r="E1318" i="41"/>
  <c r="E343" i="29"/>
  <c r="F343" i="29"/>
  <c r="E1059" i="41"/>
  <c r="E918" i="41"/>
  <c r="E977" i="41"/>
  <c r="E58" i="39"/>
  <c r="F58" i="39"/>
  <c r="E777" i="41"/>
  <c r="E930" i="41"/>
  <c r="E1062" i="41"/>
  <c r="E730" i="41"/>
  <c r="E893" i="41"/>
  <c r="F863" i="41"/>
  <c r="E1119" i="41"/>
  <c r="E854" i="41"/>
  <c r="E1230" i="41"/>
  <c r="E1166" i="41"/>
  <c r="E237" i="29"/>
  <c r="F237" i="29"/>
  <c r="E332" i="29"/>
  <c r="E283" i="29"/>
  <c r="J14" i="11"/>
  <c r="I65" i="11"/>
  <c r="H73" i="11"/>
  <c r="H57" i="11"/>
  <c r="I68" i="11"/>
  <c r="I63" i="11"/>
  <c r="H68" i="11"/>
  <c r="H64" i="11"/>
  <c r="I66" i="11"/>
  <c r="H74" i="11"/>
  <c r="J72" i="11"/>
  <c r="H69" i="11"/>
  <c r="J55" i="11"/>
  <c r="I73" i="11"/>
  <c r="I57" i="11"/>
  <c r="H65" i="11"/>
  <c r="H66" i="11"/>
  <c r="I71" i="11"/>
  <c r="J71" i="11"/>
  <c r="J63" i="11"/>
  <c r="J70" i="11"/>
  <c r="H67" i="11"/>
  <c r="I70" i="11"/>
  <c r="E726" i="41"/>
  <c r="F726" i="41"/>
  <c r="E1137" i="41"/>
  <c r="E1291" i="41"/>
  <c r="E943" i="41"/>
  <c r="E1112" i="41"/>
  <c r="E1253" i="41"/>
  <c r="E889" i="41"/>
  <c r="E974" i="41"/>
  <c r="E749" i="41"/>
  <c r="F749" i="41"/>
  <c r="F815" i="41"/>
  <c r="E815" i="41"/>
  <c r="E1311" i="41"/>
  <c r="E937" i="41"/>
  <c r="E1026" i="41"/>
  <c r="E1081" i="41"/>
  <c r="E1237" i="41"/>
  <c r="E927" i="41"/>
  <c r="F727" i="41"/>
  <c r="E727" i="41"/>
  <c r="E1208" i="41"/>
  <c r="F755" i="41"/>
  <c r="E755" i="41"/>
  <c r="E1190" i="41"/>
  <c r="E756" i="41"/>
  <c r="F756" i="41"/>
  <c r="E721" i="41"/>
  <c r="F721" i="41"/>
  <c r="E754" i="41"/>
  <c r="F754" i="41"/>
  <c r="E853" i="41"/>
  <c r="F853" i="41"/>
  <c r="F773" i="41"/>
  <c r="E773" i="41"/>
  <c r="F821" i="41"/>
  <c r="E1083" i="41"/>
  <c r="E1049" i="41"/>
  <c r="F806" i="41"/>
  <c r="E827" i="41"/>
  <c r="E849" i="41"/>
  <c r="E1093" i="41"/>
  <c r="F789" i="41"/>
  <c r="E820" i="41"/>
  <c r="E1244" i="41"/>
  <c r="E1063" i="41"/>
  <c r="F793" i="41"/>
  <c r="E793" i="41"/>
  <c r="E886" i="41"/>
  <c r="F787" i="41"/>
  <c r="E787" i="41"/>
  <c r="F864" i="41"/>
  <c r="E864" i="41"/>
  <c r="E808" i="41"/>
  <c r="F808" i="41"/>
  <c r="E767" i="41"/>
  <c r="F767" i="41"/>
  <c r="E724" i="41"/>
  <c r="F724" i="41"/>
  <c r="E830" i="41"/>
  <c r="F830" i="41"/>
  <c r="E848" i="41"/>
  <c r="F848" i="41"/>
  <c r="E780" i="41"/>
  <c r="F780" i="41"/>
  <c r="F779" i="41"/>
  <c r="E779" i="41"/>
  <c r="E855" i="41"/>
  <c r="F855" i="41"/>
  <c r="F796" i="41"/>
  <c r="E796" i="41"/>
  <c r="F846" i="41"/>
  <c r="F801" i="41"/>
  <c r="E1268" i="41"/>
  <c r="E1072" i="41"/>
  <c r="F814" i="41"/>
  <c r="E814" i="41"/>
  <c r="E1054" i="41"/>
  <c r="E1012" i="41"/>
  <c r="F735" i="41"/>
  <c r="E735" i="41"/>
  <c r="F783" i="41"/>
  <c r="E783" i="41"/>
  <c r="E1154" i="41"/>
  <c r="E771" i="41"/>
  <c r="F771" i="41"/>
  <c r="E257" i="29"/>
  <c r="F257" i="29"/>
  <c r="E224" i="29"/>
  <c r="F224" i="29"/>
  <c r="E231" i="29"/>
  <c r="F231" i="29"/>
  <c r="F241" i="29"/>
  <c r="E241" i="29"/>
  <c r="F354" i="29"/>
  <c r="E354" i="29"/>
  <c r="E69" i="39"/>
  <c r="E367" i="29"/>
  <c r="E330" i="29"/>
  <c r="F330" i="29"/>
  <c r="F321" i="29"/>
  <c r="E321" i="29"/>
  <c r="F252" i="29"/>
  <c r="E252" i="29"/>
  <c r="F309" i="29"/>
  <c r="E309" i="29"/>
  <c r="F341" i="29"/>
  <c r="E357" i="29"/>
  <c r="F320" i="29"/>
  <c r="F225" i="29"/>
  <c r="F244" i="29"/>
  <c r="E273" i="29"/>
  <c r="F359" i="29"/>
  <c r="E359" i="29"/>
  <c r="F300" i="29"/>
  <c r="E300" i="29"/>
  <c r="E284" i="29"/>
  <c r="F284" i="29"/>
  <c r="E229" i="29"/>
  <c r="F229" i="29"/>
  <c r="E71" i="39"/>
  <c r="E346" i="29"/>
  <c r="E356" i="29"/>
  <c r="F356" i="29"/>
  <c r="F234" i="29"/>
  <c r="F248" i="29"/>
  <c r="E248" i="29"/>
  <c r="F227" i="29"/>
  <c r="E227" i="29"/>
  <c r="F265" i="29"/>
  <c r="E265" i="29"/>
  <c r="F285" i="29"/>
  <c r="E285" i="29"/>
  <c r="F355" i="29"/>
  <c r="E233" i="29"/>
  <c r="F306" i="29"/>
  <c r="J78" i="11"/>
  <c r="H56" i="11"/>
  <c r="I55" i="11"/>
  <c r="H60" i="11"/>
  <c r="I61" i="11"/>
  <c r="J62" i="11"/>
  <c r="I59" i="11"/>
  <c r="J16" i="11"/>
  <c r="J95" i="11"/>
  <c r="E1294" i="41"/>
  <c r="E1271" i="41"/>
  <c r="E928" i="41"/>
  <c r="E954" i="41"/>
  <c r="E1032" i="41"/>
  <c r="E1047" i="41"/>
  <c r="F775" i="41"/>
  <c r="E1262" i="41"/>
  <c r="E1138" i="41"/>
  <c r="F725" i="41"/>
  <c r="E1071" i="41"/>
  <c r="E1146" i="41"/>
  <c r="E1299" i="41"/>
  <c r="E1295" i="41"/>
  <c r="E741" i="41"/>
  <c r="F741" i="41"/>
  <c r="E833" i="41"/>
  <c r="F833" i="41"/>
  <c r="E1240" i="41"/>
  <c r="E919" i="41"/>
  <c r="E925" i="41"/>
  <c r="E887" i="41"/>
  <c r="E774" i="41"/>
  <c r="F774" i="41"/>
  <c r="F818" i="41"/>
  <c r="E818" i="41"/>
  <c r="F812" i="41"/>
  <c r="E812" i="41"/>
  <c r="E1122" i="41"/>
  <c r="E1236" i="41"/>
  <c r="E1254" i="41"/>
  <c r="E1148" i="41"/>
  <c r="E729" i="41"/>
  <c r="F823" i="41"/>
  <c r="E823" i="41"/>
  <c r="E843" i="41"/>
  <c r="F843" i="41"/>
  <c r="E1221" i="41"/>
  <c r="E979" i="41"/>
  <c r="E782" i="41"/>
  <c r="E1320" i="41"/>
  <c r="E770" i="41"/>
  <c r="F770" i="41"/>
  <c r="E1309" i="41"/>
  <c r="E816" i="41"/>
  <c r="F816" i="41"/>
  <c r="E957" i="41"/>
  <c r="E1176" i="41"/>
  <c r="F786" i="41"/>
  <c r="F765" i="41"/>
  <c r="E1145" i="41"/>
  <c r="E63" i="39"/>
  <c r="E368" i="29"/>
  <c r="E74" i="39"/>
  <c r="E64" i="39"/>
  <c r="E325" i="29"/>
  <c r="F325" i="29"/>
  <c r="E347" i="29"/>
  <c r="F347" i="29"/>
  <c r="E372" i="29"/>
  <c r="F329" i="29"/>
  <c r="E329" i="29"/>
  <c r="E259" i="29"/>
  <c r="F259" i="29"/>
  <c r="E323" i="29"/>
  <c r="F323" i="29"/>
  <c r="E349" i="29"/>
  <c r="F349" i="29"/>
  <c r="E72" i="39"/>
  <c r="E76" i="39"/>
  <c r="F362" i="29"/>
  <c r="E362" i="29"/>
  <c r="E364" i="29"/>
  <c r="F301" i="29"/>
  <c r="E301" i="29"/>
  <c r="F344" i="29"/>
  <c r="E336" i="29"/>
  <c r="F336" i="29"/>
  <c r="E370" i="29"/>
  <c r="E351" i="29"/>
  <c r="F358" i="29"/>
  <c r="E358" i="29"/>
  <c r="E369" i="29"/>
  <c r="E328" i="29"/>
  <c r="F328" i="29"/>
  <c r="E238" i="29"/>
  <c r="F238" i="29"/>
  <c r="F272" i="29"/>
  <c r="E272" i="29"/>
  <c r="E60" i="39"/>
  <c r="E327" i="29"/>
  <c r="E361" i="29"/>
  <c r="F361" i="29"/>
  <c r="E68" i="39"/>
  <c r="E366" i="29"/>
  <c r="E57" i="39"/>
  <c r="E61" i="39"/>
  <c r="F61" i="39"/>
  <c r="E334" i="29"/>
  <c r="F235" i="29"/>
  <c r="E235" i="29"/>
  <c r="E270" i="29"/>
  <c r="F270" i="29"/>
  <c r="E228" i="29"/>
  <c r="E66" i="39"/>
  <c r="E348" i="29"/>
  <c r="E67" i="39"/>
  <c r="E373" i="29"/>
  <c r="E65" i="39"/>
  <c r="F310" i="29"/>
  <c r="E310" i="29"/>
  <c r="F299" i="29"/>
  <c r="E299" i="29"/>
  <c r="E264" i="29"/>
  <c r="F264" i="29"/>
  <c r="F251" i="29"/>
  <c r="E251" i="29"/>
  <c r="E253" i="29"/>
  <c r="F253" i="29"/>
  <c r="F296" i="29"/>
  <c r="E296" i="29"/>
  <c r="E287" i="29"/>
  <c r="E277" i="29"/>
  <c r="F277" i="29"/>
  <c r="E322" i="29"/>
  <c r="E275" i="29"/>
  <c r="F275" i="29"/>
  <c r="F274" i="29"/>
  <c r="E267" i="29"/>
  <c r="K92" i="11"/>
  <c r="M92" i="11" s="1"/>
  <c r="I95" i="11"/>
  <c r="J94" i="11"/>
  <c r="I78" i="11"/>
  <c r="J77" i="11"/>
  <c r="I20" i="11"/>
  <c r="J19" i="11"/>
  <c r="I16" i="11"/>
  <c r="J15" i="11"/>
  <c r="I94" i="11"/>
  <c r="I77" i="11"/>
  <c r="I19" i="11"/>
  <c r="I15" i="11"/>
  <c r="F777" i="41" l="1"/>
  <c r="F351" i="29"/>
  <c r="F287" i="29"/>
  <c r="F841" i="41"/>
  <c r="F59" i="39"/>
  <c r="F60" i="39"/>
  <c r="F334" i="29"/>
  <c r="F335" i="29"/>
  <c r="F825" i="41"/>
  <c r="F824" i="41"/>
  <c r="F314" i="29"/>
  <c r="F804" i="41"/>
  <c r="K15" i="11"/>
  <c r="M15" i="11" s="1"/>
  <c r="F295" i="29"/>
  <c r="F785" i="41"/>
  <c r="F847" i="41"/>
  <c r="F357" i="29"/>
  <c r="F784" i="41"/>
  <c r="F720" i="41"/>
  <c r="F294" i="29"/>
  <c r="F230" i="29"/>
  <c r="F1176" i="41"/>
  <c r="F315" i="29"/>
  <c r="F805" i="41"/>
  <c r="F368" i="29"/>
  <c r="F367" i="29"/>
  <c r="F1145" i="41"/>
  <c r="F1198" i="41"/>
  <c r="F881" i="41"/>
  <c r="F1308" i="41"/>
  <c r="F72" i="39"/>
  <c r="F925" i="41"/>
  <c r="F63" i="39"/>
  <c r="F908" i="41"/>
  <c r="F1221" i="41"/>
  <c r="F1071" i="41"/>
  <c r="F1154" i="41"/>
  <c r="F364" i="29"/>
  <c r="K83" i="11"/>
  <c r="K59" i="11"/>
  <c r="M59" i="11" s="1"/>
  <c r="F292" i="29"/>
  <c r="K67" i="11"/>
  <c r="M67" i="11" s="1"/>
  <c r="F228" i="29"/>
  <c r="K14" i="11"/>
  <c r="M14" i="11" s="1"/>
  <c r="F854" i="41"/>
  <c r="F782" i="41"/>
  <c r="F718" i="41"/>
  <c r="C12" i="41" s="1"/>
  <c r="B12" i="41" s="1"/>
  <c r="K66" i="11"/>
  <c r="M66" i="11" s="1"/>
  <c r="F838" i="41"/>
  <c r="F332" i="29"/>
  <c r="M75" i="11"/>
  <c r="F313" i="29"/>
  <c r="F348" i="29"/>
  <c r="F822" i="41"/>
  <c r="F327" i="29"/>
  <c r="F817" i="41"/>
  <c r="F803" i="41"/>
  <c r="H8" i="54"/>
  <c r="D8" i="54"/>
  <c r="E8" i="54" s="1"/>
  <c r="C9" i="54"/>
  <c r="I7" i="54"/>
  <c r="D7" i="54"/>
  <c r="E7" i="54" s="1"/>
  <c r="L7" i="54" s="1"/>
  <c r="M7" i="54" s="1"/>
  <c r="K74" i="11"/>
  <c r="M74" i="11" s="1"/>
  <c r="K20" i="11"/>
  <c r="M20" i="11" s="1"/>
  <c r="K65" i="11"/>
  <c r="M65" i="11" s="1"/>
  <c r="K69" i="11"/>
  <c r="M69" i="11" s="1"/>
  <c r="K64" i="11"/>
  <c r="M64" i="11" s="1"/>
  <c r="K60" i="11"/>
  <c r="M60" i="11" s="1"/>
  <c r="K58" i="11"/>
  <c r="M58" i="11" s="1"/>
  <c r="K97" i="11"/>
  <c r="K62" i="11"/>
  <c r="M62" i="11" s="1"/>
  <c r="K61" i="11"/>
  <c r="M61" i="11" s="1"/>
  <c r="F369" i="29"/>
  <c r="F1054" i="41"/>
  <c r="F1034" i="41"/>
  <c r="F1246" i="41"/>
  <c r="F1140" i="41"/>
  <c r="F873" i="41"/>
  <c r="F1124" i="41"/>
  <c r="F1226" i="41"/>
  <c r="F985" i="41"/>
  <c r="F870" i="41"/>
  <c r="F1068" i="41"/>
  <c r="F64" i="39"/>
  <c r="F1241" i="41"/>
  <c r="F1277" i="41"/>
  <c r="F1254" i="41"/>
  <c r="F1122" i="41"/>
  <c r="F887" i="41"/>
  <c r="F919" i="41"/>
  <c r="F1295" i="41"/>
  <c r="F1146" i="41"/>
  <c r="F1138" i="41"/>
  <c r="F1032" i="41"/>
  <c r="F928" i="41"/>
  <c r="F1294" i="41"/>
  <c r="F71" i="39"/>
  <c r="F69" i="39"/>
  <c r="F956" i="41"/>
  <c r="F1070" i="41"/>
  <c r="F1089" i="41"/>
  <c r="F896" i="41"/>
  <c r="F1049" i="41"/>
  <c r="F1143" i="41"/>
  <c r="F1208" i="41"/>
  <c r="F927" i="41"/>
  <c r="F1081" i="41"/>
  <c r="F937" i="41"/>
  <c r="F1253" i="41"/>
  <c r="F943" i="41"/>
  <c r="F1137" i="41"/>
  <c r="F1166" i="41"/>
  <c r="F1111" i="41"/>
  <c r="F1133" i="41"/>
  <c r="F878" i="41"/>
  <c r="F1318" i="41"/>
  <c r="F1224" i="41"/>
  <c r="F1151" i="41"/>
  <c r="F1213" i="41"/>
  <c r="F1027" i="41"/>
  <c r="F1135" i="41"/>
  <c r="F1147" i="41"/>
  <c r="F366" i="29"/>
  <c r="F1072" i="41"/>
  <c r="F884" i="41"/>
  <c r="F1062" i="41"/>
  <c r="F1073" i="41"/>
  <c r="F1022" i="41"/>
  <c r="F1096" i="41"/>
  <c r="F1064" i="41"/>
  <c r="F75" i="39"/>
  <c r="F68" i="39"/>
  <c r="F370" i="29"/>
  <c r="F70" i="39"/>
  <c r="F76" i="39"/>
  <c r="F74" i="39"/>
  <c r="F939" i="41"/>
  <c r="F1195" i="41"/>
  <c r="F957" i="41"/>
  <c r="F1309" i="41"/>
  <c r="F1320" i="41"/>
  <c r="F979" i="41"/>
  <c r="F1179" i="41"/>
  <c r="F954" i="41"/>
  <c r="F226" i="29"/>
  <c r="F363" i="29"/>
  <c r="F373" i="29"/>
  <c r="F372" i="29"/>
  <c r="F1012" i="41"/>
  <c r="F1268" i="41"/>
  <c r="F983" i="41"/>
  <c r="F886" i="41"/>
  <c r="F1063" i="41"/>
  <c r="F944" i="41"/>
  <c r="F1173" i="41"/>
  <c r="F883" i="41"/>
  <c r="F971" i="41"/>
  <c r="F934" i="41"/>
  <c r="F1190" i="41"/>
  <c r="F974" i="41"/>
  <c r="F1003" i="41"/>
  <c r="F893" i="41"/>
  <c r="F1211" i="41"/>
  <c r="F977" i="41"/>
  <c r="F1300" i="41"/>
  <c r="F978" i="41"/>
  <c r="F982" i="41"/>
  <c r="F371" i="29"/>
  <c r="F1171" i="41"/>
  <c r="F898" i="41"/>
  <c r="F1266" i="41"/>
  <c r="F1297" i="41"/>
  <c r="F1307" i="41"/>
  <c r="F365" i="29"/>
  <c r="F57" i="39"/>
  <c r="F66" i="39"/>
  <c r="F67" i="39"/>
  <c r="F73" i="39"/>
  <c r="F65" i="39"/>
  <c r="F1134" i="41"/>
  <c r="F1005" i="41"/>
  <c r="F1148" i="41"/>
  <c r="F1236" i="41"/>
  <c r="F1240" i="41"/>
  <c r="F1299" i="41"/>
  <c r="F1043" i="41"/>
  <c r="F1262" i="41"/>
  <c r="F1047" i="41"/>
  <c r="F1271" i="41"/>
  <c r="F1091" i="41"/>
  <c r="F1053" i="41"/>
  <c r="F1168" i="41"/>
  <c r="F930" i="41"/>
  <c r="F1010" i="41"/>
  <c r="F980" i="41"/>
  <c r="F1128" i="41"/>
  <c r="F966" i="41"/>
  <c r="F1002" i="41"/>
  <c r="F1207" i="41"/>
  <c r="F1316" i="41"/>
  <c r="F910" i="41"/>
  <c r="F1162" i="41"/>
  <c r="F876" i="41"/>
  <c r="F1060" i="41"/>
  <c r="F1142" i="41"/>
  <c r="F1218" i="41"/>
  <c r="F877" i="41"/>
  <c r="F1127" i="41"/>
  <c r="F1202" i="41"/>
  <c r="F1006" i="41"/>
  <c r="F917" i="41"/>
  <c r="F962" i="41"/>
  <c r="F1272" i="41"/>
  <c r="F1304" i="41"/>
  <c r="F1237" i="41"/>
  <c r="F1026" i="41"/>
  <c r="F1311" i="41"/>
  <c r="F889" i="41"/>
  <c r="F1112" i="41"/>
  <c r="F1291" i="41"/>
  <c r="F1230" i="41"/>
  <c r="F1119" i="41"/>
  <c r="F1139" i="41"/>
  <c r="F1301" i="41"/>
  <c r="F1036" i="41"/>
  <c r="F1057" i="41"/>
  <c r="F1177" i="41"/>
  <c r="F1087" i="41"/>
  <c r="F1014" i="41"/>
  <c r="F1260" i="41"/>
  <c r="F872" i="41"/>
  <c r="F1017" i="41"/>
  <c r="F1269" i="41"/>
  <c r="F1130" i="41"/>
  <c r="F1281" i="41"/>
  <c r="F1082" i="41"/>
  <c r="F1042" i="41"/>
  <c r="F1104" i="41"/>
  <c r="F1242" i="41"/>
  <c r="F1188" i="41"/>
  <c r="F1113" i="41"/>
  <c r="F874" i="41"/>
  <c r="F1229" i="41"/>
  <c r="F1206" i="41"/>
  <c r="F1185" i="41"/>
  <c r="F949" i="41"/>
  <c r="F1174" i="41"/>
  <c r="F1097" i="41"/>
  <c r="F1059" i="41"/>
  <c r="F921" i="41"/>
  <c r="F1302" i="41"/>
  <c r="F960" i="41"/>
  <c r="F1136" i="41"/>
  <c r="F1251" i="41"/>
  <c r="F1132" i="41"/>
  <c r="F920" i="41"/>
  <c r="F1303" i="41"/>
  <c r="F1169" i="41"/>
  <c r="F1125" i="41"/>
  <c r="F987" i="41"/>
  <c r="F1264" i="41"/>
  <c r="F1102" i="41"/>
  <c r="F1201" i="41"/>
  <c r="F1290" i="41"/>
  <c r="F1212" i="41"/>
  <c r="F1120" i="41"/>
  <c r="F903" i="41"/>
  <c r="F1165" i="41"/>
  <c r="F1319" i="41"/>
  <c r="F1234" i="41"/>
  <c r="F1275" i="41"/>
  <c r="F955" i="41"/>
  <c r="F1216" i="41"/>
  <c r="F990" i="41"/>
  <c r="F1020" i="41"/>
  <c r="F1244" i="41"/>
  <c r="F1106" i="41"/>
  <c r="F1024" i="41"/>
  <c r="F1209" i="41"/>
  <c r="F973" i="41"/>
  <c r="F953" i="41"/>
  <c r="F1289" i="41"/>
  <c r="F1149" i="41"/>
  <c r="F1178" i="41"/>
  <c r="F1016" i="41"/>
  <c r="F1184" i="41"/>
  <c r="F1100" i="41"/>
  <c r="F951" i="41"/>
  <c r="F1001" i="41"/>
  <c r="F912" i="41"/>
  <c r="F899" i="41"/>
  <c r="F993" i="41"/>
  <c r="F1069" i="41"/>
  <c r="F1075" i="41"/>
  <c r="F1160" i="41"/>
  <c r="F996" i="41"/>
  <c r="F1039" i="41"/>
  <c r="F969" i="41"/>
  <c r="F948" i="41"/>
  <c r="F938" i="41"/>
  <c r="F1116" i="41"/>
  <c r="F1186" i="41"/>
  <c r="F1007" i="41"/>
  <c r="F1274" i="41"/>
  <c r="F1045" i="41"/>
  <c r="F1000" i="41"/>
  <c r="F1141" i="41"/>
  <c r="F1144" i="41"/>
  <c r="F1256" i="41"/>
  <c r="F1157" i="41"/>
  <c r="F1258" i="41"/>
  <c r="F1306" i="41"/>
  <c r="F880" i="41"/>
  <c r="F961" i="41"/>
  <c r="F991" i="41"/>
  <c r="F1083" i="41"/>
  <c r="F918" i="41"/>
  <c r="F1115" i="41"/>
  <c r="F968" i="41"/>
  <c r="F1314" i="41"/>
  <c r="F932" i="41"/>
  <c r="F1118" i="41"/>
  <c r="F995" i="41"/>
  <c r="F1182" i="41"/>
  <c r="F1270" i="41"/>
  <c r="F1227" i="41"/>
  <c r="F950" i="41"/>
  <c r="F1152" i="41"/>
  <c r="F894" i="41"/>
  <c r="F1117" i="41"/>
  <c r="F1250" i="41"/>
  <c r="F1086" i="41"/>
  <c r="F900" i="41"/>
  <c r="F875" i="41"/>
  <c r="F1044" i="41"/>
  <c r="F1163" i="41"/>
  <c r="F1101" i="41"/>
  <c r="F913" i="41"/>
  <c r="F1217" i="41"/>
  <c r="F964" i="41"/>
  <c r="F916" i="41"/>
  <c r="F1058" i="41"/>
  <c r="F902" i="41"/>
  <c r="F1121" i="41"/>
  <c r="F922" i="41"/>
  <c r="F1077" i="41"/>
  <c r="F1267" i="41"/>
  <c r="F1031" i="41"/>
  <c r="F1286" i="41"/>
  <c r="F1018" i="41"/>
  <c r="F1292" i="41"/>
  <c r="F963" i="41"/>
  <c r="F958" i="41"/>
  <c r="F1273" i="41"/>
  <c r="F1041" i="41"/>
  <c r="F1249" i="41"/>
  <c r="F1232" i="41"/>
  <c r="F892" i="41"/>
  <c r="F1038" i="41"/>
  <c r="F1080" i="41"/>
  <c r="F911" i="41"/>
  <c r="F1028" i="41"/>
  <c r="F1181" i="41"/>
  <c r="F1013" i="41"/>
  <c r="F1085" i="41"/>
  <c r="F1050" i="41"/>
  <c r="F1033" i="41"/>
  <c r="F1214" i="41"/>
  <c r="F1222" i="41"/>
  <c r="F1261" i="41"/>
  <c r="F1155" i="41"/>
  <c r="F1265" i="41"/>
  <c r="F1167" i="41"/>
  <c r="F1210" i="41"/>
  <c r="F1021" i="41"/>
  <c r="F1061" i="41"/>
  <c r="F1109" i="41"/>
  <c r="F1223" i="41"/>
  <c r="F1239" i="41"/>
  <c r="F1192" i="41"/>
  <c r="F890" i="41"/>
  <c r="F906" i="41"/>
  <c r="F871" i="41"/>
  <c r="F1248" i="41"/>
  <c r="F1153" i="41"/>
  <c r="F1108" i="41"/>
  <c r="F1284" i="41"/>
  <c r="F945" i="41"/>
  <c r="F1194" i="41"/>
  <c r="F1235" i="41"/>
  <c r="F986" i="41"/>
  <c r="F1228" i="41"/>
  <c r="F1312" i="41"/>
  <c r="F1279" i="41"/>
  <c r="F1103" i="41"/>
  <c r="F879" i="41"/>
  <c r="F891" i="41"/>
  <c r="F907" i="41"/>
  <c r="F1011" i="41"/>
  <c r="F1219" i="41"/>
  <c r="F1090" i="41"/>
  <c r="F988" i="41"/>
  <c r="F923" i="41"/>
  <c r="F1099" i="41"/>
  <c r="F1123" i="41"/>
  <c r="F952" i="41"/>
  <c r="F1310" i="41"/>
  <c r="F933" i="41"/>
  <c r="F1067" i="41"/>
  <c r="F970" i="41"/>
  <c r="F1048" i="41"/>
  <c r="F1074" i="41"/>
  <c r="F1296" i="41"/>
  <c r="F959" i="41"/>
  <c r="F1278" i="41"/>
  <c r="F1023" i="41"/>
  <c r="F901" i="41"/>
  <c r="F1298" i="41"/>
  <c r="F1196" i="41"/>
  <c r="F1193" i="41"/>
  <c r="F1172" i="41"/>
  <c r="F1008" i="41"/>
  <c r="F1191" i="41"/>
  <c r="F1305" i="41"/>
  <c r="F1199" i="41"/>
  <c r="F888" i="41"/>
  <c r="F1159" i="41"/>
  <c r="F1225" i="41"/>
  <c r="F1156" i="41"/>
  <c r="F1065" i="41"/>
  <c r="F992" i="41"/>
  <c r="F1079" i="41"/>
  <c r="F1131" i="41"/>
  <c r="F1110" i="41"/>
  <c r="F1313" i="41"/>
  <c r="F1088" i="41"/>
  <c r="F1245" i="41"/>
  <c r="F997" i="41"/>
  <c r="F1030" i="41"/>
  <c r="F940" i="41"/>
  <c r="F1164" i="41"/>
  <c r="F1205" i="41"/>
  <c r="F1233" i="41"/>
  <c r="F905" i="41"/>
  <c r="F926" i="41"/>
  <c r="F914" i="41"/>
  <c r="F1243" i="41"/>
  <c r="F1004" i="41"/>
  <c r="F1037" i="41"/>
  <c r="F998" i="41"/>
  <c r="F1046" i="41"/>
  <c r="F1238" i="41"/>
  <c r="F1247" i="41"/>
  <c r="F1129" i="41"/>
  <c r="F1204" i="41"/>
  <c r="F1040" i="41"/>
  <c r="F1161" i="41"/>
  <c r="F1084" i="41"/>
  <c r="F1255" i="41"/>
  <c r="F1259" i="41"/>
  <c r="F904" i="41"/>
  <c r="F1189" i="41"/>
  <c r="F909" i="41"/>
  <c r="F1283" i="41"/>
  <c r="F975" i="41"/>
  <c r="F946" i="41"/>
  <c r="F882" i="41"/>
  <c r="F972" i="41"/>
  <c r="F924" i="41"/>
  <c r="F976" i="41"/>
  <c r="F1019" i="41"/>
  <c r="F1092" i="41"/>
  <c r="F1126" i="41"/>
  <c r="F1180" i="41"/>
  <c r="F1257" i="41"/>
  <c r="F1051" i="41"/>
  <c r="F1076" i="41"/>
  <c r="F947" i="41"/>
  <c r="F965" i="41"/>
  <c r="F1066" i="41"/>
  <c r="F1035" i="41"/>
  <c r="F1015" i="41"/>
  <c r="F1317" i="41"/>
  <c r="F1150" i="41"/>
  <c r="F1105" i="41"/>
  <c r="F1078" i="41"/>
  <c r="F1055" i="41"/>
  <c r="F1095" i="41"/>
  <c r="F942" i="41"/>
  <c r="F931" i="41"/>
  <c r="F1094" i="41"/>
  <c r="F1107" i="41"/>
  <c r="F1280" i="41"/>
  <c r="F1203" i="41"/>
  <c r="F989" i="41"/>
  <c r="F984" i="41"/>
  <c r="F999" i="41"/>
  <c r="F1056" i="41"/>
  <c r="F1093" i="41"/>
  <c r="F1158" i="41"/>
  <c r="F1282" i="41"/>
  <c r="F1287" i="41"/>
  <c r="F1029" i="41"/>
  <c r="F1285" i="41"/>
  <c r="F1315" i="41"/>
  <c r="F1293" i="41"/>
  <c r="F885" i="41"/>
  <c r="F1009" i="41"/>
  <c r="F981" i="41"/>
  <c r="F897" i="41"/>
  <c r="F895" i="41"/>
  <c r="F1231" i="41"/>
  <c r="F915" i="41"/>
  <c r="F1170" i="41"/>
  <c r="F1197" i="41"/>
  <c r="F1052" i="41"/>
  <c r="F1098" i="41"/>
  <c r="F1215" i="41"/>
  <c r="F1025" i="41"/>
  <c r="F941" i="41"/>
  <c r="F935" i="41"/>
  <c r="F994" i="41"/>
  <c r="F929" i="41"/>
  <c r="F1200" i="41"/>
  <c r="F869" i="41"/>
  <c r="F1183" i="41"/>
  <c r="F1252" i="41"/>
  <c r="F1220" i="41"/>
  <c r="F1276" i="41"/>
  <c r="F1187" i="41"/>
  <c r="F1263" i="41"/>
  <c r="F1288" i="41"/>
  <c r="F936" i="41"/>
  <c r="F1175" i="41"/>
  <c r="F1114" i="41"/>
  <c r="F967" i="41"/>
  <c r="K57" i="11"/>
  <c r="M57" i="11" s="1"/>
  <c r="K73" i="11"/>
  <c r="M73" i="11" s="1"/>
  <c r="K70" i="11"/>
  <c r="M70" i="11" s="1"/>
  <c r="K54" i="11"/>
  <c r="M54" i="11" s="1"/>
  <c r="K71" i="11"/>
  <c r="M71" i="11" s="1"/>
  <c r="K68" i="11"/>
  <c r="M68" i="11" s="1"/>
  <c r="K16" i="11"/>
  <c r="K56" i="11"/>
  <c r="M56" i="11" s="1"/>
  <c r="K72" i="11"/>
  <c r="M72" i="11" s="1"/>
  <c r="K36" i="39"/>
  <c r="K55" i="11"/>
  <c r="M55" i="11" s="1"/>
  <c r="K63" i="11"/>
  <c r="M63" i="11" s="1"/>
  <c r="F802" i="41"/>
  <c r="F346" i="29"/>
  <c r="K19" i="11"/>
  <c r="M19" i="11" s="1"/>
  <c r="K78" i="11"/>
  <c r="M78" i="11" s="1"/>
  <c r="F836" i="41"/>
  <c r="K77" i="11"/>
  <c r="F345" i="29"/>
  <c r="K94" i="11"/>
  <c r="M94" i="11" s="1"/>
  <c r="K95" i="11"/>
  <c r="F339" i="29"/>
  <c r="F729" i="41"/>
  <c r="F312" i="29"/>
  <c r="F829" i="41"/>
  <c r="F350" i="29"/>
  <c r="F840" i="41"/>
  <c r="I96" i="11"/>
  <c r="I99" i="11" s="1"/>
  <c r="J96" i="11"/>
  <c r="J99" i="11" s="1"/>
  <c r="F239" i="29"/>
  <c r="F835" i="41"/>
  <c r="H96" i="11"/>
  <c r="H99" i="11" s="1"/>
  <c r="C26" i="29" l="1"/>
  <c r="C20" i="29"/>
  <c r="C21" i="29"/>
  <c r="C22" i="29"/>
  <c r="C28" i="29"/>
  <c r="C27" i="29"/>
  <c r="C24" i="29"/>
  <c r="C23" i="29"/>
  <c r="C25" i="29"/>
  <c r="F16" i="39"/>
  <c r="F12" i="41"/>
  <c r="C16" i="29"/>
  <c r="D16" i="29" s="1"/>
  <c r="I16" i="29" s="1"/>
  <c r="L8" i="54"/>
  <c r="M8" i="54" s="1"/>
  <c r="D9" i="54"/>
  <c r="C10" i="54"/>
  <c r="I9" i="54"/>
  <c r="H9" i="54"/>
  <c r="C16" i="39"/>
  <c r="B16" i="39" s="1"/>
  <c r="E16" i="39" s="1"/>
  <c r="L12" i="41"/>
  <c r="G12" i="41"/>
  <c r="C14" i="41"/>
  <c r="B14" i="41" s="1"/>
  <c r="F16" i="29"/>
  <c r="C35" i="39"/>
  <c r="F25" i="39"/>
  <c r="F30" i="39"/>
  <c r="D12" i="41"/>
  <c r="F28" i="39"/>
  <c r="F36" i="39"/>
  <c r="F27" i="39"/>
  <c r="C21" i="39"/>
  <c r="B21" i="39" s="1"/>
  <c r="E21" i="39" s="1"/>
  <c r="F29" i="39"/>
  <c r="F35" i="39"/>
  <c r="C30" i="39"/>
  <c r="G30" i="39" s="1"/>
  <c r="C25" i="39"/>
  <c r="D25" i="39" s="1"/>
  <c r="C20" i="39"/>
  <c r="C17" i="39"/>
  <c r="G17" i="39" s="1"/>
  <c r="C22" i="39"/>
  <c r="D22" i="39" s="1"/>
  <c r="F18" i="39"/>
  <c r="C33" i="39"/>
  <c r="C31" i="39"/>
  <c r="B31" i="39" s="1"/>
  <c r="E31" i="39" s="1"/>
  <c r="F21" i="39"/>
  <c r="C18" i="39"/>
  <c r="G18" i="39" s="1"/>
  <c r="F33" i="39"/>
  <c r="C28" i="39"/>
  <c r="D28" i="39" s="1"/>
  <c r="F24" i="39"/>
  <c r="C27" i="39"/>
  <c r="B27" i="39" s="1"/>
  <c r="E27" i="39" s="1"/>
  <c r="F19" i="39"/>
  <c r="C19" i="39"/>
  <c r="G19" i="39" s="1"/>
  <c r="F34" i="39"/>
  <c r="F26" i="39"/>
  <c r="C23" i="39"/>
  <c r="F17" i="39"/>
  <c r="C24" i="39"/>
  <c r="B24" i="39" s="1"/>
  <c r="E24" i="39" s="1"/>
  <c r="C34" i="39"/>
  <c r="G34" i="39" s="1"/>
  <c r="C29" i="39"/>
  <c r="F23" i="39"/>
  <c r="C26" i="39"/>
  <c r="B26" i="39" s="1"/>
  <c r="E26" i="39" s="1"/>
  <c r="F22" i="39"/>
  <c r="C32" i="39"/>
  <c r="F32" i="39"/>
  <c r="F31" i="39"/>
  <c r="F20" i="39"/>
  <c r="F547" i="41"/>
  <c r="E12" i="41"/>
  <c r="H12" i="41"/>
  <c r="I12" i="41"/>
  <c r="K12" i="41"/>
  <c r="J12" i="41"/>
  <c r="C15" i="41"/>
  <c r="G15" i="41" s="1"/>
  <c r="F79" i="41"/>
  <c r="C672" i="41"/>
  <c r="L672" i="41" s="1"/>
  <c r="F528" i="41"/>
  <c r="F77" i="41"/>
  <c r="F99" i="41"/>
  <c r="F13" i="41"/>
  <c r="C397" i="41"/>
  <c r="L397" i="41" s="1"/>
  <c r="C486" i="41"/>
  <c r="L486" i="41" s="1"/>
  <c r="C609" i="41"/>
  <c r="L609" i="41" s="1"/>
  <c r="F15" i="41"/>
  <c r="F35" i="41"/>
  <c r="C256" i="41"/>
  <c r="B256" i="41" s="1"/>
  <c r="F14" i="41"/>
  <c r="F171" i="41"/>
  <c r="C669" i="41"/>
  <c r="D669" i="41" s="1"/>
  <c r="F133" i="41"/>
  <c r="C13" i="41"/>
  <c r="G13" i="41" s="1"/>
  <c r="C426" i="41"/>
  <c r="B426" i="41" s="1"/>
  <c r="C392" i="41"/>
  <c r="D392" i="41" s="1"/>
  <c r="C151" i="41"/>
  <c r="B151" i="41" s="1"/>
  <c r="F641" i="41"/>
  <c r="F295" i="41"/>
  <c r="F258" i="41"/>
  <c r="C461" i="41"/>
  <c r="G461" i="41" s="1"/>
  <c r="F355" i="41"/>
  <c r="C593" i="41"/>
  <c r="G593" i="41" s="1"/>
  <c r="C305" i="41"/>
  <c r="L305" i="41" s="1"/>
  <c r="C475" i="41"/>
  <c r="G475" i="41" s="1"/>
  <c r="C150" i="41"/>
  <c r="G150" i="41" s="1"/>
  <c r="C193" i="41"/>
  <c r="L193" i="41" s="1"/>
  <c r="C19" i="29"/>
  <c r="B19" i="29" s="1"/>
  <c r="E19" i="29" s="1"/>
  <c r="C544" i="41"/>
  <c r="G544" i="41" s="1"/>
  <c r="F498" i="41"/>
  <c r="F596" i="41"/>
  <c r="C517" i="41"/>
  <c r="L517" i="41" s="1"/>
  <c r="F590" i="41"/>
  <c r="C423" i="41"/>
  <c r="D423" i="41" s="1"/>
  <c r="C78" i="41"/>
  <c r="B78" i="41" s="1"/>
  <c r="C458" i="41"/>
  <c r="L458" i="41" s="1"/>
  <c r="F499" i="41"/>
  <c r="F541" i="41"/>
  <c r="F331" i="41"/>
  <c r="C596" i="41"/>
  <c r="B596" i="41" s="1"/>
  <c r="C389" i="41"/>
  <c r="L389" i="41" s="1"/>
  <c r="C282" i="41"/>
  <c r="L282" i="41" s="1"/>
  <c r="C387" i="41"/>
  <c r="D387" i="41" s="1"/>
  <c r="F617" i="41"/>
  <c r="F23" i="41"/>
  <c r="C191" i="41"/>
  <c r="G191" i="41" s="1"/>
  <c r="F215" i="41"/>
  <c r="F221" i="41"/>
  <c r="F349" i="41"/>
  <c r="F19" i="41"/>
  <c r="C148" i="41"/>
  <c r="D148" i="41" s="1"/>
  <c r="C79" i="41"/>
  <c r="D79" i="41" s="1"/>
  <c r="F251" i="41"/>
  <c r="F318" i="41"/>
  <c r="F176" i="41"/>
  <c r="F359" i="41"/>
  <c r="C598" i="41"/>
  <c r="B598" i="41" s="1"/>
  <c r="F205" i="41"/>
  <c r="F72" i="41"/>
  <c r="F337" i="41"/>
  <c r="C260" i="41"/>
  <c r="L260" i="41" s="1"/>
  <c r="C403" i="41"/>
  <c r="G403" i="41" s="1"/>
  <c r="C139" i="41"/>
  <c r="B139" i="41" s="1"/>
  <c r="F389" i="41"/>
  <c r="F291" i="41"/>
  <c r="F286" i="41"/>
  <c r="C584" i="41"/>
  <c r="B584" i="41" s="1"/>
  <c r="C650" i="41"/>
  <c r="B650" i="41" s="1"/>
  <c r="C691" i="41"/>
  <c r="L691" i="41" s="1"/>
  <c r="F201" i="41"/>
  <c r="C466" i="41"/>
  <c r="G466" i="41" s="1"/>
  <c r="C455" i="41"/>
  <c r="G455" i="41" s="1"/>
  <c r="F580" i="41"/>
  <c r="C579" i="41"/>
  <c r="B579" i="41" s="1"/>
  <c r="C177" i="41"/>
  <c r="L177" i="41" s="1"/>
  <c r="F319" i="41"/>
  <c r="C377" i="41"/>
  <c r="B377" i="41" s="1"/>
  <c r="C345" i="41"/>
  <c r="D345" i="41" s="1"/>
  <c r="C294" i="41"/>
  <c r="L294" i="41" s="1"/>
  <c r="C640" i="41"/>
  <c r="L640" i="41" s="1"/>
  <c r="C209" i="41"/>
  <c r="B209" i="41" s="1"/>
  <c r="F156" i="41"/>
  <c r="C238" i="41"/>
  <c r="G238" i="41" s="1"/>
  <c r="F481" i="41"/>
  <c r="F325" i="41"/>
  <c r="C507" i="41"/>
  <c r="L507" i="41" s="1"/>
  <c r="F224" i="41"/>
  <c r="C556" i="41"/>
  <c r="D556" i="41" s="1"/>
  <c r="C390" i="41"/>
  <c r="L390" i="41" s="1"/>
  <c r="F567" i="41"/>
  <c r="C684" i="41"/>
  <c r="B684" i="41" s="1"/>
  <c r="F237" i="41"/>
  <c r="C147" i="41"/>
  <c r="G147" i="41" s="1"/>
  <c r="F268" i="41"/>
  <c r="C627" i="41"/>
  <c r="L627" i="41" s="1"/>
  <c r="F200" i="41"/>
  <c r="C511" i="41"/>
  <c r="G511" i="41" s="1"/>
  <c r="C427" i="41"/>
  <c r="B427" i="41" s="1"/>
  <c r="F250" i="41"/>
  <c r="F535" i="41"/>
  <c r="C324" i="41"/>
  <c r="D324" i="41" s="1"/>
  <c r="F595" i="41"/>
  <c r="F59" i="41"/>
  <c r="C399" i="41"/>
  <c r="B399" i="41" s="1"/>
  <c r="F376" i="41"/>
  <c r="C222" i="41"/>
  <c r="B222" i="41" s="1"/>
  <c r="F262" i="41"/>
  <c r="C293" i="41"/>
  <c r="D293" i="41" s="1"/>
  <c r="F396" i="41"/>
  <c r="C641" i="41"/>
  <c r="B641" i="41" s="1"/>
  <c r="F115" i="41"/>
  <c r="C349" i="41"/>
  <c r="B349" i="41" s="1"/>
  <c r="C510" i="41"/>
  <c r="D510" i="41" s="1"/>
  <c r="C570" i="41"/>
  <c r="D570" i="41" s="1"/>
  <c r="F304" i="41"/>
  <c r="C489" i="41"/>
  <c r="G489" i="41" s="1"/>
  <c r="C45" i="41"/>
  <c r="D45" i="41" s="1"/>
  <c r="F294" i="41"/>
  <c r="F340" i="41"/>
  <c r="F43" i="41"/>
  <c r="C332" i="41"/>
  <c r="G332" i="41" s="1"/>
  <c r="F71" i="41"/>
  <c r="C383" i="41"/>
  <c r="L383" i="41" s="1"/>
  <c r="C281" i="41"/>
  <c r="D281" i="41" s="1"/>
  <c r="C339" i="41"/>
  <c r="G339" i="41" s="1"/>
  <c r="F692" i="41"/>
  <c r="F151" i="41"/>
  <c r="C308" i="41"/>
  <c r="L308" i="41" s="1"/>
  <c r="F103" i="41"/>
  <c r="C255" i="41"/>
  <c r="G255" i="41" s="1"/>
  <c r="F159" i="41"/>
  <c r="C121" i="41"/>
  <c r="B121" i="41" s="1"/>
  <c r="C275" i="41"/>
  <c r="L275" i="41" s="1"/>
  <c r="C118" i="41"/>
  <c r="B118" i="41" s="1"/>
  <c r="F619" i="41"/>
  <c r="F147" i="41"/>
  <c r="C459" i="41"/>
  <c r="G459" i="41" s="1"/>
  <c r="C656" i="41"/>
  <c r="G656" i="41" s="1"/>
  <c r="C259" i="41"/>
  <c r="L259" i="41" s="1"/>
  <c r="C182" i="41"/>
  <c r="D182" i="41" s="1"/>
  <c r="F397" i="41"/>
  <c r="C607" i="41"/>
  <c r="D607" i="41" s="1"/>
  <c r="F687" i="41"/>
  <c r="F347" i="41"/>
  <c r="C237" i="41"/>
  <c r="B237" i="41" s="1"/>
  <c r="C471" i="41"/>
  <c r="D471" i="41" s="1"/>
  <c r="C145" i="41"/>
  <c r="B145" i="41" s="1"/>
  <c r="F316" i="41"/>
  <c r="F401" i="41"/>
  <c r="F279" i="41"/>
  <c r="F343" i="41"/>
  <c r="F273" i="41"/>
  <c r="F441" i="41"/>
  <c r="C107" i="41"/>
  <c r="B107" i="41" s="1"/>
  <c r="C299" i="41"/>
  <c r="D299" i="41" s="1"/>
  <c r="F480" i="41"/>
  <c r="C653" i="41"/>
  <c r="L653" i="41" s="1"/>
  <c r="F37" i="41"/>
  <c r="F614" i="41"/>
  <c r="F675" i="41"/>
  <c r="C37" i="41"/>
  <c r="L37" i="41" s="1"/>
  <c r="F460" i="41"/>
  <c r="C41" i="41"/>
  <c r="L41" i="41" s="1"/>
  <c r="F217" i="41"/>
  <c r="C261" i="41"/>
  <c r="D261" i="41" s="1"/>
  <c r="F493" i="41"/>
  <c r="C575" i="41"/>
  <c r="D575" i="41" s="1"/>
  <c r="F447" i="41"/>
  <c r="F30" i="41"/>
  <c r="C589" i="41"/>
  <c r="B589" i="41" s="1"/>
  <c r="F135" i="41"/>
  <c r="F615" i="41"/>
  <c r="C172" i="41"/>
  <c r="B172" i="41" s="1"/>
  <c r="F163" i="41"/>
  <c r="F283" i="41"/>
  <c r="C170" i="41"/>
  <c r="B170" i="41" s="1"/>
  <c r="F698" i="41"/>
  <c r="C492" i="41"/>
  <c r="B492" i="41" s="1"/>
  <c r="F660" i="41"/>
  <c r="F594" i="41"/>
  <c r="C527" i="41"/>
  <c r="L527" i="41" s="1"/>
  <c r="F341" i="41"/>
  <c r="F170" i="41"/>
  <c r="C235" i="41"/>
  <c r="B235" i="41" s="1"/>
  <c r="F367" i="41"/>
  <c r="F313" i="41"/>
  <c r="C480" i="41"/>
  <c r="G480" i="41" s="1"/>
  <c r="F68" i="41"/>
  <c r="C164" i="41"/>
  <c r="D164" i="41" s="1"/>
  <c r="C311" i="41"/>
  <c r="D311" i="41" s="1"/>
  <c r="C477" i="41"/>
  <c r="G477" i="41" s="1"/>
  <c r="F269" i="41"/>
  <c r="F92" i="41"/>
  <c r="F189" i="41"/>
  <c r="C642" i="41"/>
  <c r="G642" i="41" s="1"/>
  <c r="C424" i="41"/>
  <c r="G424" i="41" s="1"/>
  <c r="F572" i="41"/>
  <c r="C312" i="41"/>
  <c r="D312" i="41" s="1"/>
  <c r="F172" i="41"/>
  <c r="C707" i="41"/>
  <c r="L707" i="41" s="1"/>
  <c r="C616" i="41"/>
  <c r="D616" i="41" s="1"/>
  <c r="C451" i="41"/>
  <c r="G451" i="41" s="1"/>
  <c r="F607" i="41"/>
  <c r="C536" i="41"/>
  <c r="L536" i="41" s="1"/>
  <c r="F114" i="41"/>
  <c r="F682" i="41"/>
  <c r="F219" i="41"/>
  <c r="C31" i="41"/>
  <c r="D31" i="41" s="1"/>
  <c r="F490" i="41"/>
  <c r="F644" i="41"/>
  <c r="F64" i="41"/>
  <c r="C681" i="41"/>
  <c r="D681" i="41" s="1"/>
  <c r="F554" i="41"/>
  <c r="C248" i="41"/>
  <c r="B248" i="41" s="1"/>
  <c r="F442" i="41"/>
  <c r="F436" i="41"/>
  <c r="F496" i="41"/>
  <c r="F700" i="41"/>
  <c r="F489" i="41"/>
  <c r="F473" i="41"/>
  <c r="F363" i="41"/>
  <c r="C84" i="41"/>
  <c r="B84" i="41" s="1"/>
  <c r="C204" i="41"/>
  <c r="D204" i="41" s="1"/>
  <c r="C409" i="41"/>
  <c r="G409" i="41" s="1"/>
  <c r="F371" i="41"/>
  <c r="C141" i="41"/>
  <c r="D141" i="41" s="1"/>
  <c r="F520" i="41"/>
  <c r="C267" i="41"/>
  <c r="L267" i="41" s="1"/>
  <c r="C428" i="41"/>
  <c r="G428" i="41" s="1"/>
  <c r="F166" i="41"/>
  <c r="F306" i="41"/>
  <c r="C306" i="41"/>
  <c r="G306" i="41" s="1"/>
  <c r="C140" i="41"/>
  <c r="D140" i="41" s="1"/>
  <c r="F364" i="41"/>
  <c r="C155" i="41"/>
  <c r="B155" i="41" s="1"/>
  <c r="C430" i="41"/>
  <c r="L430" i="41" s="1"/>
  <c r="C60" i="41"/>
  <c r="G60" i="41" s="1"/>
  <c r="C514" i="41"/>
  <c r="B514" i="41" s="1"/>
  <c r="C550" i="41"/>
  <c r="D550" i="41" s="1"/>
  <c r="C558" i="41"/>
  <c r="G558" i="41" s="1"/>
  <c r="F439" i="41"/>
  <c r="C565" i="41"/>
  <c r="G565" i="41" s="1"/>
  <c r="F118" i="41"/>
  <c r="F60" i="41"/>
  <c r="F477" i="41"/>
  <c r="C226" i="41"/>
  <c r="G226" i="41" s="1"/>
  <c r="C585" i="41"/>
  <c r="D585" i="41" s="1"/>
  <c r="F191" i="41"/>
  <c r="C639" i="41"/>
  <c r="G639" i="41" s="1"/>
  <c r="C588" i="41"/>
  <c r="L588" i="41" s="1"/>
  <c r="C239" i="41"/>
  <c r="B239" i="41" s="1"/>
  <c r="C406" i="41"/>
  <c r="B406" i="41" s="1"/>
  <c r="C322" i="41"/>
  <c r="L322" i="41" s="1"/>
  <c r="C531" i="41"/>
  <c r="L531" i="41" s="1"/>
  <c r="C254" i="41"/>
  <c r="D254" i="41" s="1"/>
  <c r="F652" i="41"/>
  <c r="F75" i="41"/>
  <c r="F234" i="41"/>
  <c r="F416" i="41"/>
  <c r="F309" i="41"/>
  <c r="C657" i="41"/>
  <c r="G657" i="41" s="1"/>
  <c r="F40" i="41"/>
  <c r="F426" i="41"/>
  <c r="C462" i="41"/>
  <c r="G462" i="41" s="1"/>
  <c r="C422" i="41"/>
  <c r="B422" i="41" s="1"/>
  <c r="C516" i="41"/>
  <c r="D516" i="41" s="1"/>
  <c r="C323" i="41"/>
  <c r="D323" i="41" s="1"/>
  <c r="C453" i="41"/>
  <c r="B453" i="41" s="1"/>
  <c r="F507" i="41"/>
  <c r="C18" i="41"/>
  <c r="L18" i="41" s="1"/>
  <c r="C529" i="41"/>
  <c r="G529" i="41" s="1"/>
  <c r="C418" i="41"/>
  <c r="L418" i="41" s="1"/>
  <c r="F302" i="41"/>
  <c r="C35" i="41"/>
  <c r="L35" i="41" s="1"/>
  <c r="C228" i="41"/>
  <c r="D228" i="41" s="1"/>
  <c r="F28" i="41"/>
  <c r="C21" i="41"/>
  <c r="B21" i="41" s="1"/>
  <c r="C355" i="41"/>
  <c r="G355" i="41" s="1"/>
  <c r="C136" i="41"/>
  <c r="D136" i="41" s="1"/>
  <c r="C425" i="41"/>
  <c r="L425" i="41" s="1"/>
  <c r="C395" i="41"/>
  <c r="L395" i="41" s="1"/>
  <c r="C350" i="41"/>
  <c r="L350" i="41" s="1"/>
  <c r="C98" i="41"/>
  <c r="L98" i="41" s="1"/>
  <c r="C621" i="41"/>
  <c r="D621" i="41" s="1"/>
  <c r="C402" i="41"/>
  <c r="L402" i="41" s="1"/>
  <c r="F134" i="41"/>
  <c r="C353" i="41"/>
  <c r="L353" i="41" s="1"/>
  <c r="F500" i="41"/>
  <c r="F532" i="41"/>
  <c r="F317" i="41"/>
  <c r="F406" i="41"/>
  <c r="F598" i="41"/>
  <c r="F643" i="41"/>
  <c r="F116" i="41"/>
  <c r="C666" i="41"/>
  <c r="D666" i="41" s="1"/>
  <c r="F81" i="41"/>
  <c r="C111" i="41"/>
  <c r="G111" i="41" s="1"/>
  <c r="C56" i="41"/>
  <c r="G56" i="41" s="1"/>
  <c r="C105" i="41"/>
  <c r="B105" i="41" s="1"/>
  <c r="F249" i="41"/>
  <c r="C27" i="41"/>
  <c r="D27" i="41" s="1"/>
  <c r="C375" i="41"/>
  <c r="D375" i="41" s="1"/>
  <c r="F548" i="41"/>
  <c r="F158" i="41"/>
  <c r="C667" i="41"/>
  <c r="L667" i="41" s="1"/>
  <c r="C316" i="41"/>
  <c r="G316" i="41" s="1"/>
  <c r="C600" i="41"/>
  <c r="D600" i="41" s="1"/>
  <c r="C520" i="41"/>
  <c r="L520" i="41" s="1"/>
  <c r="F383" i="41"/>
  <c r="F225" i="41"/>
  <c r="C247" i="41"/>
  <c r="D247" i="41" s="1"/>
  <c r="F229" i="41"/>
  <c r="F55" i="41"/>
  <c r="C625" i="41"/>
  <c r="G625" i="41" s="1"/>
  <c r="C386" i="41"/>
  <c r="B386" i="41" s="1"/>
  <c r="C472" i="41"/>
  <c r="L472" i="41" s="1"/>
  <c r="F137" i="41"/>
  <c r="C504" i="41"/>
  <c r="B504" i="41" s="1"/>
  <c r="C595" i="41"/>
  <c r="L595" i="41" s="1"/>
  <c r="F299" i="41"/>
  <c r="C94" i="41"/>
  <c r="G94" i="41" s="1"/>
  <c r="C65" i="41"/>
  <c r="G65" i="41" s="1"/>
  <c r="F351" i="41"/>
  <c r="F236" i="41"/>
  <c r="F640" i="41"/>
  <c r="F345" i="41"/>
  <c r="F690" i="41"/>
  <c r="C698" i="41"/>
  <c r="B698" i="41" s="1"/>
  <c r="C92" i="41"/>
  <c r="D92" i="41" s="1"/>
  <c r="F609" i="41"/>
  <c r="F610" i="41"/>
  <c r="F212" i="41"/>
  <c r="F144" i="41"/>
  <c r="F626" i="41"/>
  <c r="F454" i="41"/>
  <c r="C574" i="41"/>
  <c r="G574" i="41" s="1"/>
  <c r="C564" i="41"/>
  <c r="G564" i="41" s="1"/>
  <c r="C288" i="41"/>
  <c r="G288" i="41" s="1"/>
  <c r="F645" i="41"/>
  <c r="C654" i="41"/>
  <c r="B654" i="41" s="1"/>
  <c r="F94" i="41"/>
  <c r="F198" i="41"/>
  <c r="C469" i="41"/>
  <c r="B469" i="41" s="1"/>
  <c r="C337" i="41"/>
  <c r="L337" i="41" s="1"/>
  <c r="F123" i="41"/>
  <c r="C89" i="41"/>
  <c r="G89" i="41" s="1"/>
  <c r="C26" i="41"/>
  <c r="L26" i="41" s="1"/>
  <c r="F145" i="41"/>
  <c r="C468" i="41"/>
  <c r="D468" i="41" s="1"/>
  <c r="F173" i="41"/>
  <c r="C342" i="41"/>
  <c r="G342" i="41" s="1"/>
  <c r="C20" i="41"/>
  <c r="B20" i="41" s="1"/>
  <c r="J100" i="11"/>
  <c r="J101" i="11" s="1"/>
  <c r="I100" i="11"/>
  <c r="I101" i="11" s="1"/>
  <c r="H100" i="11"/>
  <c r="H101" i="11" s="1"/>
  <c r="B397" i="41"/>
  <c r="C73" i="41"/>
  <c r="F366" i="41"/>
  <c r="F701" i="41"/>
  <c r="F288" i="41"/>
  <c r="F298" i="41"/>
  <c r="F97" i="41"/>
  <c r="F522" i="41"/>
  <c r="C452" i="41"/>
  <c r="C363" i="41"/>
  <c r="F394" i="41"/>
  <c r="C269" i="41"/>
  <c r="C352" i="41"/>
  <c r="F667" i="41"/>
  <c r="F267" i="41"/>
  <c r="C709" i="41"/>
  <c r="C273" i="41"/>
  <c r="C347" i="41"/>
  <c r="C434" i="41"/>
  <c r="F482" i="41"/>
  <c r="C535" i="41"/>
  <c r="C417" i="41"/>
  <c r="C117" i="41"/>
  <c r="F308" i="41"/>
  <c r="C497" i="41"/>
  <c r="F570" i="41"/>
  <c r="C189" i="41"/>
  <c r="F529" i="41"/>
  <c r="F438" i="41"/>
  <c r="F624" i="41"/>
  <c r="C533" i="41"/>
  <c r="F627" i="41"/>
  <c r="F244" i="41"/>
  <c r="F293" i="41"/>
  <c r="F88" i="41"/>
  <c r="F52" i="41"/>
  <c r="C291" i="41"/>
  <c r="C173" i="41"/>
  <c r="F323" i="41"/>
  <c r="F210" i="41"/>
  <c r="C361" i="41"/>
  <c r="C677" i="41"/>
  <c r="F407" i="41"/>
  <c r="C476" i="41"/>
  <c r="F693" i="41"/>
  <c r="C190" i="41"/>
  <c r="F101" i="41"/>
  <c r="C663" i="41"/>
  <c r="C682" i="41"/>
  <c r="C115" i="41"/>
  <c r="F606" i="41"/>
  <c r="F213" i="41"/>
  <c r="C29" i="41"/>
  <c r="C244" i="41"/>
  <c r="C608" i="41"/>
  <c r="F272" i="41"/>
  <c r="F392" i="41"/>
  <c r="F143" i="41"/>
  <c r="C647" i="41"/>
  <c r="C340" i="41"/>
  <c r="C202" i="41"/>
  <c r="C319" i="41"/>
  <c r="C221" i="41"/>
  <c r="C454" i="41"/>
  <c r="F677" i="41"/>
  <c r="F220" i="41"/>
  <c r="F246" i="41"/>
  <c r="C702" i="41"/>
  <c r="F508" i="41"/>
  <c r="F504" i="41"/>
  <c r="F107" i="41"/>
  <c r="F129" i="41"/>
  <c r="F678" i="41"/>
  <c r="C28" i="41"/>
  <c r="C457" i="41"/>
  <c r="C232" i="41"/>
  <c r="F369" i="41"/>
  <c r="C490" i="41"/>
  <c r="C49" i="41"/>
  <c r="C36" i="41"/>
  <c r="F223" i="41"/>
  <c r="F469" i="41"/>
  <c r="C643" i="41"/>
  <c r="C129" i="41"/>
  <c r="F226" i="41"/>
  <c r="C280" i="41"/>
  <c r="F375" i="41"/>
  <c r="C470" i="41"/>
  <c r="F519" i="41"/>
  <c r="C479" i="41"/>
  <c r="F591" i="41"/>
  <c r="C253" i="41"/>
  <c r="C207" i="41"/>
  <c r="F104" i="41"/>
  <c r="F253" i="41"/>
  <c r="F486" i="41"/>
  <c r="C576" i="41"/>
  <c r="F328" i="41"/>
  <c r="C123" i="41"/>
  <c r="C372" i="41"/>
  <c r="C219" i="41"/>
  <c r="F472" i="41"/>
  <c r="F280" i="41"/>
  <c r="C651" i="41"/>
  <c r="C199" i="41"/>
  <c r="F669" i="41"/>
  <c r="F461" i="41"/>
  <c r="C292" i="41"/>
  <c r="C295" i="41"/>
  <c r="F113" i="41"/>
  <c r="F34" i="41"/>
  <c r="C179" i="41"/>
  <c r="F543" i="41"/>
  <c r="C405" i="41"/>
  <c r="F373" i="41"/>
  <c r="C270" i="41"/>
  <c r="F322" i="41"/>
  <c r="F186" i="41"/>
  <c r="F385" i="41"/>
  <c r="C415" i="41"/>
  <c r="F111" i="41"/>
  <c r="F544" i="41"/>
  <c r="F65" i="41"/>
  <c r="C110" i="41"/>
  <c r="F247" i="41"/>
  <c r="C243" i="41"/>
  <c r="C274" i="41"/>
  <c r="C683" i="41"/>
  <c r="F603" i="41"/>
  <c r="C213" i="41"/>
  <c r="C96" i="41"/>
  <c r="C420" i="41"/>
  <c r="C523" i="41"/>
  <c r="C90" i="41"/>
  <c r="F673" i="41"/>
  <c r="C265" i="41"/>
  <c r="C559" i="41"/>
  <c r="C404" i="41"/>
  <c r="F424" i="41"/>
  <c r="F50" i="41"/>
  <c r="C384" i="41"/>
  <c r="F409" i="41"/>
  <c r="F329" i="41"/>
  <c r="C592" i="41"/>
  <c r="C87" i="41"/>
  <c r="F24" i="41"/>
  <c r="C43" i="41"/>
  <c r="F423" i="41"/>
  <c r="C670" i="41"/>
  <c r="F553" i="41"/>
  <c r="C302" i="41"/>
  <c r="C701" i="41"/>
  <c r="F450" i="41"/>
  <c r="C446" i="41"/>
  <c r="C661" i="41"/>
  <c r="F87" i="41"/>
  <c r="F160" i="41"/>
  <c r="F566" i="41"/>
  <c r="C694" i="41"/>
  <c r="F411" i="41"/>
  <c r="C214" i="41"/>
  <c r="F41" i="41"/>
  <c r="C83" i="41"/>
  <c r="C431" i="41"/>
  <c r="F497" i="41"/>
  <c r="C99" i="41"/>
  <c r="C572" i="41"/>
  <c r="F513" i="41"/>
  <c r="F44" i="41"/>
  <c r="C648" i="41"/>
  <c r="C328" i="41"/>
  <c r="C381" i="41"/>
  <c r="F415" i="41"/>
  <c r="F633" i="41"/>
  <c r="C646" i="41"/>
  <c r="F378" i="41"/>
  <c r="F193" i="41"/>
  <c r="F628" i="41"/>
  <c r="C438" i="41"/>
  <c r="F539" i="41"/>
  <c r="F380" i="41"/>
  <c r="C257" i="41"/>
  <c r="C620" i="41"/>
  <c r="F211" i="41"/>
  <c r="F579" i="41"/>
  <c r="C279" i="41"/>
  <c r="F670" i="41"/>
  <c r="C435" i="41"/>
  <c r="F470" i="41"/>
  <c r="F276" i="41"/>
  <c r="C163" i="41"/>
  <c r="F194" i="41"/>
  <c r="C411" i="41"/>
  <c r="F240" i="41"/>
  <c r="F655" i="41"/>
  <c r="F148" i="41"/>
  <c r="F292" i="41"/>
  <c r="F585" i="41"/>
  <c r="F444" i="41"/>
  <c r="F662" i="41"/>
  <c r="C705" i="41"/>
  <c r="F637" i="41"/>
  <c r="F384" i="41"/>
  <c r="F558" i="41"/>
  <c r="F91" i="41"/>
  <c r="F464" i="41"/>
  <c r="F61" i="41"/>
  <c r="F209" i="41"/>
  <c r="F636" i="41"/>
  <c r="F136" i="41"/>
  <c r="F533" i="41"/>
  <c r="C437" i="41"/>
  <c r="F557" i="41"/>
  <c r="F583" i="41"/>
  <c r="C644" i="41"/>
  <c r="C619" i="41"/>
  <c r="F187" i="41"/>
  <c r="F358" i="41"/>
  <c r="F705" i="41"/>
  <c r="C54" i="41"/>
  <c r="C159" i="41"/>
  <c r="C419" i="41"/>
  <c r="C307" i="41"/>
  <c r="F131" i="41"/>
  <c r="F22" i="41"/>
  <c r="F402" i="41"/>
  <c r="C673" i="41"/>
  <c r="F265" i="41"/>
  <c r="F353" i="41"/>
  <c r="F475" i="41"/>
  <c r="F38" i="41"/>
  <c r="F709" i="41"/>
  <c r="C577" i="41"/>
  <c r="F647" i="41"/>
  <c r="C196" i="41"/>
  <c r="F495" i="41"/>
  <c r="F524" i="41"/>
  <c r="F451" i="41"/>
  <c r="F565" i="41"/>
  <c r="F542" i="41"/>
  <c r="F465" i="41"/>
  <c r="C97" i="41"/>
  <c r="C634" i="41"/>
  <c r="C638" i="41"/>
  <c r="F430" i="41"/>
  <c r="C346" i="41"/>
  <c r="C421" i="41"/>
  <c r="C488" i="41"/>
  <c r="C74" i="41"/>
  <c r="F121" i="41"/>
  <c r="F668" i="41"/>
  <c r="C335" i="41"/>
  <c r="C272" i="41"/>
  <c r="F259" i="41"/>
  <c r="C218" i="41"/>
  <c r="F164" i="41"/>
  <c r="F93" i="41"/>
  <c r="C354" i="41"/>
  <c r="F169" i="41"/>
  <c r="F141" i="41"/>
  <c r="F386" i="41"/>
  <c r="F18" i="29"/>
  <c r="F158" i="29"/>
  <c r="F31" i="29"/>
  <c r="C97" i="29"/>
  <c r="C47" i="29"/>
  <c r="C115" i="29"/>
  <c r="F162" i="29"/>
  <c r="C56" i="29"/>
  <c r="F135" i="29"/>
  <c r="F112" i="29"/>
  <c r="F142" i="29"/>
  <c r="F28" i="29"/>
  <c r="C65" i="29"/>
  <c r="F104" i="29"/>
  <c r="C110" i="29"/>
  <c r="C128" i="29"/>
  <c r="F89" i="29"/>
  <c r="F153" i="29"/>
  <c r="C51" i="29"/>
  <c r="C101" i="29"/>
  <c r="F64" i="29"/>
  <c r="F115" i="29"/>
  <c r="F81" i="29"/>
  <c r="F114" i="29"/>
  <c r="C84" i="29"/>
  <c r="C100" i="29"/>
  <c r="F122" i="29"/>
  <c r="C54" i="29"/>
  <c r="F90" i="29"/>
  <c r="F74" i="29"/>
  <c r="C39" i="29"/>
  <c r="F123" i="29"/>
  <c r="C95" i="29"/>
  <c r="C136" i="29"/>
  <c r="F30" i="29"/>
  <c r="F98" i="29"/>
  <c r="C59" i="29"/>
  <c r="C99" i="29"/>
  <c r="F111" i="29"/>
  <c r="C60" i="29"/>
  <c r="C104" i="29"/>
  <c r="F134" i="29"/>
  <c r="C68" i="29"/>
  <c r="C161" i="29"/>
  <c r="C165" i="29"/>
  <c r="C86" i="29"/>
  <c r="F59" i="29"/>
  <c r="F70" i="29"/>
  <c r="F87" i="29"/>
  <c r="F149" i="29"/>
  <c r="C87" i="29"/>
  <c r="F131" i="29"/>
  <c r="F150" i="29"/>
  <c r="F69" i="29"/>
  <c r="F36" i="29"/>
  <c r="F40" i="29"/>
  <c r="F163" i="29"/>
  <c r="F45" i="29"/>
  <c r="F126" i="29"/>
  <c r="C63" i="29"/>
  <c r="F67" i="29"/>
  <c r="C126" i="29"/>
  <c r="F75" i="29"/>
  <c r="C129" i="29"/>
  <c r="F138" i="29"/>
  <c r="F73" i="29"/>
  <c r="C82" i="29"/>
  <c r="F17" i="29"/>
  <c r="C36" i="29"/>
  <c r="C162" i="29"/>
  <c r="C117" i="29"/>
  <c r="F125" i="29"/>
  <c r="C37" i="29"/>
  <c r="C234" i="41"/>
  <c r="F431" i="41"/>
  <c r="C154" i="41"/>
  <c r="C241" i="41"/>
  <c r="F671" i="41"/>
  <c r="C413" i="41"/>
  <c r="F277" i="41"/>
  <c r="F330" i="41"/>
  <c r="F76" i="41"/>
  <c r="C245" i="41"/>
  <c r="C210" i="41"/>
  <c r="C127" i="41"/>
  <c r="C628" i="41"/>
  <c r="C176" i="41"/>
  <c r="F84" i="41"/>
  <c r="F661" i="41"/>
  <c r="C412" i="41"/>
  <c r="C408" i="41"/>
  <c r="F47" i="41"/>
  <c r="F180" i="41"/>
  <c r="F192" i="41"/>
  <c r="C442" i="41"/>
  <c r="C71" i="41"/>
  <c r="F654" i="41"/>
  <c r="F576" i="41"/>
  <c r="C86" i="41"/>
  <c r="F110" i="41"/>
  <c r="C401" i="41"/>
  <c r="F601" i="41"/>
  <c r="C563" i="41"/>
  <c r="C652" i="41"/>
  <c r="C236" i="41"/>
  <c r="F183" i="41"/>
  <c r="C66" i="41"/>
  <c r="C142" i="41"/>
  <c r="F582" i="41"/>
  <c r="C286" i="41"/>
  <c r="F142" i="41"/>
  <c r="F185" i="41"/>
  <c r="C198" i="41"/>
  <c r="C688" i="41"/>
  <c r="C112" i="41"/>
  <c r="C108" i="41"/>
  <c r="C161" i="41"/>
  <c r="F207" i="41"/>
  <c r="C571" i="41"/>
  <c r="F42" i="41"/>
  <c r="C540" i="41"/>
  <c r="F284" i="41"/>
  <c r="C216" i="41"/>
  <c r="F443" i="41"/>
  <c r="F663" i="41"/>
  <c r="C348" i="41"/>
  <c r="C467" i="41"/>
  <c r="F527" i="41"/>
  <c r="F190" i="41"/>
  <c r="C441" i="41"/>
  <c r="C675" i="41"/>
  <c r="F98" i="41"/>
  <c r="F684" i="41"/>
  <c r="C566" i="41"/>
  <c r="C482" i="41"/>
  <c r="C23" i="41"/>
  <c r="C50" i="41"/>
  <c r="C215" i="41"/>
  <c r="F360" i="41"/>
  <c r="F638" i="41"/>
  <c r="C106" i="41"/>
  <c r="C17" i="29"/>
  <c r="F505" i="41"/>
  <c r="C44" i="41"/>
  <c r="C134" i="41"/>
  <c r="C706" i="41"/>
  <c r="F531" i="41"/>
  <c r="F568" i="41"/>
  <c r="F560" i="41"/>
  <c r="F427" i="41"/>
  <c r="C242" i="41"/>
  <c r="C692" i="41"/>
  <c r="F105" i="41"/>
  <c r="C133" i="41"/>
  <c r="F399" i="41"/>
  <c r="F405" i="41"/>
  <c r="F124" i="41"/>
  <c r="C175" i="41"/>
  <c r="F479" i="41"/>
  <c r="D23" i="39"/>
  <c r="B23" i="39"/>
  <c r="E23" i="39" s="1"/>
  <c r="G23" i="39"/>
  <c r="C700" i="41"/>
  <c r="C604" i="41"/>
  <c r="F592" i="41"/>
  <c r="F153" i="41"/>
  <c r="C483" i="41"/>
  <c r="F691" i="41"/>
  <c r="C185" i="41"/>
  <c r="F618" i="41"/>
  <c r="C104" i="41"/>
  <c r="C24" i="41"/>
  <c r="C114" i="41"/>
  <c r="F656" i="41"/>
  <c r="C373" i="41"/>
  <c r="C22" i="41"/>
  <c r="F208" i="41"/>
  <c r="F17" i="41"/>
  <c r="C203" i="41"/>
  <c r="F290" i="41"/>
  <c r="F146" i="29"/>
  <c r="C44" i="29"/>
  <c r="F84" i="29"/>
  <c r="F80" i="29"/>
  <c r="C153" i="29"/>
  <c r="F38" i="29"/>
  <c r="F155" i="29"/>
  <c r="F47" i="29"/>
  <c r="F145" i="29"/>
  <c r="F68" i="29"/>
  <c r="C159" i="29"/>
  <c r="C163" i="29"/>
  <c r="C42" i="29"/>
  <c r="C111" i="29"/>
  <c r="F23" i="29"/>
  <c r="F102" i="29"/>
  <c r="F27" i="29"/>
  <c r="C106" i="29"/>
  <c r="F101" i="29"/>
  <c r="F22" i="29"/>
  <c r="C93" i="29"/>
  <c r="F124" i="29"/>
  <c r="F37" i="29"/>
  <c r="C61" i="29"/>
  <c r="F77" i="29"/>
  <c r="C57" i="29"/>
  <c r="C152" i="29"/>
  <c r="F88" i="29"/>
  <c r="C76" i="29"/>
  <c r="F147" i="29"/>
  <c r="F50" i="29"/>
  <c r="C112" i="29"/>
  <c r="C81" i="29"/>
  <c r="F121" i="29"/>
  <c r="C146" i="29"/>
  <c r="F129" i="29"/>
  <c r="C107" i="29"/>
  <c r="C125" i="29"/>
  <c r="F159" i="29"/>
  <c r="F33" i="29"/>
  <c r="F103" i="29"/>
  <c r="C147" i="29"/>
  <c r="F66" i="29"/>
  <c r="C94" i="29"/>
  <c r="F95" i="29"/>
  <c r="F41" i="29"/>
  <c r="F164" i="29"/>
  <c r="C108" i="29"/>
  <c r="F51" i="29"/>
  <c r="C46" i="29"/>
  <c r="F35" i="29"/>
  <c r="C155" i="29"/>
  <c r="F71" i="29"/>
  <c r="C139" i="29"/>
  <c r="C88" i="29"/>
  <c r="F44" i="29"/>
  <c r="F93" i="29"/>
  <c r="F34" i="29"/>
  <c r="C122" i="29"/>
  <c r="C48" i="29"/>
  <c r="F133" i="29"/>
  <c r="F54" i="29"/>
  <c r="C74" i="29"/>
  <c r="F63" i="29"/>
  <c r="C33" i="29"/>
  <c r="F152" i="29"/>
  <c r="F82" i="29"/>
  <c r="C77" i="29"/>
  <c r="C135" i="29"/>
  <c r="F154" i="29"/>
  <c r="C30" i="29"/>
  <c r="F96" i="29"/>
  <c r="C35" i="29"/>
  <c r="K96" i="11"/>
  <c r="K99" i="11" s="1"/>
  <c r="C16" i="41"/>
  <c r="F512" i="41"/>
  <c r="C102" i="41"/>
  <c r="C315" i="41"/>
  <c r="C376" i="41"/>
  <c r="C128" i="41"/>
  <c r="F333" i="41"/>
  <c r="F297" i="41"/>
  <c r="F314" i="41"/>
  <c r="C473" i="41"/>
  <c r="C327" i="41"/>
  <c r="F599" i="41"/>
  <c r="C410" i="41"/>
  <c r="F312" i="41"/>
  <c r="F264" i="41"/>
  <c r="F510" i="41"/>
  <c r="F404" i="41"/>
  <c r="C95" i="41"/>
  <c r="F326" i="41"/>
  <c r="F241" i="41"/>
  <c r="F665" i="41"/>
  <c r="F214" i="41"/>
  <c r="C569" i="41"/>
  <c r="C394" i="41"/>
  <c r="C513" i="41"/>
  <c r="F457" i="41"/>
  <c r="C601" i="41"/>
  <c r="F459" i="41"/>
  <c r="F178" i="41"/>
  <c r="F683" i="41"/>
  <c r="F377" i="41"/>
  <c r="C374" i="41"/>
  <c r="F686" i="41"/>
  <c r="C674" i="41"/>
  <c r="F573" i="41"/>
  <c r="F162" i="41"/>
  <c r="C80" i="41"/>
  <c r="C432" i="41"/>
  <c r="F503" i="41"/>
  <c r="F344" i="41"/>
  <c r="F233" i="41"/>
  <c r="C146" i="41"/>
  <c r="F122" i="41"/>
  <c r="F422" i="41"/>
  <c r="C689" i="41"/>
  <c r="C290" i="41"/>
  <c r="C439" i="41"/>
  <c r="C560" i="41"/>
  <c r="F421" i="41"/>
  <c r="C711" i="41"/>
  <c r="F82" i="41"/>
  <c r="C463" i="41"/>
  <c r="F243" i="41"/>
  <c r="F639" i="41"/>
  <c r="F146" i="41"/>
  <c r="C378" i="41"/>
  <c r="C153" i="41"/>
  <c r="C568" i="41"/>
  <c r="F235" i="41"/>
  <c r="C380" i="41"/>
  <c r="C398" i="41"/>
  <c r="F197" i="41"/>
  <c r="C30" i="41"/>
  <c r="C131" i="41"/>
  <c r="C336" i="41"/>
  <c r="F342" i="41"/>
  <c r="C512" i="41"/>
  <c r="F485" i="41"/>
  <c r="C329" i="41"/>
  <c r="C626" i="41"/>
  <c r="F391" i="41"/>
  <c r="F67" i="41"/>
  <c r="F569" i="41"/>
  <c r="C671" i="41"/>
  <c r="C38" i="41"/>
  <c r="C122" i="41"/>
  <c r="C76" i="41"/>
  <c r="C658" i="41"/>
  <c r="F374" i="41"/>
  <c r="C258" i="41"/>
  <c r="F659" i="41"/>
  <c r="C126" i="41"/>
  <c r="C158" i="41"/>
  <c r="F620" i="41"/>
  <c r="C371" i="41"/>
  <c r="F704" i="41"/>
  <c r="C429" i="41"/>
  <c r="C249" i="41"/>
  <c r="F346" i="41"/>
  <c r="F379" i="41"/>
  <c r="F515" i="41"/>
  <c r="C368" i="41"/>
  <c r="C465" i="41"/>
  <c r="C109" i="41"/>
  <c r="C364" i="41"/>
  <c r="F538" i="41"/>
  <c r="F368" i="41"/>
  <c r="C539" i="41"/>
  <c r="C195" i="41"/>
  <c r="F429" i="41"/>
  <c r="C484" i="41"/>
  <c r="C649" i="41"/>
  <c r="F381" i="41"/>
  <c r="C551" i="41"/>
  <c r="C197" i="41"/>
  <c r="F448" i="41"/>
  <c r="C450" i="41"/>
  <c r="F577" i="41"/>
  <c r="F354" i="41"/>
  <c r="C285" i="41"/>
  <c r="F165" i="41"/>
  <c r="C635" i="41"/>
  <c r="F227" i="41"/>
  <c r="C659" i="41"/>
  <c r="F127" i="41"/>
  <c r="F66" i="41"/>
  <c r="F649" i="41"/>
  <c r="C227" i="41"/>
  <c r="F400" i="41"/>
  <c r="C263" i="41"/>
  <c r="C508" i="41"/>
  <c r="C629" i="41"/>
  <c r="F350" i="41"/>
  <c r="F463" i="41"/>
  <c r="F216" i="41"/>
  <c r="C357" i="41"/>
  <c r="F357" i="41"/>
  <c r="F327" i="41"/>
  <c r="F140" i="41"/>
  <c r="F432" i="41"/>
  <c r="F593" i="41"/>
  <c r="C400" i="41"/>
  <c r="F275" i="41"/>
  <c r="F434" i="41"/>
  <c r="C699" i="41"/>
  <c r="F487" i="41"/>
  <c r="F578" i="41"/>
  <c r="F708" i="41"/>
  <c r="C251" i="41"/>
  <c r="C250" i="41"/>
  <c r="F388" i="41"/>
  <c r="C445" i="41"/>
  <c r="C416" i="41"/>
  <c r="C360" i="41"/>
  <c r="C69" i="41"/>
  <c r="C515" i="41"/>
  <c r="C525" i="41"/>
  <c r="F471" i="41"/>
  <c r="F456" i="41"/>
  <c r="F126" i="41"/>
  <c r="F414" i="41"/>
  <c r="F57" i="41"/>
  <c r="C710" i="41"/>
  <c r="F445" i="41"/>
  <c r="C502" i="41"/>
  <c r="C597" i="41"/>
  <c r="F204" i="41"/>
  <c r="F534" i="41"/>
  <c r="F586" i="41"/>
  <c r="C93" i="41"/>
  <c r="F433" i="41"/>
  <c r="C440" i="41"/>
  <c r="C289" i="41"/>
  <c r="F509" i="41"/>
  <c r="F551" i="41"/>
  <c r="C314" i="41"/>
  <c r="F218" i="41"/>
  <c r="C617" i="41"/>
  <c r="C703" i="41"/>
  <c r="F356" i="41"/>
  <c r="C325" i="41"/>
  <c r="F417" i="41"/>
  <c r="F307" i="41"/>
  <c r="F462" i="41"/>
  <c r="C481" i="41"/>
  <c r="C391" i="41"/>
  <c r="C318" i="41"/>
  <c r="F58" i="41"/>
  <c r="C695" i="41"/>
  <c r="C505" i="41"/>
  <c r="F648" i="41"/>
  <c r="F282" i="41"/>
  <c r="C42" i="41"/>
  <c r="F184" i="41"/>
  <c r="F230" i="41"/>
  <c r="F552" i="41"/>
  <c r="F483" i="41"/>
  <c r="F108" i="41"/>
  <c r="F255" i="41"/>
  <c r="F231" i="41"/>
  <c r="F271" i="41"/>
  <c r="C359" i="41"/>
  <c r="F365" i="41"/>
  <c r="C542" i="41"/>
  <c r="F588" i="41"/>
  <c r="C183" i="41"/>
  <c r="F604" i="41"/>
  <c r="C493" i="41"/>
  <c r="F694" i="41"/>
  <c r="C676" i="41"/>
  <c r="F25" i="41"/>
  <c r="C130" i="41"/>
  <c r="F132" i="41"/>
  <c r="C496" i="41"/>
  <c r="C304" i="41"/>
  <c r="F685" i="41"/>
  <c r="C370" i="41"/>
  <c r="F56" i="41"/>
  <c r="C283" i="41"/>
  <c r="C554" i="41"/>
  <c r="F545" i="41"/>
  <c r="C630" i="41"/>
  <c r="C602" i="41"/>
  <c r="C120" i="41"/>
  <c r="F222" i="41"/>
  <c r="F559" i="41"/>
  <c r="F608" i="41"/>
  <c r="F239" i="41"/>
  <c r="F390" i="41"/>
  <c r="F274" i="41"/>
  <c r="F263" i="41"/>
  <c r="C91" i="41"/>
  <c r="C655" i="41"/>
  <c r="C25" i="41"/>
  <c r="C693" i="41"/>
  <c r="C40" i="41"/>
  <c r="F18" i="41"/>
  <c r="F102" i="41"/>
  <c r="C665" i="41"/>
  <c r="F95" i="41"/>
  <c r="C167" i="41"/>
  <c r="C223" i="41"/>
  <c r="F523" i="41"/>
  <c r="C555" i="41"/>
  <c r="C208" i="41"/>
  <c r="F420" i="41"/>
  <c r="F78" i="41"/>
  <c r="C552" i="41"/>
  <c r="F109" i="41"/>
  <c r="F175" i="41"/>
  <c r="F455" i="41"/>
  <c r="C636" i="41"/>
  <c r="F530" i="41"/>
  <c r="F36" i="41"/>
  <c r="F161" i="41"/>
  <c r="F370" i="41"/>
  <c r="C526" i="41"/>
  <c r="C344" i="41"/>
  <c r="F315" i="41"/>
  <c r="C34" i="41"/>
  <c r="F605" i="41"/>
  <c r="F435" i="41"/>
  <c r="C460" i="41"/>
  <c r="F321" i="41"/>
  <c r="C603" i="41"/>
  <c r="F468" i="41"/>
  <c r="F488" i="41"/>
  <c r="C561" i="41"/>
  <c r="C449" i="41"/>
  <c r="F310" i="41"/>
  <c r="C443" i="41"/>
  <c r="C369" i="41"/>
  <c r="C58" i="41"/>
  <c r="C545" i="41"/>
  <c r="C660" i="41"/>
  <c r="F270" i="41"/>
  <c r="C615" i="41"/>
  <c r="F155" i="41"/>
  <c r="C194" i="41"/>
  <c r="F320" i="41"/>
  <c r="C19" i="41"/>
  <c r="F100" i="41"/>
  <c r="F33" i="41"/>
  <c r="F168" i="41"/>
  <c r="F646" i="41"/>
  <c r="F408" i="41"/>
  <c r="F289" i="41"/>
  <c r="F622" i="41"/>
  <c r="C32" i="41"/>
  <c r="F631" i="41"/>
  <c r="C62" i="41"/>
  <c r="C518" i="41"/>
  <c r="C166" i="41"/>
  <c r="F630" i="41"/>
  <c r="C47" i="41"/>
  <c r="C303" i="41"/>
  <c r="C668" i="41"/>
  <c r="C696" i="41"/>
  <c r="F699" i="41"/>
  <c r="C664" i="41"/>
  <c r="C594" i="41"/>
  <c r="C549" i="41"/>
  <c r="F285" i="41"/>
  <c r="C143" i="41"/>
  <c r="F63" i="41"/>
  <c r="C530" i="41"/>
  <c r="C367" i="41"/>
  <c r="C125" i="41"/>
  <c r="C548" i="41"/>
  <c r="F697" i="41"/>
  <c r="F437" i="41"/>
  <c r="C388" i="41"/>
  <c r="F393" i="41"/>
  <c r="C53" i="41"/>
  <c r="F680" i="41"/>
  <c r="C225" i="41"/>
  <c r="C605" i="41"/>
  <c r="F612" i="41"/>
  <c r="F74" i="41"/>
  <c r="F174" i="41"/>
  <c r="F540" i="41"/>
  <c r="F238" i="41"/>
  <c r="F256" i="41"/>
  <c r="F206" i="41"/>
  <c r="C407" i="41"/>
  <c r="C266" i="41"/>
  <c r="C212" i="41"/>
  <c r="F85" i="41"/>
  <c r="F501" i="41"/>
  <c r="C365" i="41"/>
  <c r="F521" i="41"/>
  <c r="F696" i="41"/>
  <c r="C178" i="41"/>
  <c r="F688" i="41"/>
  <c r="F39" i="41"/>
  <c r="C310" i="41"/>
  <c r="C645" i="41"/>
  <c r="C17" i="41"/>
  <c r="C343" i="41"/>
  <c r="C433" i="41"/>
  <c r="F695" i="41"/>
  <c r="D29" i="39"/>
  <c r="B29" i="39"/>
  <c r="E29" i="39" s="1"/>
  <c r="G29" i="39"/>
  <c r="G32" i="39"/>
  <c r="B32" i="39"/>
  <c r="E32" i="39" s="1"/>
  <c r="D32" i="39"/>
  <c r="F20" i="29"/>
  <c r="F516" i="41"/>
  <c r="F352" i="41"/>
  <c r="C662" i="41"/>
  <c r="F707" i="41"/>
  <c r="C67" i="41"/>
  <c r="C180" i="41"/>
  <c r="C157" i="41"/>
  <c r="F338" i="41"/>
  <c r="F550" i="41"/>
  <c r="C192" i="41"/>
  <c r="C144" i="41"/>
  <c r="C612" i="41"/>
  <c r="C48" i="41"/>
  <c r="C231" i="41"/>
  <c r="F561" i="41"/>
  <c r="C690" i="41"/>
  <c r="C46" i="41"/>
  <c r="F117" i="29"/>
  <c r="F25" i="29"/>
  <c r="F156" i="29"/>
  <c r="F76" i="29"/>
  <c r="C62" i="29"/>
  <c r="F144" i="29"/>
  <c r="C41" i="29"/>
  <c r="C154" i="29"/>
  <c r="C53" i="29"/>
  <c r="C148" i="29"/>
  <c r="C121" i="29"/>
  <c r="F24" i="29"/>
  <c r="F107" i="29"/>
  <c r="C156" i="29"/>
  <c r="C143" i="29"/>
  <c r="C67" i="29"/>
  <c r="C96" i="29"/>
  <c r="C43" i="29"/>
  <c r="C119" i="29"/>
  <c r="C141" i="29"/>
  <c r="F108" i="29"/>
  <c r="F165" i="29"/>
  <c r="C89" i="29"/>
  <c r="F79" i="29"/>
  <c r="C151" i="29"/>
  <c r="C131" i="29"/>
  <c r="C140" i="29"/>
  <c r="C127" i="29"/>
  <c r="C55" i="29"/>
  <c r="C114" i="29"/>
  <c r="F42" i="29"/>
  <c r="C133" i="29"/>
  <c r="C29" i="29"/>
  <c r="C79" i="29"/>
  <c r="F52" i="29"/>
  <c r="F72" i="29"/>
  <c r="F39" i="29"/>
  <c r="F148" i="29"/>
  <c r="F60" i="29"/>
  <c r="C120" i="29"/>
  <c r="F92" i="29"/>
  <c r="C50" i="29"/>
  <c r="F143" i="29"/>
  <c r="C38" i="29"/>
  <c r="F120" i="29"/>
  <c r="F132" i="29"/>
  <c r="C91" i="29"/>
  <c r="C72" i="29"/>
  <c r="C64" i="29"/>
  <c r="C105" i="29"/>
  <c r="F157" i="29"/>
  <c r="F141" i="29"/>
  <c r="F94" i="29"/>
  <c r="C137" i="29"/>
  <c r="F62" i="29"/>
  <c r="F151" i="29"/>
  <c r="F105" i="29"/>
  <c r="C164" i="29"/>
  <c r="C118" i="29"/>
  <c r="C98" i="29"/>
  <c r="F99" i="29"/>
  <c r="C123" i="29"/>
  <c r="F19" i="29"/>
  <c r="C113" i="29"/>
  <c r="F61" i="29"/>
  <c r="C90" i="29"/>
  <c r="C116" i="29"/>
  <c r="C69" i="29"/>
  <c r="C532" i="41"/>
  <c r="C633" i="41"/>
  <c r="C149" i="41"/>
  <c r="C132" i="41"/>
  <c r="F511" i="41"/>
  <c r="F681" i="41"/>
  <c r="C298" i="41"/>
  <c r="F494" i="41"/>
  <c r="F674" i="41"/>
  <c r="F506" i="41"/>
  <c r="F428" i="41"/>
  <c r="F335" i="41"/>
  <c r="C680" i="41"/>
  <c r="C358" i="41"/>
  <c r="F300" i="41"/>
  <c r="C162" i="41"/>
  <c r="F658" i="41"/>
  <c r="F664" i="41"/>
  <c r="F702" i="41"/>
  <c r="C704" i="41"/>
  <c r="F453" i="41"/>
  <c r="F152" i="41"/>
  <c r="C211" i="41"/>
  <c r="F650" i="41"/>
  <c r="F181" i="41"/>
  <c r="C224" i="41"/>
  <c r="F296" i="41"/>
  <c r="C171" i="41"/>
  <c r="C205" i="41"/>
  <c r="C264" i="41"/>
  <c r="F301" i="41"/>
  <c r="C333" i="41"/>
  <c r="C631" i="41"/>
  <c r="C414" i="41"/>
  <c r="F514" i="41"/>
  <c r="C301" i="41"/>
  <c r="C366" i="41"/>
  <c r="C186" i="41"/>
  <c r="F466" i="41"/>
  <c r="C519" i="41"/>
  <c r="C82" i="41"/>
  <c r="F29" i="41"/>
  <c r="C697" i="41"/>
  <c r="F382" i="41"/>
  <c r="C135" i="41"/>
  <c r="F70" i="41"/>
  <c r="F339" i="41"/>
  <c r="F31" i="41"/>
  <c r="F254" i="41"/>
  <c r="C252" i="41"/>
  <c r="C474" i="41"/>
  <c r="C233" i="41"/>
  <c r="F478" i="41"/>
  <c r="C338" i="41"/>
  <c r="C537" i="41"/>
  <c r="F86" i="41"/>
  <c r="C240" i="41"/>
  <c r="C77" i="41"/>
  <c r="F27" i="41"/>
  <c r="C447" i="41"/>
  <c r="F563" i="41"/>
  <c r="C528" i="41"/>
  <c r="F125" i="41"/>
  <c r="C100" i="41"/>
  <c r="F621" i="41"/>
  <c r="F419" i="41"/>
  <c r="C583" i="41"/>
  <c r="F117" i="41"/>
  <c r="C524" i="41"/>
  <c r="F653" i="41"/>
  <c r="C679" i="41"/>
  <c r="F517" i="41"/>
  <c r="F203" i="41"/>
  <c r="F182" i="41"/>
  <c r="C586" i="41"/>
  <c r="F395" i="41"/>
  <c r="C165" i="41"/>
  <c r="C57" i="41"/>
  <c r="C614" i="41"/>
  <c r="F149" i="41"/>
  <c r="F672" i="41"/>
  <c r="C331" i="41"/>
  <c r="F635" i="41"/>
  <c r="C278" i="41"/>
  <c r="F245" i="41"/>
  <c r="F242" i="41"/>
  <c r="C622" i="41"/>
  <c r="F446" i="41"/>
  <c r="F336" i="41"/>
  <c r="F711" i="41"/>
  <c r="F119" i="41"/>
  <c r="C181" i="41"/>
  <c r="F89" i="41"/>
  <c r="C52" i="41"/>
  <c r="C501" i="41"/>
  <c r="F51" i="41"/>
  <c r="C494" i="41"/>
  <c r="F128" i="41"/>
  <c r="F49" i="41"/>
  <c r="C284" i="41"/>
  <c r="C169" i="41"/>
  <c r="F80" i="41"/>
  <c r="F651" i="41"/>
  <c r="C444" i="41"/>
  <c r="C611" i="41"/>
  <c r="C187" i="41"/>
  <c r="C503" i="41"/>
  <c r="C582" i="41"/>
  <c r="C587" i="41"/>
  <c r="F32" i="41"/>
  <c r="C379" i="41"/>
  <c r="F613" i="41"/>
  <c r="C103" i="41"/>
  <c r="F332" i="41"/>
  <c r="C138" i="41"/>
  <c r="C88" i="41"/>
  <c r="F45" i="41"/>
  <c r="F90" i="41"/>
  <c r="C624" i="41"/>
  <c r="C521" i="41"/>
  <c r="F228" i="41"/>
  <c r="F467" i="41"/>
  <c r="C33" i="41"/>
  <c r="F555" i="41"/>
  <c r="F632" i="41"/>
  <c r="C313" i="41"/>
  <c r="C113" i="41"/>
  <c r="C341" i="41"/>
  <c r="C119" i="41"/>
  <c r="C500" i="41"/>
  <c r="C309" i="41"/>
  <c r="F412" i="41"/>
  <c r="F556" i="41"/>
  <c r="F303" i="41"/>
  <c r="F106" i="41"/>
  <c r="C456" i="41"/>
  <c r="F361" i="41"/>
  <c r="F616" i="41"/>
  <c r="F305" i="41"/>
  <c r="C464" i="41"/>
  <c r="C101" i="41"/>
  <c r="C276" i="41"/>
  <c r="C287" i="41"/>
  <c r="F167" i="41"/>
  <c r="C75" i="41"/>
  <c r="F546" i="41"/>
  <c r="C230" i="41"/>
  <c r="F139" i="41"/>
  <c r="C580" i="41"/>
  <c r="F120" i="41"/>
  <c r="F196" i="41"/>
  <c r="F260" i="41"/>
  <c r="C64" i="41"/>
  <c r="F73" i="41"/>
  <c r="F202" i="41"/>
  <c r="F549" i="41"/>
  <c r="F150" i="41"/>
  <c r="C184" i="41"/>
  <c r="C246" i="41"/>
  <c r="F706" i="41"/>
  <c r="C495" i="41"/>
  <c r="C396" i="41"/>
  <c r="C485" i="41"/>
  <c r="C534" i="41"/>
  <c r="F564" i="41"/>
  <c r="F492" i="41"/>
  <c r="F458" i="41"/>
  <c r="F179" i="41"/>
  <c r="F311" i="41"/>
  <c r="F112" i="41"/>
  <c r="C201" i="41"/>
  <c r="F526" i="41"/>
  <c r="C436" i="41"/>
  <c r="C63" i="41"/>
  <c r="F666" i="41"/>
  <c r="F413" i="41"/>
  <c r="F574" i="41"/>
  <c r="C51" i="41"/>
  <c r="C382" i="41"/>
  <c r="F425" i="41"/>
  <c r="C491" i="41"/>
  <c r="F584" i="41"/>
  <c r="C393" i="41"/>
  <c r="C277" i="41"/>
  <c r="C687" i="41"/>
  <c r="F53" i="41"/>
  <c r="F587" i="41"/>
  <c r="F611" i="41"/>
  <c r="C553" i="41"/>
  <c r="F502" i="41"/>
  <c r="C320" i="41"/>
  <c r="F62" i="41"/>
  <c r="F418" i="41"/>
  <c r="F657" i="41"/>
  <c r="C85" i="41"/>
  <c r="F69" i="41"/>
  <c r="C538" i="41"/>
  <c r="F403" i="41"/>
  <c r="C116" i="41"/>
  <c r="F676" i="41"/>
  <c r="C297" i="41"/>
  <c r="F525" i="41"/>
  <c r="C168" i="41"/>
  <c r="C499" i="41"/>
  <c r="F266" i="41"/>
  <c r="C546" i="41"/>
  <c r="F484" i="41"/>
  <c r="C599" i="41"/>
  <c r="F536" i="41"/>
  <c r="C217" i="41"/>
  <c r="C590" i="41"/>
  <c r="C581" i="41"/>
  <c r="F518" i="41"/>
  <c r="F710" i="41"/>
  <c r="C55" i="41"/>
  <c r="F449" i="41"/>
  <c r="F642" i="41"/>
  <c r="F452" i="41"/>
  <c r="C562" i="41"/>
  <c r="F261" i="41"/>
  <c r="F410" i="41"/>
  <c r="F281" i="41"/>
  <c r="C296" i="41"/>
  <c r="C578" i="41"/>
  <c r="C506" i="41"/>
  <c r="F562" i="41"/>
  <c r="F491" i="41"/>
  <c r="F476" i="41"/>
  <c r="F188" i="41"/>
  <c r="F362" i="41"/>
  <c r="C188" i="41"/>
  <c r="C613" i="41"/>
  <c r="C39" i="41"/>
  <c r="C200" i="41"/>
  <c r="F537" i="41"/>
  <c r="C685" i="41"/>
  <c r="F387" i="41"/>
  <c r="C478" i="41"/>
  <c r="F46" i="41"/>
  <c r="C268" i="41"/>
  <c r="F575" i="41"/>
  <c r="F177" i="41"/>
  <c r="F287" i="41"/>
  <c r="F625" i="41"/>
  <c r="C326" i="41"/>
  <c r="C610" i="41"/>
  <c r="F581" i="41"/>
  <c r="F689" i="41"/>
  <c r="C300" i="41"/>
  <c r="C623" i="41"/>
  <c r="C351" i="41"/>
  <c r="F257" i="41"/>
  <c r="F138" i="41"/>
  <c r="C522" i="41"/>
  <c r="C632" i="41"/>
  <c r="F54" i="41"/>
  <c r="C156" i="41"/>
  <c r="C61" i="41"/>
  <c r="F130" i="41"/>
  <c r="F157" i="41"/>
  <c r="C72" i="41"/>
  <c r="C229" i="41"/>
  <c r="C152" i="41"/>
  <c r="F623" i="41"/>
  <c r="F679" i="41"/>
  <c r="F571" i="41"/>
  <c r="C174" i="41"/>
  <c r="F26" i="41"/>
  <c r="F154" i="41"/>
  <c r="F440" i="41"/>
  <c r="F348" i="41"/>
  <c r="C547" i="41"/>
  <c r="F474" i="41"/>
  <c r="C59" i="41"/>
  <c r="F589" i="41"/>
  <c r="C487" i="41"/>
  <c r="C637" i="41"/>
  <c r="F372" i="41"/>
  <c r="C567" i="41"/>
  <c r="C448" i="41"/>
  <c r="C678" i="41"/>
  <c r="C509" i="41"/>
  <c r="C591" i="41"/>
  <c r="F278" i="41"/>
  <c r="C271" i="41"/>
  <c r="F232" i="41"/>
  <c r="F195" i="41"/>
  <c r="C543" i="41"/>
  <c r="F602" i="41"/>
  <c r="C70" i="41"/>
  <c r="F324" i="41"/>
  <c r="C124" i="41"/>
  <c r="C81" i="41"/>
  <c r="F703" i="41"/>
  <c r="F600" i="41"/>
  <c r="F597" i="41"/>
  <c r="F21" i="41"/>
  <c r="F16" i="41"/>
  <c r="C573" i="41"/>
  <c r="C686" i="41"/>
  <c r="C334" i="41"/>
  <c r="C606" i="41"/>
  <c r="C618" i="41"/>
  <c r="F252" i="41"/>
  <c r="C321" i="41"/>
  <c r="F83" i="41"/>
  <c r="C68" i="41"/>
  <c r="C262" i="41"/>
  <c r="C498" i="41"/>
  <c r="F48" i="41"/>
  <c r="F634" i="41"/>
  <c r="F398" i="41"/>
  <c r="C708" i="41"/>
  <c r="D33" i="39"/>
  <c r="B33" i="39"/>
  <c r="E33" i="39" s="1"/>
  <c r="G33" i="39"/>
  <c r="B20" i="39"/>
  <c r="E20" i="39" s="1"/>
  <c r="G20" i="39"/>
  <c r="D20" i="39"/>
  <c r="D35" i="39"/>
  <c r="B35" i="39"/>
  <c r="E35" i="39" s="1"/>
  <c r="G35" i="39"/>
  <c r="C557" i="41"/>
  <c r="C385" i="41"/>
  <c r="C206" i="41"/>
  <c r="C220" i="41"/>
  <c r="F334" i="41"/>
  <c r="C330" i="41"/>
  <c r="C160" i="41"/>
  <c r="F629" i="41"/>
  <c r="F199" i="41"/>
  <c r="F96" i="41"/>
  <c r="C317" i="41"/>
  <c r="F248" i="41"/>
  <c r="C137" i="41"/>
  <c r="C356" i="41"/>
  <c r="C541" i="41"/>
  <c r="C362" i="41"/>
  <c r="F20" i="41"/>
  <c r="C18" i="29"/>
  <c r="F58" i="29"/>
  <c r="F100" i="29"/>
  <c r="C157" i="29"/>
  <c r="C71" i="29"/>
  <c r="C102" i="29"/>
  <c r="F55" i="29"/>
  <c r="C132" i="29"/>
  <c r="F85" i="29"/>
  <c r="C32" i="29"/>
  <c r="C45" i="29"/>
  <c r="F109" i="29"/>
  <c r="C160" i="29"/>
  <c r="F113" i="29"/>
  <c r="C83" i="29"/>
  <c r="C142" i="29"/>
  <c r="F161" i="29"/>
  <c r="C109" i="29"/>
  <c r="C70" i="29"/>
  <c r="F32" i="29"/>
  <c r="C138" i="29"/>
  <c r="C144" i="29"/>
  <c r="F139" i="29"/>
  <c r="F160" i="29"/>
  <c r="F116" i="29"/>
  <c r="C66" i="29"/>
  <c r="C58" i="29"/>
  <c r="F137" i="29"/>
  <c r="C124" i="29"/>
  <c r="F65" i="29"/>
  <c r="C34" i="29"/>
  <c r="F26" i="29"/>
  <c r="C134" i="29"/>
  <c r="C31" i="29"/>
  <c r="C103" i="29"/>
  <c r="C80" i="29"/>
  <c r="C75" i="29"/>
  <c r="F29" i="29"/>
  <c r="F53" i="29"/>
  <c r="F106" i="29"/>
  <c r="F43" i="29"/>
  <c r="F57" i="29"/>
  <c r="C78" i="29"/>
  <c r="C73" i="29"/>
  <c r="F110" i="29"/>
  <c r="C49" i="29"/>
  <c r="F21" i="29"/>
  <c r="F46" i="29"/>
  <c r="F49" i="29"/>
  <c r="C92" i="29"/>
  <c r="F119" i="29"/>
  <c r="C85" i="29"/>
  <c r="F136" i="29"/>
  <c r="F130" i="29"/>
  <c r="F128" i="29"/>
  <c r="F48" i="29"/>
  <c r="F118" i="29"/>
  <c r="F91" i="29"/>
  <c r="F127" i="29"/>
  <c r="C150" i="29"/>
  <c r="C158" i="29"/>
  <c r="F56" i="29"/>
  <c r="F86" i="29"/>
  <c r="C145" i="29"/>
  <c r="C130" i="29"/>
  <c r="F97" i="29"/>
  <c r="C52" i="29"/>
  <c r="F78" i="29"/>
  <c r="F140" i="29"/>
  <c r="F83" i="29"/>
  <c r="C40" i="29"/>
  <c r="C149" i="29"/>
  <c r="B18" i="39" l="1"/>
  <c r="E18" i="39" s="1"/>
  <c r="D18" i="39"/>
  <c r="H18" i="39" s="1"/>
  <c r="D34" i="39"/>
  <c r="G25" i="39"/>
  <c r="B486" i="41"/>
  <c r="G16" i="29"/>
  <c r="D389" i="41"/>
  <c r="L461" i="41"/>
  <c r="B461" i="41"/>
  <c r="G486" i="41"/>
  <c r="D256" i="41"/>
  <c r="J16" i="29"/>
  <c r="B458" i="41"/>
  <c r="G517" i="41"/>
  <c r="B16" i="29"/>
  <c r="E16" i="29" s="1"/>
  <c r="D426" i="41"/>
  <c r="G24" i="39"/>
  <c r="L14" i="41"/>
  <c r="G22" i="39"/>
  <c r="B672" i="41"/>
  <c r="I672" i="41" s="1"/>
  <c r="B30" i="39"/>
  <c r="E30" i="39" s="1"/>
  <c r="H16" i="29"/>
  <c r="G672" i="41"/>
  <c r="L426" i="41"/>
  <c r="G26" i="39"/>
  <c r="D24" i="39"/>
  <c r="H24" i="39" s="1"/>
  <c r="D14" i="41"/>
  <c r="D30" i="39"/>
  <c r="H30" i="39" s="1"/>
  <c r="B22" i="39"/>
  <c r="E22" i="39" s="1"/>
  <c r="D672" i="41"/>
  <c r="G426" i="41"/>
  <c r="D26" i="39"/>
  <c r="H26" i="39" s="1"/>
  <c r="G14" i="41"/>
  <c r="B593" i="41"/>
  <c r="E593" i="41" s="1"/>
  <c r="D458" i="41"/>
  <c r="B34" i="39"/>
  <c r="E34" i="39" s="1"/>
  <c r="D27" i="39"/>
  <c r="B25" i="39"/>
  <c r="E25" i="39" s="1"/>
  <c r="D16" i="39"/>
  <c r="H16" i="39" s="1"/>
  <c r="L15" i="41"/>
  <c r="D305" i="41"/>
  <c r="B517" i="41"/>
  <c r="H517" i="41" s="1"/>
  <c r="G21" i="39"/>
  <c r="B15" i="41"/>
  <c r="H15" i="41" s="1"/>
  <c r="G458" i="41"/>
  <c r="D596" i="41"/>
  <c r="D517" i="41"/>
  <c r="G27" i="39"/>
  <c r="D21" i="39"/>
  <c r="G16" i="39"/>
  <c r="D15" i="41"/>
  <c r="G669" i="41"/>
  <c r="L596" i="41"/>
  <c r="G392" i="41"/>
  <c r="D193" i="41"/>
  <c r="L544" i="41"/>
  <c r="B389" i="41"/>
  <c r="K389" i="41" s="1"/>
  <c r="D544" i="41"/>
  <c r="B510" i="41"/>
  <c r="I510" i="41" s="1"/>
  <c r="B13" i="41"/>
  <c r="E13" i="41" s="1"/>
  <c r="L13" i="41"/>
  <c r="L423" i="41"/>
  <c r="D17" i="39"/>
  <c r="I17" i="39" s="1"/>
  <c r="B423" i="41"/>
  <c r="H423" i="41" s="1"/>
  <c r="B17" i="39"/>
  <c r="E17" i="39" s="1"/>
  <c r="D191" i="41"/>
  <c r="D13" i="41"/>
  <c r="G423" i="41"/>
  <c r="L150" i="41"/>
  <c r="B19" i="39"/>
  <c r="E19" i="39" s="1"/>
  <c r="G28" i="39"/>
  <c r="G31" i="39"/>
  <c r="B609" i="41"/>
  <c r="D609" i="41"/>
  <c r="C11" i="54"/>
  <c r="I10" i="54"/>
  <c r="D10" i="54"/>
  <c r="E10" i="54" s="1"/>
  <c r="L10" i="54" s="1"/>
  <c r="M10" i="54" s="1"/>
  <c r="H10" i="54"/>
  <c r="E9" i="54"/>
  <c r="L9" i="54" s="1"/>
  <c r="M9" i="54" s="1"/>
  <c r="D282" i="41"/>
  <c r="G350" i="41"/>
  <c r="D579" i="41"/>
  <c r="L492" i="41"/>
  <c r="L589" i="41"/>
  <c r="D150" i="41"/>
  <c r="L222" i="41"/>
  <c r="B403" i="41"/>
  <c r="J403" i="41" s="1"/>
  <c r="B282" i="41"/>
  <c r="E282" i="41" s="1"/>
  <c r="D316" i="41"/>
  <c r="B451" i="41"/>
  <c r="K451" i="41" s="1"/>
  <c r="L427" i="41"/>
  <c r="L355" i="41"/>
  <c r="L191" i="41"/>
  <c r="L311" i="41"/>
  <c r="B345" i="41"/>
  <c r="I345" i="41" s="1"/>
  <c r="B191" i="41"/>
  <c r="E191" i="41" s="1"/>
  <c r="G282" i="41"/>
  <c r="B141" i="41"/>
  <c r="E141" i="41" s="1"/>
  <c r="D222" i="41"/>
  <c r="L107" i="41"/>
  <c r="L84" i="41"/>
  <c r="B150" i="41"/>
  <c r="I150" i="41" s="1"/>
  <c r="D19" i="39"/>
  <c r="H19" i="39" s="1"/>
  <c r="B28" i="39"/>
  <c r="E28" i="39" s="1"/>
  <c r="D31" i="39"/>
  <c r="G609" i="41"/>
  <c r="D492" i="41"/>
  <c r="B311" i="41"/>
  <c r="K311" i="41" s="1"/>
  <c r="B625" i="41"/>
  <c r="I625" i="41" s="1"/>
  <c r="L248" i="41"/>
  <c r="L641" i="41"/>
  <c r="L60" i="41"/>
  <c r="G596" i="41"/>
  <c r="B527" i="41"/>
  <c r="K527" i="41" s="1"/>
  <c r="L79" i="41"/>
  <c r="D41" i="41"/>
  <c r="D383" i="41"/>
  <c r="D155" i="41"/>
  <c r="L342" i="41"/>
  <c r="G353" i="41"/>
  <c r="D527" i="41"/>
  <c r="D60" i="41"/>
  <c r="L510" i="41"/>
  <c r="B294" i="41"/>
  <c r="H294" i="41" s="1"/>
  <c r="G575" i="41"/>
  <c r="G204" i="41"/>
  <c r="D139" i="41"/>
  <c r="L78" i="41"/>
  <c r="D642" i="41"/>
  <c r="B148" i="41"/>
  <c r="H148" i="41" s="1"/>
  <c r="B177" i="41"/>
  <c r="J177" i="41" s="1"/>
  <c r="B261" i="41"/>
  <c r="K261" i="41" s="1"/>
  <c r="D684" i="41"/>
  <c r="B550" i="41"/>
  <c r="K550" i="41" s="1"/>
  <c r="B600" i="41"/>
  <c r="J600" i="41" s="1"/>
  <c r="L387" i="41"/>
  <c r="G402" i="41"/>
  <c r="B355" i="41"/>
  <c r="I355" i="41" s="1"/>
  <c r="G492" i="41"/>
  <c r="L316" i="41"/>
  <c r="G222" i="41"/>
  <c r="G311" i="41"/>
  <c r="B350" i="41"/>
  <c r="I350" i="41" s="1"/>
  <c r="L403" i="41"/>
  <c r="L141" i="41"/>
  <c r="D451" i="41"/>
  <c r="D107" i="41"/>
  <c r="D504" i="41"/>
  <c r="G507" i="41"/>
  <c r="L65" i="41"/>
  <c r="D625" i="41"/>
  <c r="L579" i="41"/>
  <c r="L345" i="41"/>
  <c r="D589" i="41"/>
  <c r="D427" i="41"/>
  <c r="G641" i="41"/>
  <c r="B288" i="41"/>
  <c r="G118" i="41"/>
  <c r="D20" i="41"/>
  <c r="D395" i="41"/>
  <c r="D667" i="41"/>
  <c r="B293" i="41"/>
  <c r="I293" i="41" s="1"/>
  <c r="B455" i="41"/>
  <c r="I455" i="41" s="1"/>
  <c r="G140" i="41"/>
  <c r="D349" i="41"/>
  <c r="D19" i="29"/>
  <c r="I19" i="29" s="1"/>
  <c r="L584" i="41"/>
  <c r="L469" i="41"/>
  <c r="L238" i="41"/>
  <c r="B627" i="41"/>
  <c r="I627" i="41" s="1"/>
  <c r="B480" i="41"/>
  <c r="E480" i="41" s="1"/>
  <c r="G105" i="41"/>
  <c r="L299" i="41"/>
  <c r="L247" i="41"/>
  <c r="D466" i="41"/>
  <c r="G26" i="41"/>
  <c r="B666" i="41"/>
  <c r="D355" i="41"/>
  <c r="G141" i="41"/>
  <c r="B316" i="41"/>
  <c r="I316" i="41" s="1"/>
  <c r="G337" i="41"/>
  <c r="G235" i="41"/>
  <c r="L451" i="41"/>
  <c r="L625" i="41"/>
  <c r="D350" i="41"/>
  <c r="G579" i="41"/>
  <c r="G107" i="41"/>
  <c r="G345" i="41"/>
  <c r="G640" i="41"/>
  <c r="G248" i="41"/>
  <c r="G589" i="41"/>
  <c r="G84" i="41"/>
  <c r="G427" i="41"/>
  <c r="D641" i="41"/>
  <c r="D403" i="41"/>
  <c r="B570" i="41"/>
  <c r="I570" i="41" s="1"/>
  <c r="D248" i="41"/>
  <c r="L650" i="41"/>
  <c r="B65" i="41"/>
  <c r="I65" i="41" s="1"/>
  <c r="G504" i="41"/>
  <c r="D255" i="41"/>
  <c r="L570" i="41"/>
  <c r="D118" i="41"/>
  <c r="G312" i="41"/>
  <c r="L89" i="41"/>
  <c r="B607" i="41"/>
  <c r="H607" i="41" s="1"/>
  <c r="L254" i="41"/>
  <c r="L136" i="41"/>
  <c r="B409" i="41"/>
  <c r="I409" i="41" s="1"/>
  <c r="L31" i="41"/>
  <c r="D558" i="41"/>
  <c r="G520" i="41"/>
  <c r="B536" i="41"/>
  <c r="E536" i="41" s="1"/>
  <c r="L681" i="41"/>
  <c r="B267" i="41"/>
  <c r="K267" i="41" s="1"/>
  <c r="L453" i="41"/>
  <c r="G430" i="41"/>
  <c r="D698" i="41"/>
  <c r="B574" i="41"/>
  <c r="J574" i="41" s="1"/>
  <c r="D170" i="41"/>
  <c r="D399" i="41"/>
  <c r="D424" i="41"/>
  <c r="L621" i="41"/>
  <c r="G556" i="41"/>
  <c r="D306" i="41"/>
  <c r="G425" i="41"/>
  <c r="D707" i="41"/>
  <c r="B395" i="41"/>
  <c r="I395" i="41" s="1"/>
  <c r="B94" i="41"/>
  <c r="J94" i="41" s="1"/>
  <c r="G209" i="41"/>
  <c r="D89" i="41"/>
  <c r="D147" i="41"/>
  <c r="B428" i="41"/>
  <c r="H428" i="41" s="1"/>
  <c r="B564" i="41"/>
  <c r="I564" i="41" s="1"/>
  <c r="L151" i="41"/>
  <c r="B507" i="41"/>
  <c r="E507" i="41" s="1"/>
  <c r="B226" i="41"/>
  <c r="J226" i="41" s="1"/>
  <c r="G322" i="41"/>
  <c r="L255" i="41"/>
  <c r="D459" i="41"/>
  <c r="G607" i="41"/>
  <c r="L377" i="41"/>
  <c r="D37" i="41"/>
  <c r="D691" i="41"/>
  <c r="L172" i="41"/>
  <c r="B324" i="41"/>
  <c r="E324" i="41" s="1"/>
  <c r="D507" i="41"/>
  <c r="L45" i="41"/>
  <c r="B531" i="41"/>
  <c r="K531" i="41" s="1"/>
  <c r="D657" i="41"/>
  <c r="B656" i="41"/>
  <c r="H656" i="41" s="1"/>
  <c r="L471" i="41"/>
  <c r="L565" i="41"/>
  <c r="B616" i="41"/>
  <c r="J616" i="41" s="1"/>
  <c r="L475" i="41"/>
  <c r="B92" i="41"/>
  <c r="I92" i="41" s="1"/>
  <c r="G653" i="41"/>
  <c r="G468" i="41"/>
  <c r="G390" i="41"/>
  <c r="B511" i="41"/>
  <c r="K511" i="41" s="1"/>
  <c r="L164" i="41"/>
  <c r="B27" i="41"/>
  <c r="K27" i="41" s="1"/>
  <c r="D332" i="41"/>
  <c r="L111" i="41"/>
  <c r="G395" i="41"/>
  <c r="D461" i="41"/>
  <c r="D486" i="41"/>
  <c r="G527" i="41"/>
  <c r="B667" i="41"/>
  <c r="J667" i="41" s="1"/>
  <c r="L92" i="41"/>
  <c r="B60" i="41"/>
  <c r="I60" i="41" s="1"/>
  <c r="G510" i="41"/>
  <c r="G389" i="41"/>
  <c r="D94" i="41"/>
  <c r="B544" i="41"/>
  <c r="J544" i="41" s="1"/>
  <c r="D377" i="41"/>
  <c r="B653" i="41"/>
  <c r="D209" i="41"/>
  <c r="B37" i="41"/>
  <c r="I37" i="41" s="1"/>
  <c r="L468" i="41"/>
  <c r="L261" i="41"/>
  <c r="B390" i="41"/>
  <c r="K390" i="41" s="1"/>
  <c r="B691" i="41"/>
  <c r="I691" i="41" s="1"/>
  <c r="D172" i="41"/>
  <c r="L147" i="41"/>
  <c r="L511" i="41"/>
  <c r="D428" i="41"/>
  <c r="L324" i="41"/>
  <c r="B140" i="41"/>
  <c r="H140" i="41" s="1"/>
  <c r="B164" i="41"/>
  <c r="I164" i="41" s="1"/>
  <c r="L27" i="41"/>
  <c r="D564" i="41"/>
  <c r="L256" i="41"/>
  <c r="G151" i="41"/>
  <c r="B639" i="41"/>
  <c r="I639" i="41" s="1"/>
  <c r="D239" i="41"/>
  <c r="B275" i="41"/>
  <c r="K275" i="41" s="1"/>
  <c r="D422" i="41"/>
  <c r="L237" i="41"/>
  <c r="D145" i="41"/>
  <c r="G260" i="41"/>
  <c r="L598" i="41"/>
  <c r="D475" i="41"/>
  <c r="G667" i="41"/>
  <c r="L94" i="41"/>
  <c r="G377" i="41"/>
  <c r="L209" i="41"/>
  <c r="G37" i="41"/>
  <c r="B468" i="41"/>
  <c r="G261" i="41"/>
  <c r="D390" i="41"/>
  <c r="G691" i="41"/>
  <c r="G172" i="41"/>
  <c r="B147" i="41"/>
  <c r="K147" i="41" s="1"/>
  <c r="D511" i="41"/>
  <c r="L428" i="41"/>
  <c r="G324" i="41"/>
  <c r="L140" i="41"/>
  <c r="G164" i="41"/>
  <c r="G27" i="41"/>
  <c r="L564" i="41"/>
  <c r="G256" i="41"/>
  <c r="D151" i="41"/>
  <c r="D639" i="41"/>
  <c r="L339" i="41"/>
  <c r="G275" i="41"/>
  <c r="G422" i="41"/>
  <c r="G237" i="41"/>
  <c r="D21" i="41"/>
  <c r="B260" i="41"/>
  <c r="J260" i="41" s="1"/>
  <c r="G598" i="41"/>
  <c r="B475" i="41"/>
  <c r="I475" i="41" s="1"/>
  <c r="G92" i="41"/>
  <c r="D653" i="41"/>
  <c r="B45" i="41"/>
  <c r="H45" i="41" s="1"/>
  <c r="B332" i="41"/>
  <c r="E332" i="41" s="1"/>
  <c r="D322" i="41"/>
  <c r="B339" i="41"/>
  <c r="E339" i="41" s="1"/>
  <c r="L657" i="41"/>
  <c r="L459" i="41"/>
  <c r="B228" i="41"/>
  <c r="G21" i="41"/>
  <c r="G616" i="41"/>
  <c r="B111" i="41"/>
  <c r="H111" i="41" s="1"/>
  <c r="B595" i="41"/>
  <c r="B402" i="41"/>
  <c r="E402" i="41" s="1"/>
  <c r="B89" i="41"/>
  <c r="E89" i="41" s="1"/>
  <c r="D84" i="41"/>
  <c r="L288" i="41"/>
  <c r="D65" i="41"/>
  <c r="L504" i="41"/>
  <c r="G570" i="41"/>
  <c r="L226" i="41"/>
  <c r="D588" i="41"/>
  <c r="B255" i="41"/>
  <c r="E255" i="41" s="1"/>
  <c r="L118" i="41"/>
  <c r="L656" i="41"/>
  <c r="G18" i="41"/>
  <c r="G418" i="41"/>
  <c r="G471" i="41"/>
  <c r="D565" i="41"/>
  <c r="L312" i="41"/>
  <c r="G472" i="41"/>
  <c r="D288" i="41"/>
  <c r="D226" i="41"/>
  <c r="B588" i="41"/>
  <c r="K588" i="41" s="1"/>
  <c r="D531" i="41"/>
  <c r="B516" i="41"/>
  <c r="H516" i="41" s="1"/>
  <c r="D514" i="41"/>
  <c r="G588" i="41"/>
  <c r="G531" i="41"/>
  <c r="D656" i="41"/>
  <c r="L607" i="41"/>
  <c r="B471" i="41"/>
  <c r="H471" i="41" s="1"/>
  <c r="L514" i="41"/>
  <c r="B312" i="41"/>
  <c r="K312" i="41" s="1"/>
  <c r="G621" i="41"/>
  <c r="B337" i="41"/>
  <c r="I337" i="41" s="1"/>
  <c r="L235" i="41"/>
  <c r="B430" i="41"/>
  <c r="J430" i="41" s="1"/>
  <c r="L293" i="41"/>
  <c r="L698" i="41"/>
  <c r="B558" i="41"/>
  <c r="H558" i="41" s="1"/>
  <c r="D574" i="41"/>
  <c r="D536" i="41"/>
  <c r="B31" i="41"/>
  <c r="I31" i="41" s="1"/>
  <c r="D640" i="41"/>
  <c r="D455" i="41"/>
  <c r="B681" i="41"/>
  <c r="I681" i="41" s="1"/>
  <c r="B556" i="41"/>
  <c r="K556" i="41" s="1"/>
  <c r="D520" i="41"/>
  <c r="D409" i="41"/>
  <c r="D650" i="41"/>
  <c r="L170" i="41"/>
  <c r="D267" i="41"/>
  <c r="B306" i="41"/>
  <c r="E306" i="41" s="1"/>
  <c r="G399" i="41"/>
  <c r="L349" i="41"/>
  <c r="G79" i="41"/>
  <c r="G19" i="29"/>
  <c r="B489" i="41"/>
  <c r="I489" i="41" s="1"/>
  <c r="D406" i="41"/>
  <c r="D453" i="41"/>
  <c r="B418" i="41"/>
  <c r="J418" i="41" s="1"/>
  <c r="B305" i="41"/>
  <c r="K305" i="41" s="1"/>
  <c r="L669" i="41"/>
  <c r="B392" i="41"/>
  <c r="J392" i="41" s="1"/>
  <c r="L424" i="41"/>
  <c r="G397" i="41"/>
  <c r="B621" i="41"/>
  <c r="I621" i="41" s="1"/>
  <c r="D337" i="41"/>
  <c r="D235" i="41"/>
  <c r="D430" i="41"/>
  <c r="G293" i="41"/>
  <c r="G698" i="41"/>
  <c r="L558" i="41"/>
  <c r="L574" i="41"/>
  <c r="G536" i="41"/>
  <c r="G31" i="41"/>
  <c r="B640" i="41"/>
  <c r="H640" i="41" s="1"/>
  <c r="L455" i="41"/>
  <c r="G681" i="41"/>
  <c r="L556" i="41"/>
  <c r="B520" i="41"/>
  <c r="I520" i="41" s="1"/>
  <c r="L409" i="41"/>
  <c r="G650" i="41"/>
  <c r="G170" i="41"/>
  <c r="G267" i="41"/>
  <c r="L306" i="41"/>
  <c r="L399" i="41"/>
  <c r="G349" i="41"/>
  <c r="B79" i="41"/>
  <c r="H79" i="41" s="1"/>
  <c r="D489" i="41"/>
  <c r="G406" i="41"/>
  <c r="B281" i="41"/>
  <c r="H281" i="41" s="1"/>
  <c r="B308" i="41"/>
  <c r="E308" i="41" s="1"/>
  <c r="G121" i="41"/>
  <c r="D462" i="41"/>
  <c r="G182" i="41"/>
  <c r="G305" i="41"/>
  <c r="B669" i="41"/>
  <c r="K669" i="41" s="1"/>
  <c r="L392" i="41"/>
  <c r="D654" i="41"/>
  <c r="D397" i="41"/>
  <c r="L281" i="41"/>
  <c r="D308" i="41"/>
  <c r="D121" i="41"/>
  <c r="L462" i="41"/>
  <c r="L182" i="41"/>
  <c r="B425" i="41"/>
  <c r="K425" i="41" s="1"/>
  <c r="L654" i="41"/>
  <c r="B707" i="41"/>
  <c r="E707" i="41" s="1"/>
  <c r="D472" i="41"/>
  <c r="L489" i="41"/>
  <c r="G45" i="41"/>
  <c r="L639" i="41"/>
  <c r="L332" i="41"/>
  <c r="L406" i="41"/>
  <c r="B322" i="41"/>
  <c r="H322" i="41" s="1"/>
  <c r="G281" i="41"/>
  <c r="D339" i="41"/>
  <c r="G308" i="41"/>
  <c r="B657" i="41"/>
  <c r="H657" i="41" s="1"/>
  <c r="L121" i="41"/>
  <c r="D275" i="41"/>
  <c r="B462" i="41"/>
  <c r="J462" i="41" s="1"/>
  <c r="L422" i="41"/>
  <c r="B459" i="41"/>
  <c r="E459" i="41" s="1"/>
  <c r="G453" i="41"/>
  <c r="B182" i="41"/>
  <c r="H182" i="41" s="1"/>
  <c r="D418" i="41"/>
  <c r="D237" i="41"/>
  <c r="L21" i="41"/>
  <c r="D425" i="41"/>
  <c r="B424" i="41"/>
  <c r="J424" i="41" s="1"/>
  <c r="G654" i="41"/>
  <c r="G707" i="41"/>
  <c r="L616" i="41"/>
  <c r="D260" i="41"/>
  <c r="D111" i="41"/>
  <c r="D598" i="41"/>
  <c r="B472" i="41"/>
  <c r="J472" i="41" s="1"/>
  <c r="L20" i="41"/>
  <c r="D402" i="41"/>
  <c r="G20" i="41"/>
  <c r="G469" i="41"/>
  <c r="G155" i="41"/>
  <c r="D177" i="41"/>
  <c r="G299" i="41"/>
  <c r="G294" i="41"/>
  <c r="B247" i="41"/>
  <c r="H247" i="41" s="1"/>
  <c r="B238" i="41"/>
  <c r="J238" i="41" s="1"/>
  <c r="B41" i="41"/>
  <c r="I41" i="41" s="1"/>
  <c r="B466" i="41"/>
  <c r="J466" i="41" s="1"/>
  <c r="L575" i="41"/>
  <c r="D26" i="41"/>
  <c r="G684" i="41"/>
  <c r="L204" i="41"/>
  <c r="G627" i="41"/>
  <c r="L480" i="41"/>
  <c r="G550" i="41"/>
  <c r="L139" i="41"/>
  <c r="G666" i="41"/>
  <c r="B342" i="41"/>
  <c r="J342" i="41" s="1"/>
  <c r="L600" i="41"/>
  <c r="L585" i="41"/>
  <c r="L239" i="41"/>
  <c r="G254" i="41"/>
  <c r="B323" i="41"/>
  <c r="I323" i="41" s="1"/>
  <c r="B529" i="41"/>
  <c r="H529" i="41" s="1"/>
  <c r="L145" i="41"/>
  <c r="L593" i="41"/>
  <c r="D78" i="41"/>
  <c r="B387" i="41"/>
  <c r="K387" i="41" s="1"/>
  <c r="B193" i="41"/>
  <c r="K193" i="41" s="1"/>
  <c r="G386" i="41"/>
  <c r="G584" i="41"/>
  <c r="G148" i="41"/>
  <c r="D353" i="41"/>
  <c r="D584" i="41"/>
  <c r="D469" i="41"/>
  <c r="L155" i="41"/>
  <c r="L642" i="41"/>
  <c r="L105" i="41"/>
  <c r="L148" i="41"/>
  <c r="G177" i="41"/>
  <c r="B299" i="41"/>
  <c r="H299" i="41" s="1"/>
  <c r="D294" i="41"/>
  <c r="G247" i="41"/>
  <c r="D238" i="41"/>
  <c r="G41" i="41"/>
  <c r="L466" i="41"/>
  <c r="B575" i="41"/>
  <c r="B26" i="41"/>
  <c r="I26" i="41" s="1"/>
  <c r="L684" i="41"/>
  <c r="B204" i="41"/>
  <c r="K204" i="41" s="1"/>
  <c r="D627" i="41"/>
  <c r="D480" i="41"/>
  <c r="L550" i="41"/>
  <c r="G139" i="41"/>
  <c r="L666" i="41"/>
  <c r="D342" i="41"/>
  <c r="G600" i="41"/>
  <c r="B585" i="41"/>
  <c r="E585" i="41" s="1"/>
  <c r="B383" i="41"/>
  <c r="H383" i="41" s="1"/>
  <c r="G516" i="41"/>
  <c r="G323" i="41"/>
  <c r="B259" i="41"/>
  <c r="E259" i="41" s="1"/>
  <c r="L529" i="41"/>
  <c r="D35" i="41"/>
  <c r="D593" i="41"/>
  <c r="G78" i="41"/>
  <c r="B98" i="41"/>
  <c r="I98" i="41" s="1"/>
  <c r="G387" i="41"/>
  <c r="D477" i="41"/>
  <c r="L375" i="41"/>
  <c r="B56" i="41"/>
  <c r="G193" i="41"/>
  <c r="L386" i="41"/>
  <c r="B353" i="41"/>
  <c r="H353" i="41" s="1"/>
  <c r="B642" i="41"/>
  <c r="J642" i="41" s="1"/>
  <c r="D105" i="41"/>
  <c r="G585" i="41"/>
  <c r="G239" i="41"/>
  <c r="G383" i="41"/>
  <c r="L516" i="41"/>
  <c r="G259" i="41"/>
  <c r="G228" i="41"/>
  <c r="D98" i="41"/>
  <c r="L477" i="41"/>
  <c r="D595" i="41"/>
  <c r="B136" i="41"/>
  <c r="K136" i="41" s="1"/>
  <c r="B254" i="41"/>
  <c r="E254" i="41" s="1"/>
  <c r="L323" i="41"/>
  <c r="D259" i="41"/>
  <c r="D18" i="41"/>
  <c r="D529" i="41"/>
  <c r="B35" i="41"/>
  <c r="H35" i="41" s="1"/>
  <c r="L228" i="41"/>
  <c r="G145" i="41"/>
  <c r="G98" i="41"/>
  <c r="G514" i="41"/>
  <c r="B477" i="41"/>
  <c r="J477" i="41" s="1"/>
  <c r="B565" i="41"/>
  <c r="J565" i="41" s="1"/>
  <c r="G375" i="41"/>
  <c r="D56" i="41"/>
  <c r="G595" i="41"/>
  <c r="D386" i="41"/>
  <c r="G136" i="41"/>
  <c r="B18" i="41"/>
  <c r="K18" i="41" s="1"/>
  <c r="G35" i="41"/>
  <c r="B375" i="41"/>
  <c r="J375" i="41" s="1"/>
  <c r="L56" i="41"/>
  <c r="G20" i="29"/>
  <c r="D20" i="29"/>
  <c r="B20" i="29"/>
  <c r="E20" i="29" s="1"/>
  <c r="D92" i="29"/>
  <c r="B92" i="29"/>
  <c r="E92" i="29" s="1"/>
  <c r="G92" i="29"/>
  <c r="B31" i="29"/>
  <c r="E31" i="29" s="1"/>
  <c r="D31" i="29"/>
  <c r="G31" i="29"/>
  <c r="B66" i="29"/>
  <c r="E66" i="29" s="1"/>
  <c r="G66" i="29"/>
  <c r="D66" i="29"/>
  <c r="G109" i="29"/>
  <c r="B109" i="29"/>
  <c r="E109" i="29" s="1"/>
  <c r="D109" i="29"/>
  <c r="L362" i="41"/>
  <c r="B362" i="41"/>
  <c r="G362" i="41"/>
  <c r="D362" i="41"/>
  <c r="L220" i="41"/>
  <c r="G220" i="41"/>
  <c r="D220" i="41"/>
  <c r="B220" i="41"/>
  <c r="J35" i="39"/>
  <c r="I35" i="39"/>
  <c r="H35" i="39"/>
  <c r="G68" i="41"/>
  <c r="L68" i="41"/>
  <c r="B68" i="41"/>
  <c r="D68" i="41"/>
  <c r="L573" i="41"/>
  <c r="D573" i="41"/>
  <c r="B573" i="41"/>
  <c r="G573" i="41"/>
  <c r="B591" i="41"/>
  <c r="D591" i="41"/>
  <c r="G591" i="41"/>
  <c r="L591" i="41"/>
  <c r="B174" i="41"/>
  <c r="L174" i="41"/>
  <c r="G174" i="41"/>
  <c r="D174" i="41"/>
  <c r="D351" i="41"/>
  <c r="B351" i="41"/>
  <c r="G351" i="41"/>
  <c r="L351" i="41"/>
  <c r="L562" i="41"/>
  <c r="G562" i="41"/>
  <c r="D562" i="41"/>
  <c r="B562" i="41"/>
  <c r="B590" i="41"/>
  <c r="D590" i="41"/>
  <c r="L590" i="41"/>
  <c r="G590" i="41"/>
  <c r="G168" i="41"/>
  <c r="L168" i="41"/>
  <c r="D168" i="41"/>
  <c r="B168" i="41"/>
  <c r="L85" i="41"/>
  <c r="G85" i="41"/>
  <c r="B85" i="41"/>
  <c r="D85" i="41"/>
  <c r="D382" i="41"/>
  <c r="B382" i="41"/>
  <c r="G382" i="41"/>
  <c r="L382" i="41"/>
  <c r="B201" i="41"/>
  <c r="D201" i="41"/>
  <c r="L201" i="41"/>
  <c r="G201" i="41"/>
  <c r="L485" i="41"/>
  <c r="D485" i="41"/>
  <c r="B485" i="41"/>
  <c r="G485" i="41"/>
  <c r="G230" i="41"/>
  <c r="D230" i="41"/>
  <c r="L230" i="41"/>
  <c r="B230" i="41"/>
  <c r="G309" i="41"/>
  <c r="B309" i="41"/>
  <c r="L309" i="41"/>
  <c r="D309" i="41"/>
  <c r="D33" i="41"/>
  <c r="B33" i="41"/>
  <c r="G33" i="41"/>
  <c r="L33" i="41"/>
  <c r="L138" i="41"/>
  <c r="D138" i="41"/>
  <c r="G138" i="41"/>
  <c r="B138" i="41"/>
  <c r="L503" i="41"/>
  <c r="G503" i="41"/>
  <c r="D503" i="41"/>
  <c r="B503" i="41"/>
  <c r="B586" i="41"/>
  <c r="L586" i="41"/>
  <c r="D586" i="41"/>
  <c r="G586" i="41"/>
  <c r="D583" i="41"/>
  <c r="G583" i="41"/>
  <c r="L583" i="41"/>
  <c r="B583" i="41"/>
  <c r="G537" i="41"/>
  <c r="B537" i="41"/>
  <c r="L537" i="41"/>
  <c r="D537" i="41"/>
  <c r="B211" i="41"/>
  <c r="G211" i="41"/>
  <c r="D211" i="41"/>
  <c r="L211" i="41"/>
  <c r="D298" i="41"/>
  <c r="L298" i="41"/>
  <c r="G298" i="41"/>
  <c r="B298" i="41"/>
  <c r="G149" i="41"/>
  <c r="L149" i="41"/>
  <c r="B149" i="41"/>
  <c r="D149" i="41"/>
  <c r="B149" i="29"/>
  <c r="E149" i="29" s="1"/>
  <c r="G149" i="29"/>
  <c r="D149" i="29"/>
  <c r="G130" i="29"/>
  <c r="B130" i="29"/>
  <c r="E130" i="29" s="1"/>
  <c r="D130" i="29"/>
  <c r="G158" i="29"/>
  <c r="D158" i="29"/>
  <c r="B158" i="29"/>
  <c r="E158" i="29" s="1"/>
  <c r="G75" i="29"/>
  <c r="B75" i="29"/>
  <c r="E75" i="29" s="1"/>
  <c r="D75" i="29"/>
  <c r="D134" i="29"/>
  <c r="G134" i="29"/>
  <c r="B134" i="29"/>
  <c r="E134" i="29" s="1"/>
  <c r="D124" i="29"/>
  <c r="B124" i="29"/>
  <c r="E124" i="29" s="1"/>
  <c r="G124" i="29"/>
  <c r="D138" i="29"/>
  <c r="G138" i="29"/>
  <c r="B138" i="29"/>
  <c r="E138" i="29" s="1"/>
  <c r="D160" i="29"/>
  <c r="B160" i="29"/>
  <c r="E160" i="29" s="1"/>
  <c r="G160" i="29"/>
  <c r="D25" i="29"/>
  <c r="G25" i="29"/>
  <c r="B25" i="29"/>
  <c r="E25" i="29" s="1"/>
  <c r="G102" i="29"/>
  <c r="B102" i="29"/>
  <c r="E102" i="29" s="1"/>
  <c r="D102" i="29"/>
  <c r="B541" i="41"/>
  <c r="L541" i="41"/>
  <c r="D541" i="41"/>
  <c r="G541" i="41"/>
  <c r="B317" i="41"/>
  <c r="G317" i="41"/>
  <c r="L317" i="41"/>
  <c r="D317" i="41"/>
  <c r="B160" i="41"/>
  <c r="G160" i="41"/>
  <c r="L160" i="41"/>
  <c r="D160" i="41"/>
  <c r="G206" i="41"/>
  <c r="D206" i="41"/>
  <c r="L206" i="41"/>
  <c r="B206" i="41"/>
  <c r="I33" i="39"/>
  <c r="J33" i="39"/>
  <c r="H33" i="39"/>
  <c r="G606" i="41"/>
  <c r="L606" i="41"/>
  <c r="B606" i="41"/>
  <c r="D606" i="41"/>
  <c r="D70" i="41"/>
  <c r="L70" i="41"/>
  <c r="B70" i="41"/>
  <c r="G70" i="41"/>
  <c r="D509" i="41"/>
  <c r="G509" i="41"/>
  <c r="L509" i="41"/>
  <c r="B509" i="41"/>
  <c r="B59" i="41"/>
  <c r="G59" i="41"/>
  <c r="L59" i="41"/>
  <c r="D59" i="41"/>
  <c r="B229" i="41"/>
  <c r="L229" i="41"/>
  <c r="G229" i="41"/>
  <c r="D229" i="41"/>
  <c r="D61" i="41"/>
  <c r="B61" i="41"/>
  <c r="L61" i="41"/>
  <c r="G61" i="41"/>
  <c r="L522" i="41"/>
  <c r="B522" i="41"/>
  <c r="D522" i="41"/>
  <c r="G522" i="41"/>
  <c r="D623" i="41"/>
  <c r="L623" i="41"/>
  <c r="G623" i="41"/>
  <c r="B623" i="41"/>
  <c r="G610" i="41"/>
  <c r="D610" i="41"/>
  <c r="B610" i="41"/>
  <c r="L610" i="41"/>
  <c r="B478" i="41"/>
  <c r="G478" i="41"/>
  <c r="L478" i="41"/>
  <c r="D478" i="41"/>
  <c r="D200" i="41"/>
  <c r="B200" i="41"/>
  <c r="L200" i="41"/>
  <c r="G200" i="41"/>
  <c r="B217" i="41"/>
  <c r="L217" i="41"/>
  <c r="G217" i="41"/>
  <c r="D217" i="41"/>
  <c r="L546" i="41"/>
  <c r="G546" i="41"/>
  <c r="B546" i="41"/>
  <c r="D546" i="41"/>
  <c r="G51" i="41"/>
  <c r="L51" i="41"/>
  <c r="D51" i="41"/>
  <c r="B51" i="41"/>
  <c r="G63" i="41"/>
  <c r="B63" i="41"/>
  <c r="D63" i="41"/>
  <c r="L63" i="41"/>
  <c r="D396" i="41"/>
  <c r="G396" i="41"/>
  <c r="B396" i="41"/>
  <c r="L396" i="41"/>
  <c r="D184" i="41"/>
  <c r="L184" i="41"/>
  <c r="B184" i="41"/>
  <c r="G184" i="41"/>
  <c r="D276" i="41"/>
  <c r="B276" i="41"/>
  <c r="L276" i="41"/>
  <c r="G276" i="41"/>
  <c r="G500" i="41"/>
  <c r="L500" i="41"/>
  <c r="B500" i="41"/>
  <c r="D500" i="41"/>
  <c r="L313" i="41"/>
  <c r="B313" i="41"/>
  <c r="G313" i="41"/>
  <c r="D313" i="41"/>
  <c r="B187" i="41"/>
  <c r="L187" i="41"/>
  <c r="G187" i="41"/>
  <c r="D187" i="41"/>
  <c r="G52" i="41"/>
  <c r="L52" i="41"/>
  <c r="D52" i="41"/>
  <c r="B52" i="41"/>
  <c r="G331" i="41"/>
  <c r="D331" i="41"/>
  <c r="B331" i="41"/>
  <c r="L331" i="41"/>
  <c r="L57" i="41"/>
  <c r="G57" i="41"/>
  <c r="B57" i="41"/>
  <c r="D57" i="41"/>
  <c r="D528" i="41"/>
  <c r="G528" i="41"/>
  <c r="L528" i="41"/>
  <c r="B528" i="41"/>
  <c r="G77" i="41"/>
  <c r="B77" i="41"/>
  <c r="D77" i="41"/>
  <c r="L77" i="41"/>
  <c r="B338" i="41"/>
  <c r="D338" i="41"/>
  <c r="G338" i="41"/>
  <c r="L338" i="41"/>
  <c r="B252" i="41"/>
  <c r="L252" i="41"/>
  <c r="D252" i="41"/>
  <c r="G252" i="41"/>
  <c r="L186" i="41"/>
  <c r="D186" i="41"/>
  <c r="B186" i="41"/>
  <c r="G186" i="41"/>
  <c r="D414" i="41"/>
  <c r="L414" i="41"/>
  <c r="G414" i="41"/>
  <c r="B414" i="41"/>
  <c r="B264" i="41"/>
  <c r="G264" i="41"/>
  <c r="D264" i="41"/>
  <c r="L264" i="41"/>
  <c r="G224" i="41"/>
  <c r="D224" i="41"/>
  <c r="L224" i="41"/>
  <c r="B224" i="41"/>
  <c r="D358" i="41"/>
  <c r="L358" i="41"/>
  <c r="G358" i="41"/>
  <c r="B358" i="41"/>
  <c r="L633" i="41"/>
  <c r="B633" i="41"/>
  <c r="G633" i="41"/>
  <c r="D633" i="41"/>
  <c r="E492" i="41"/>
  <c r="I492" i="41"/>
  <c r="J492" i="41"/>
  <c r="H492" i="41"/>
  <c r="K492" i="41"/>
  <c r="K584" i="41"/>
  <c r="I584" i="41"/>
  <c r="J584" i="41"/>
  <c r="H584" i="41"/>
  <c r="E584" i="41"/>
  <c r="J469" i="41"/>
  <c r="I469" i="41"/>
  <c r="H469" i="41"/>
  <c r="E469" i="41"/>
  <c r="K469" i="41"/>
  <c r="H155" i="41"/>
  <c r="E155" i="41"/>
  <c r="J155" i="41"/>
  <c r="K155" i="41"/>
  <c r="I155" i="41"/>
  <c r="H698" i="41"/>
  <c r="K698" i="41"/>
  <c r="J698" i="41"/>
  <c r="E698" i="41"/>
  <c r="I698" i="41"/>
  <c r="J105" i="41"/>
  <c r="K105" i="41"/>
  <c r="E105" i="41"/>
  <c r="H105" i="41"/>
  <c r="I105" i="41"/>
  <c r="E389" i="41"/>
  <c r="H596" i="41"/>
  <c r="J596" i="41"/>
  <c r="K596" i="41"/>
  <c r="I596" i="41"/>
  <c r="E596" i="41"/>
  <c r="E625" i="41"/>
  <c r="G116" i="29"/>
  <c r="D116" i="29"/>
  <c r="B116" i="29"/>
  <c r="E116" i="29" s="1"/>
  <c r="G118" i="29"/>
  <c r="B118" i="29"/>
  <c r="E118" i="29" s="1"/>
  <c r="D118" i="29"/>
  <c r="G91" i="29"/>
  <c r="D91" i="29"/>
  <c r="B91" i="29"/>
  <c r="E91" i="29" s="1"/>
  <c r="G28" i="29"/>
  <c r="D28" i="29"/>
  <c r="B28" i="29"/>
  <c r="E28" i="29" s="1"/>
  <c r="B55" i="29"/>
  <c r="E55" i="29" s="1"/>
  <c r="D55" i="29"/>
  <c r="G55" i="29"/>
  <c r="G151" i="29"/>
  <c r="D151" i="29"/>
  <c r="B151" i="29"/>
  <c r="E151" i="29" s="1"/>
  <c r="B21" i="29"/>
  <c r="E21" i="29" s="1"/>
  <c r="D21" i="29"/>
  <c r="G21" i="29"/>
  <c r="D156" i="29"/>
  <c r="G156" i="29"/>
  <c r="B156" i="29"/>
  <c r="E156" i="29" s="1"/>
  <c r="G148" i="29"/>
  <c r="D148" i="29"/>
  <c r="B148" i="29"/>
  <c r="E148" i="29" s="1"/>
  <c r="G41" i="29"/>
  <c r="D41" i="29"/>
  <c r="B41" i="29"/>
  <c r="E41" i="29" s="1"/>
  <c r="L46" i="41"/>
  <c r="B46" i="41"/>
  <c r="G46" i="41"/>
  <c r="D46" i="41"/>
  <c r="G48" i="41"/>
  <c r="B48" i="41"/>
  <c r="D48" i="41"/>
  <c r="L48" i="41"/>
  <c r="D67" i="41"/>
  <c r="G67" i="41"/>
  <c r="L67" i="41"/>
  <c r="B67" i="41"/>
  <c r="J34" i="39"/>
  <c r="I34" i="39"/>
  <c r="H34" i="39"/>
  <c r="G17" i="41"/>
  <c r="D17" i="41"/>
  <c r="B17" i="41"/>
  <c r="L17" i="41"/>
  <c r="B365" i="41"/>
  <c r="L365" i="41"/>
  <c r="G365" i="41"/>
  <c r="D365" i="41"/>
  <c r="G266" i="41"/>
  <c r="D266" i="41"/>
  <c r="B266" i="41"/>
  <c r="L266" i="41"/>
  <c r="G53" i="41"/>
  <c r="L53" i="41"/>
  <c r="D53" i="41"/>
  <c r="B53" i="41"/>
  <c r="B530" i="41"/>
  <c r="D530" i="41"/>
  <c r="G530" i="41"/>
  <c r="L530" i="41"/>
  <c r="D549" i="41"/>
  <c r="G549" i="41"/>
  <c r="B549" i="41"/>
  <c r="L549" i="41"/>
  <c r="D696" i="41"/>
  <c r="L696" i="41"/>
  <c r="G696" i="41"/>
  <c r="B696" i="41"/>
  <c r="L545" i="41"/>
  <c r="D545" i="41"/>
  <c r="B545" i="41"/>
  <c r="G545" i="41"/>
  <c r="B344" i="41"/>
  <c r="D344" i="41"/>
  <c r="G344" i="41"/>
  <c r="L344" i="41"/>
  <c r="B223" i="41"/>
  <c r="L223" i="41"/>
  <c r="G223" i="41"/>
  <c r="D223" i="41"/>
  <c r="G25" i="41"/>
  <c r="D25" i="41"/>
  <c r="L25" i="41"/>
  <c r="B25" i="41"/>
  <c r="D630" i="41"/>
  <c r="B630" i="41"/>
  <c r="G630" i="41"/>
  <c r="L630" i="41"/>
  <c r="D496" i="41"/>
  <c r="L496" i="41"/>
  <c r="B496" i="41"/>
  <c r="G496" i="41"/>
  <c r="B676" i="41"/>
  <c r="G676" i="41"/>
  <c r="D676" i="41"/>
  <c r="L676" i="41"/>
  <c r="G183" i="41"/>
  <c r="D183" i="41"/>
  <c r="L183" i="41"/>
  <c r="B183" i="41"/>
  <c r="B359" i="41"/>
  <c r="L359" i="41"/>
  <c r="D359" i="41"/>
  <c r="G359" i="41"/>
  <c r="B505" i="41"/>
  <c r="L505" i="41"/>
  <c r="G505" i="41"/>
  <c r="D505" i="41"/>
  <c r="L391" i="41"/>
  <c r="D391" i="41"/>
  <c r="B391" i="41"/>
  <c r="G391" i="41"/>
  <c r="D617" i="41"/>
  <c r="L617" i="41"/>
  <c r="B617" i="41"/>
  <c r="G617" i="41"/>
  <c r="D93" i="41"/>
  <c r="L93" i="41"/>
  <c r="B93" i="41"/>
  <c r="G93" i="41"/>
  <c r="B597" i="41"/>
  <c r="D597" i="41"/>
  <c r="L597" i="41"/>
  <c r="G597" i="41"/>
  <c r="L360" i="41"/>
  <c r="G360" i="41"/>
  <c r="B360" i="41"/>
  <c r="D360" i="41"/>
  <c r="B250" i="41"/>
  <c r="L250" i="41"/>
  <c r="G250" i="41"/>
  <c r="D250" i="41"/>
  <c r="G400" i="41"/>
  <c r="B400" i="41"/>
  <c r="D400" i="41"/>
  <c r="L400" i="41"/>
  <c r="G263" i="41"/>
  <c r="D263" i="41"/>
  <c r="L263" i="41"/>
  <c r="B263" i="41"/>
  <c r="G635" i="41"/>
  <c r="D635" i="41"/>
  <c r="B635" i="41"/>
  <c r="L635" i="41"/>
  <c r="L551" i="41"/>
  <c r="G551" i="41"/>
  <c r="D551" i="41"/>
  <c r="B551" i="41"/>
  <c r="L368" i="41"/>
  <c r="B368" i="41"/>
  <c r="D368" i="41"/>
  <c r="G368" i="41"/>
  <c r="L249" i="41"/>
  <c r="G249" i="41"/>
  <c r="D249" i="41"/>
  <c r="B249" i="41"/>
  <c r="D258" i="41"/>
  <c r="B258" i="41"/>
  <c r="G258" i="41"/>
  <c r="L258" i="41"/>
  <c r="L122" i="41"/>
  <c r="G122" i="41"/>
  <c r="D122" i="41"/>
  <c r="B122" i="41"/>
  <c r="L131" i="41"/>
  <c r="B131" i="41"/>
  <c r="G131" i="41"/>
  <c r="D131" i="41"/>
  <c r="G380" i="41"/>
  <c r="B380" i="41"/>
  <c r="L380" i="41"/>
  <c r="D380" i="41"/>
  <c r="G378" i="41"/>
  <c r="L378" i="41"/>
  <c r="B378" i="41"/>
  <c r="D378" i="41"/>
  <c r="D463" i="41"/>
  <c r="B463" i="41"/>
  <c r="L463" i="41"/>
  <c r="G463" i="41"/>
  <c r="G560" i="41"/>
  <c r="L560" i="41"/>
  <c r="D560" i="41"/>
  <c r="B560" i="41"/>
  <c r="B374" i="41"/>
  <c r="D374" i="41"/>
  <c r="L374" i="41"/>
  <c r="G374" i="41"/>
  <c r="L394" i="41"/>
  <c r="B394" i="41"/>
  <c r="G394" i="41"/>
  <c r="D394" i="41"/>
  <c r="B315" i="41"/>
  <c r="D315" i="41"/>
  <c r="G315" i="41"/>
  <c r="L315" i="41"/>
  <c r="I209" i="41"/>
  <c r="E209" i="41"/>
  <c r="J209" i="41"/>
  <c r="K209" i="41"/>
  <c r="H209" i="41"/>
  <c r="E248" i="41"/>
  <c r="J248" i="41"/>
  <c r="I248" i="41"/>
  <c r="K248" i="41"/>
  <c r="H248" i="41"/>
  <c r="H589" i="41"/>
  <c r="J589" i="41"/>
  <c r="I589" i="41"/>
  <c r="E589" i="41"/>
  <c r="K589" i="41"/>
  <c r="H684" i="41"/>
  <c r="J684" i="41"/>
  <c r="K684" i="41"/>
  <c r="I684" i="41"/>
  <c r="E684" i="41"/>
  <c r="K349" i="41"/>
  <c r="H349" i="41"/>
  <c r="E349" i="41"/>
  <c r="I349" i="41"/>
  <c r="J349" i="41"/>
  <c r="K139" i="41"/>
  <c r="I139" i="41"/>
  <c r="H139" i="41"/>
  <c r="J139" i="41"/>
  <c r="E139" i="41"/>
  <c r="E504" i="41"/>
  <c r="I504" i="41"/>
  <c r="K504" i="41"/>
  <c r="J504" i="41"/>
  <c r="H504" i="41"/>
  <c r="H256" i="41"/>
  <c r="I256" i="41"/>
  <c r="J256" i="41"/>
  <c r="E256" i="41"/>
  <c r="K256" i="41"/>
  <c r="K151" i="41"/>
  <c r="H151" i="41"/>
  <c r="I151" i="41"/>
  <c r="E151" i="41"/>
  <c r="J151" i="41"/>
  <c r="G30" i="29"/>
  <c r="B30" i="29"/>
  <c r="E30" i="29" s="1"/>
  <c r="D30" i="29"/>
  <c r="G74" i="29"/>
  <c r="D74" i="29"/>
  <c r="B74" i="29"/>
  <c r="E74" i="29" s="1"/>
  <c r="D122" i="29"/>
  <c r="B122" i="29"/>
  <c r="E122" i="29" s="1"/>
  <c r="G122" i="29"/>
  <c r="D88" i="29"/>
  <c r="G88" i="29"/>
  <c r="B88" i="29"/>
  <c r="E88" i="29" s="1"/>
  <c r="D146" i="29"/>
  <c r="G146" i="29"/>
  <c r="B146" i="29"/>
  <c r="E146" i="29" s="1"/>
  <c r="D152" i="29"/>
  <c r="G152" i="29"/>
  <c r="B152" i="29"/>
  <c r="E152" i="29" s="1"/>
  <c r="D159" i="29"/>
  <c r="B159" i="29"/>
  <c r="E159" i="29" s="1"/>
  <c r="G159" i="29"/>
  <c r="L203" i="41"/>
  <c r="G203" i="41"/>
  <c r="B203" i="41"/>
  <c r="D203" i="41"/>
  <c r="L373" i="41"/>
  <c r="G373" i="41"/>
  <c r="B373" i="41"/>
  <c r="D373" i="41"/>
  <c r="G104" i="41"/>
  <c r="D104" i="41"/>
  <c r="L104" i="41"/>
  <c r="B104" i="41"/>
  <c r="D483" i="41"/>
  <c r="L483" i="41"/>
  <c r="G483" i="41"/>
  <c r="B483" i="41"/>
  <c r="D700" i="41"/>
  <c r="L700" i="41"/>
  <c r="G700" i="41"/>
  <c r="B700" i="41"/>
  <c r="L242" i="41"/>
  <c r="D242" i="41"/>
  <c r="G242" i="41"/>
  <c r="B242" i="41"/>
  <c r="B482" i="41"/>
  <c r="G482" i="41"/>
  <c r="L482" i="41"/>
  <c r="D482" i="41"/>
  <c r="D675" i="41"/>
  <c r="B675" i="41"/>
  <c r="G675" i="41"/>
  <c r="L675" i="41"/>
  <c r="L467" i="41"/>
  <c r="D467" i="41"/>
  <c r="G467" i="41"/>
  <c r="B467" i="41"/>
  <c r="D216" i="41"/>
  <c r="L216" i="41"/>
  <c r="G216" i="41"/>
  <c r="B216" i="41"/>
  <c r="D571" i="41"/>
  <c r="L571" i="41"/>
  <c r="B571" i="41"/>
  <c r="G571" i="41"/>
  <c r="B112" i="41"/>
  <c r="G112" i="41"/>
  <c r="L112" i="41"/>
  <c r="D112" i="41"/>
  <c r="B66" i="41"/>
  <c r="D66" i="41"/>
  <c r="L66" i="41"/>
  <c r="G66" i="41"/>
  <c r="L563" i="41"/>
  <c r="B563" i="41"/>
  <c r="G563" i="41"/>
  <c r="D563" i="41"/>
  <c r="B86" i="41"/>
  <c r="G86" i="41"/>
  <c r="L86" i="41"/>
  <c r="D86" i="41"/>
  <c r="L442" i="41"/>
  <c r="B442" i="41"/>
  <c r="D442" i="41"/>
  <c r="G442" i="41"/>
  <c r="L408" i="41"/>
  <c r="B408" i="41"/>
  <c r="G408" i="41"/>
  <c r="D408" i="41"/>
  <c r="L176" i="41"/>
  <c r="G176" i="41"/>
  <c r="D176" i="41"/>
  <c r="B176" i="41"/>
  <c r="G245" i="41"/>
  <c r="B245" i="41"/>
  <c r="D245" i="41"/>
  <c r="L245" i="41"/>
  <c r="G413" i="41"/>
  <c r="B413" i="41"/>
  <c r="L413" i="41"/>
  <c r="D413" i="41"/>
  <c r="B117" i="29"/>
  <c r="E117" i="29" s="1"/>
  <c r="G117" i="29"/>
  <c r="D117" i="29"/>
  <c r="G82" i="29"/>
  <c r="D82" i="29"/>
  <c r="B82" i="29"/>
  <c r="E82" i="29" s="1"/>
  <c r="G87" i="29"/>
  <c r="D87" i="29"/>
  <c r="B87" i="29"/>
  <c r="E87" i="29" s="1"/>
  <c r="D68" i="29"/>
  <c r="G68" i="29"/>
  <c r="B68" i="29"/>
  <c r="E68" i="29" s="1"/>
  <c r="B39" i="29"/>
  <c r="E39" i="29" s="1"/>
  <c r="D39" i="29"/>
  <c r="G39" i="29"/>
  <c r="D51" i="29"/>
  <c r="G51" i="29"/>
  <c r="B51" i="29"/>
  <c r="E51" i="29" s="1"/>
  <c r="G110" i="29"/>
  <c r="D110" i="29"/>
  <c r="B110" i="29"/>
  <c r="E110" i="29" s="1"/>
  <c r="D56" i="29"/>
  <c r="B56" i="29"/>
  <c r="E56" i="29" s="1"/>
  <c r="G56" i="29"/>
  <c r="G97" i="29"/>
  <c r="D97" i="29"/>
  <c r="B97" i="29"/>
  <c r="E97" i="29" s="1"/>
  <c r="D272" i="41"/>
  <c r="B272" i="41"/>
  <c r="L272" i="41"/>
  <c r="G272" i="41"/>
  <c r="D74" i="41"/>
  <c r="G74" i="41"/>
  <c r="L74" i="41"/>
  <c r="B74" i="41"/>
  <c r="D638" i="41"/>
  <c r="L638" i="41"/>
  <c r="B638" i="41"/>
  <c r="G638" i="41"/>
  <c r="L673" i="41"/>
  <c r="B673" i="41"/>
  <c r="G673" i="41"/>
  <c r="D673" i="41"/>
  <c r="G307" i="41"/>
  <c r="B307" i="41"/>
  <c r="L307" i="41"/>
  <c r="D307" i="41"/>
  <c r="G644" i="41"/>
  <c r="B644" i="41"/>
  <c r="L644" i="41"/>
  <c r="D644" i="41"/>
  <c r="B163" i="41"/>
  <c r="D163" i="41"/>
  <c r="L163" i="41"/>
  <c r="G163" i="41"/>
  <c r="B620" i="41"/>
  <c r="G620" i="41"/>
  <c r="L620" i="41"/>
  <c r="D620" i="41"/>
  <c r="B438" i="41"/>
  <c r="L438" i="41"/>
  <c r="G438" i="41"/>
  <c r="D438" i="41"/>
  <c r="G646" i="41"/>
  <c r="B646" i="41"/>
  <c r="D646" i="41"/>
  <c r="L646" i="41"/>
  <c r="G328" i="41"/>
  <c r="D328" i="41"/>
  <c r="B328" i="41"/>
  <c r="L328" i="41"/>
  <c r="L572" i="41"/>
  <c r="D572" i="41"/>
  <c r="B572" i="41"/>
  <c r="G572" i="41"/>
  <c r="G83" i="41"/>
  <c r="D83" i="41"/>
  <c r="B83" i="41"/>
  <c r="L83" i="41"/>
  <c r="B694" i="41"/>
  <c r="G694" i="41"/>
  <c r="L694" i="41"/>
  <c r="D694" i="41"/>
  <c r="B661" i="41"/>
  <c r="G661" i="41"/>
  <c r="D661" i="41"/>
  <c r="L661" i="41"/>
  <c r="G302" i="41"/>
  <c r="D302" i="41"/>
  <c r="B302" i="41"/>
  <c r="L302" i="41"/>
  <c r="L43" i="41"/>
  <c r="D43" i="41"/>
  <c r="B43" i="41"/>
  <c r="G43" i="41"/>
  <c r="B96" i="41"/>
  <c r="G96" i="41"/>
  <c r="L96" i="41"/>
  <c r="D96" i="41"/>
  <c r="D274" i="41"/>
  <c r="G274" i="41"/>
  <c r="B274" i="41"/>
  <c r="L274" i="41"/>
  <c r="B123" i="41"/>
  <c r="G123" i="41"/>
  <c r="L123" i="41"/>
  <c r="D123" i="41"/>
  <c r="G643" i="41"/>
  <c r="D643" i="41"/>
  <c r="L643" i="41"/>
  <c r="B643" i="41"/>
  <c r="G49" i="41"/>
  <c r="L49" i="41"/>
  <c r="B49" i="41"/>
  <c r="D49" i="41"/>
  <c r="G457" i="41"/>
  <c r="B457" i="41"/>
  <c r="D457" i="41"/>
  <c r="L457" i="41"/>
  <c r="G221" i="41"/>
  <c r="D221" i="41"/>
  <c r="L221" i="41"/>
  <c r="B221" i="41"/>
  <c r="G647" i="41"/>
  <c r="L647" i="41"/>
  <c r="D647" i="41"/>
  <c r="B647" i="41"/>
  <c r="L608" i="41"/>
  <c r="G608" i="41"/>
  <c r="D608" i="41"/>
  <c r="B608" i="41"/>
  <c r="L533" i="41"/>
  <c r="B533" i="41"/>
  <c r="G533" i="41"/>
  <c r="D533" i="41"/>
  <c r="L189" i="41"/>
  <c r="G189" i="41"/>
  <c r="B189" i="41"/>
  <c r="D189" i="41"/>
  <c r="G117" i="41"/>
  <c r="L117" i="41"/>
  <c r="D117" i="41"/>
  <c r="B117" i="41"/>
  <c r="B434" i="41"/>
  <c r="L434" i="41"/>
  <c r="D434" i="41"/>
  <c r="G434" i="41"/>
  <c r="I121" i="41"/>
  <c r="J121" i="41"/>
  <c r="E121" i="41"/>
  <c r="H121" i="41"/>
  <c r="K121" i="41"/>
  <c r="J422" i="41"/>
  <c r="E422" i="41"/>
  <c r="K422" i="41"/>
  <c r="H422" i="41"/>
  <c r="I422" i="41"/>
  <c r="H453" i="41"/>
  <c r="E453" i="41"/>
  <c r="J453" i="41"/>
  <c r="I453" i="41"/>
  <c r="K453" i="41"/>
  <c r="K237" i="41"/>
  <c r="E237" i="41"/>
  <c r="J237" i="41"/>
  <c r="I237" i="41"/>
  <c r="H237" i="41"/>
  <c r="I145" i="41"/>
  <c r="H145" i="41"/>
  <c r="J145" i="41"/>
  <c r="E145" i="41"/>
  <c r="K145" i="41"/>
  <c r="E514" i="41"/>
  <c r="J514" i="41"/>
  <c r="K514" i="41"/>
  <c r="I514" i="41"/>
  <c r="H514" i="41"/>
  <c r="J654" i="41"/>
  <c r="K654" i="41"/>
  <c r="H654" i="41"/>
  <c r="I654" i="41"/>
  <c r="E654" i="41"/>
  <c r="K386" i="41"/>
  <c r="H386" i="41"/>
  <c r="I386" i="41"/>
  <c r="E386" i="41"/>
  <c r="J386" i="41"/>
  <c r="E20" i="41"/>
  <c r="I20" i="41"/>
  <c r="H20" i="41"/>
  <c r="K20" i="41"/>
  <c r="J20" i="41"/>
  <c r="G150" i="29"/>
  <c r="B150" i="29"/>
  <c r="E150" i="29" s="1"/>
  <c r="D150" i="29"/>
  <c r="D73" i="29"/>
  <c r="B73" i="29"/>
  <c r="E73" i="29" s="1"/>
  <c r="G73" i="29"/>
  <c r="G142" i="29"/>
  <c r="D142" i="29"/>
  <c r="B142" i="29"/>
  <c r="E142" i="29" s="1"/>
  <c r="D71" i="29"/>
  <c r="G71" i="29"/>
  <c r="B71" i="29"/>
  <c r="E71" i="29" s="1"/>
  <c r="B356" i="41"/>
  <c r="D356" i="41"/>
  <c r="G356" i="41"/>
  <c r="L356" i="41"/>
  <c r="B330" i="41"/>
  <c r="G330" i="41"/>
  <c r="L330" i="41"/>
  <c r="D330" i="41"/>
  <c r="L708" i="41"/>
  <c r="B708" i="41"/>
  <c r="D708" i="41"/>
  <c r="G708" i="41"/>
  <c r="G321" i="41"/>
  <c r="L321" i="41"/>
  <c r="D321" i="41"/>
  <c r="B321" i="41"/>
  <c r="B678" i="41"/>
  <c r="G678" i="41"/>
  <c r="L678" i="41"/>
  <c r="D678" i="41"/>
  <c r="B156" i="41"/>
  <c r="L156" i="41"/>
  <c r="G156" i="41"/>
  <c r="D156" i="41"/>
  <c r="B300" i="41"/>
  <c r="G300" i="41"/>
  <c r="D300" i="41"/>
  <c r="L300" i="41"/>
  <c r="B39" i="41"/>
  <c r="D39" i="41"/>
  <c r="G39" i="41"/>
  <c r="L39" i="41"/>
  <c r="L506" i="41"/>
  <c r="G506" i="41"/>
  <c r="B506" i="41"/>
  <c r="D506" i="41"/>
  <c r="L538" i="41"/>
  <c r="B538" i="41"/>
  <c r="G538" i="41"/>
  <c r="D538" i="41"/>
  <c r="L553" i="41"/>
  <c r="G553" i="41"/>
  <c r="B553" i="41"/>
  <c r="D553" i="41"/>
  <c r="G491" i="41"/>
  <c r="B491" i="41"/>
  <c r="L491" i="41"/>
  <c r="D491" i="41"/>
  <c r="L436" i="41"/>
  <c r="D436" i="41"/>
  <c r="G436" i="41"/>
  <c r="B436" i="41"/>
  <c r="B580" i="41"/>
  <c r="G580" i="41"/>
  <c r="D580" i="41"/>
  <c r="L580" i="41"/>
  <c r="G101" i="41"/>
  <c r="D101" i="41"/>
  <c r="L101" i="41"/>
  <c r="B101" i="41"/>
  <c r="B119" i="41"/>
  <c r="D119" i="41"/>
  <c r="G119" i="41"/>
  <c r="L119" i="41"/>
  <c r="B103" i="41"/>
  <c r="G103" i="41"/>
  <c r="D103" i="41"/>
  <c r="L103" i="41"/>
  <c r="L611" i="41"/>
  <c r="D611" i="41"/>
  <c r="G611" i="41"/>
  <c r="B611" i="41"/>
  <c r="D494" i="41"/>
  <c r="G494" i="41"/>
  <c r="B494" i="41"/>
  <c r="L494" i="41"/>
  <c r="L135" i="41"/>
  <c r="D135" i="41"/>
  <c r="G135" i="41"/>
  <c r="B135" i="41"/>
  <c r="L366" i="41"/>
  <c r="D366" i="41"/>
  <c r="B366" i="41"/>
  <c r="G366" i="41"/>
  <c r="B205" i="41"/>
  <c r="D205" i="41"/>
  <c r="G205" i="41"/>
  <c r="L205" i="41"/>
  <c r="B680" i="41"/>
  <c r="G680" i="41"/>
  <c r="D680" i="41"/>
  <c r="L680" i="41"/>
  <c r="H486" i="41"/>
  <c r="I486" i="41"/>
  <c r="E486" i="41"/>
  <c r="K486" i="41"/>
  <c r="J486" i="41"/>
  <c r="G123" i="29"/>
  <c r="D123" i="29"/>
  <c r="B123" i="29"/>
  <c r="E123" i="29" s="1"/>
  <c r="D137" i="29"/>
  <c r="G137" i="29"/>
  <c r="B137" i="29"/>
  <c r="E137" i="29" s="1"/>
  <c r="B24" i="29"/>
  <c r="E24" i="29" s="1"/>
  <c r="D24" i="29"/>
  <c r="G24" i="29"/>
  <c r="G133" i="29"/>
  <c r="B133" i="29"/>
  <c r="E133" i="29" s="1"/>
  <c r="D133" i="29"/>
  <c r="B96" i="29"/>
  <c r="E96" i="29" s="1"/>
  <c r="D96" i="29"/>
  <c r="G96" i="29"/>
  <c r="B53" i="29"/>
  <c r="E53" i="29" s="1"/>
  <c r="D53" i="29"/>
  <c r="G53" i="29"/>
  <c r="G690" i="41"/>
  <c r="D690" i="41"/>
  <c r="B690" i="41"/>
  <c r="L690" i="41"/>
  <c r="G612" i="41"/>
  <c r="D612" i="41"/>
  <c r="L612" i="41"/>
  <c r="B612" i="41"/>
  <c r="L645" i="41"/>
  <c r="D645" i="41"/>
  <c r="B645" i="41"/>
  <c r="G645" i="41"/>
  <c r="D178" i="41"/>
  <c r="L178" i="41"/>
  <c r="G178" i="41"/>
  <c r="B178" i="41"/>
  <c r="G407" i="41"/>
  <c r="B407" i="41"/>
  <c r="D407" i="41"/>
  <c r="L407" i="41"/>
  <c r="B605" i="41"/>
  <c r="D605" i="41"/>
  <c r="L605" i="41"/>
  <c r="G605" i="41"/>
  <c r="L548" i="41"/>
  <c r="G548" i="41"/>
  <c r="B548" i="41"/>
  <c r="D548" i="41"/>
  <c r="L594" i="41"/>
  <c r="G594" i="41"/>
  <c r="D594" i="41"/>
  <c r="B594" i="41"/>
  <c r="L668" i="41"/>
  <c r="G668" i="41"/>
  <c r="B668" i="41"/>
  <c r="D668" i="41"/>
  <c r="D166" i="41"/>
  <c r="L166" i="41"/>
  <c r="G166" i="41"/>
  <c r="B166" i="41"/>
  <c r="D32" i="41"/>
  <c r="B32" i="41"/>
  <c r="G32" i="41"/>
  <c r="L32" i="41"/>
  <c r="L19" i="41"/>
  <c r="B19" i="41"/>
  <c r="G19" i="41"/>
  <c r="D19" i="41"/>
  <c r="D615" i="41"/>
  <c r="L615" i="41"/>
  <c r="G615" i="41"/>
  <c r="B615" i="41"/>
  <c r="B58" i="41"/>
  <c r="L58" i="41"/>
  <c r="G58" i="41"/>
  <c r="D58" i="41"/>
  <c r="G449" i="41"/>
  <c r="B449" i="41"/>
  <c r="L449" i="41"/>
  <c r="D449" i="41"/>
  <c r="B603" i="41"/>
  <c r="G603" i="41"/>
  <c r="D603" i="41"/>
  <c r="L603" i="41"/>
  <c r="L526" i="41"/>
  <c r="B526" i="41"/>
  <c r="G526" i="41"/>
  <c r="D526" i="41"/>
  <c r="G208" i="41"/>
  <c r="D208" i="41"/>
  <c r="B208" i="41"/>
  <c r="L208" i="41"/>
  <c r="D167" i="41"/>
  <c r="L167" i="41"/>
  <c r="B167" i="41"/>
  <c r="G167" i="41"/>
  <c r="B655" i="41"/>
  <c r="G655" i="41"/>
  <c r="D655" i="41"/>
  <c r="L655" i="41"/>
  <c r="D370" i="41"/>
  <c r="G370" i="41"/>
  <c r="L370" i="41"/>
  <c r="B370" i="41"/>
  <c r="B42" i="41"/>
  <c r="G42" i="41"/>
  <c r="D42" i="41"/>
  <c r="L42" i="41"/>
  <c r="B695" i="41"/>
  <c r="D695" i="41"/>
  <c r="G695" i="41"/>
  <c r="L695" i="41"/>
  <c r="B481" i="41"/>
  <c r="G481" i="41"/>
  <c r="L481" i="41"/>
  <c r="D481" i="41"/>
  <c r="D325" i="41"/>
  <c r="L325" i="41"/>
  <c r="G325" i="41"/>
  <c r="B325" i="41"/>
  <c r="D289" i="41"/>
  <c r="L289" i="41"/>
  <c r="G289" i="41"/>
  <c r="B289" i="41"/>
  <c r="G502" i="41"/>
  <c r="L502" i="41"/>
  <c r="D502" i="41"/>
  <c r="B502" i="41"/>
  <c r="L525" i="41"/>
  <c r="B525" i="41"/>
  <c r="D525" i="41"/>
  <c r="G525" i="41"/>
  <c r="D416" i="41"/>
  <c r="G416" i="41"/>
  <c r="B416" i="41"/>
  <c r="L416" i="41"/>
  <c r="D251" i="41"/>
  <c r="G251" i="41"/>
  <c r="L251" i="41"/>
  <c r="B251" i="41"/>
  <c r="L699" i="41"/>
  <c r="G699" i="41"/>
  <c r="D699" i="41"/>
  <c r="B699" i="41"/>
  <c r="B450" i="41"/>
  <c r="G450" i="41"/>
  <c r="L450" i="41"/>
  <c r="D450" i="41"/>
  <c r="L195" i="41"/>
  <c r="B195" i="41"/>
  <c r="G195" i="41"/>
  <c r="D195" i="41"/>
  <c r="B364" i="41"/>
  <c r="L364" i="41"/>
  <c r="D364" i="41"/>
  <c r="G364" i="41"/>
  <c r="B429" i="41"/>
  <c r="D429" i="41"/>
  <c r="G429" i="41"/>
  <c r="L429" i="41"/>
  <c r="G158" i="41"/>
  <c r="L158" i="41"/>
  <c r="D158" i="41"/>
  <c r="B158" i="41"/>
  <c r="L38" i="41"/>
  <c r="B38" i="41"/>
  <c r="G38" i="41"/>
  <c r="D38" i="41"/>
  <c r="D512" i="41"/>
  <c r="L512" i="41"/>
  <c r="G512" i="41"/>
  <c r="B512" i="41"/>
  <c r="L30" i="41"/>
  <c r="G30" i="41"/>
  <c r="D30" i="41"/>
  <c r="B30" i="41"/>
  <c r="B439" i="41"/>
  <c r="D439" i="41"/>
  <c r="L439" i="41"/>
  <c r="G439" i="41"/>
  <c r="G601" i="41"/>
  <c r="B601" i="41"/>
  <c r="D601" i="41"/>
  <c r="L601" i="41"/>
  <c r="D569" i="41"/>
  <c r="L569" i="41"/>
  <c r="G569" i="41"/>
  <c r="B569" i="41"/>
  <c r="L327" i="41"/>
  <c r="G327" i="41"/>
  <c r="D327" i="41"/>
  <c r="B327" i="41"/>
  <c r="G102" i="41"/>
  <c r="L102" i="41"/>
  <c r="B102" i="41"/>
  <c r="D102" i="41"/>
  <c r="K536" i="41"/>
  <c r="J536" i="41"/>
  <c r="I377" i="41"/>
  <c r="E377" i="41"/>
  <c r="H377" i="41"/>
  <c r="K377" i="41"/>
  <c r="J377" i="41"/>
  <c r="E172" i="41"/>
  <c r="I172" i="41"/>
  <c r="K172" i="41"/>
  <c r="J172" i="41"/>
  <c r="H172" i="41"/>
  <c r="H666" i="41"/>
  <c r="E666" i="41"/>
  <c r="J666" i="41"/>
  <c r="I666" i="41"/>
  <c r="K666" i="41"/>
  <c r="B35" i="29"/>
  <c r="E35" i="29" s="1"/>
  <c r="D35" i="29"/>
  <c r="G35" i="29"/>
  <c r="G139" i="29"/>
  <c r="B139" i="29"/>
  <c r="E139" i="29" s="1"/>
  <c r="D139" i="29"/>
  <c r="D46" i="29"/>
  <c r="B46" i="29"/>
  <c r="E46" i="29" s="1"/>
  <c r="G46" i="29"/>
  <c r="B147" i="29"/>
  <c r="E147" i="29" s="1"/>
  <c r="G147" i="29"/>
  <c r="D147" i="29"/>
  <c r="B125" i="29"/>
  <c r="E125" i="29" s="1"/>
  <c r="D125" i="29"/>
  <c r="G125" i="29"/>
  <c r="G57" i="29"/>
  <c r="D57" i="29"/>
  <c r="B57" i="29"/>
  <c r="E57" i="29" s="1"/>
  <c r="B106" i="29"/>
  <c r="E106" i="29" s="1"/>
  <c r="D106" i="29"/>
  <c r="G106" i="29"/>
  <c r="D111" i="29"/>
  <c r="G111" i="29"/>
  <c r="B111" i="29"/>
  <c r="E111" i="29" s="1"/>
  <c r="G44" i="29"/>
  <c r="B44" i="29"/>
  <c r="E44" i="29" s="1"/>
  <c r="D44" i="29"/>
  <c r="H28" i="39"/>
  <c r="J28" i="39"/>
  <c r="I28" i="39"/>
  <c r="D175" i="41"/>
  <c r="G175" i="41"/>
  <c r="L175" i="41"/>
  <c r="B175" i="41"/>
  <c r="G133" i="41"/>
  <c r="B133" i="41"/>
  <c r="L133" i="41"/>
  <c r="D133" i="41"/>
  <c r="G706" i="41"/>
  <c r="B706" i="41"/>
  <c r="L706" i="41"/>
  <c r="D706" i="41"/>
  <c r="G17" i="29"/>
  <c r="B17" i="29"/>
  <c r="E17" i="29" s="1"/>
  <c r="D17" i="29"/>
  <c r="B215" i="41"/>
  <c r="G215" i="41"/>
  <c r="L215" i="41"/>
  <c r="D215" i="41"/>
  <c r="L566" i="41"/>
  <c r="D566" i="41"/>
  <c r="B566" i="41"/>
  <c r="G566" i="41"/>
  <c r="B441" i="41"/>
  <c r="D441" i="41"/>
  <c r="G441" i="41"/>
  <c r="L441" i="41"/>
  <c r="G348" i="41"/>
  <c r="D348" i="41"/>
  <c r="B348" i="41"/>
  <c r="L348" i="41"/>
  <c r="B688" i="41"/>
  <c r="G688" i="41"/>
  <c r="D688" i="41"/>
  <c r="L688" i="41"/>
  <c r="B286" i="41"/>
  <c r="L286" i="41"/>
  <c r="D286" i="41"/>
  <c r="G286" i="41"/>
  <c r="G412" i="41"/>
  <c r="D412" i="41"/>
  <c r="B412" i="41"/>
  <c r="L412" i="41"/>
  <c r="L628" i="41"/>
  <c r="B628" i="41"/>
  <c r="G628" i="41"/>
  <c r="D628" i="41"/>
  <c r="G234" i="41"/>
  <c r="B234" i="41"/>
  <c r="D234" i="41"/>
  <c r="L234" i="41"/>
  <c r="B162" i="29"/>
  <c r="E162" i="29" s="1"/>
  <c r="G162" i="29"/>
  <c r="D162" i="29"/>
  <c r="D126" i="29"/>
  <c r="G126" i="29"/>
  <c r="B126" i="29"/>
  <c r="E126" i="29" s="1"/>
  <c r="G86" i="29"/>
  <c r="D86" i="29"/>
  <c r="B86" i="29"/>
  <c r="E86" i="29" s="1"/>
  <c r="B99" i="29"/>
  <c r="E99" i="29" s="1"/>
  <c r="D99" i="29"/>
  <c r="G99" i="29"/>
  <c r="G136" i="29"/>
  <c r="D136" i="29"/>
  <c r="B136" i="29"/>
  <c r="E136" i="29" s="1"/>
  <c r="G100" i="29"/>
  <c r="B100" i="29"/>
  <c r="E100" i="29" s="1"/>
  <c r="D100" i="29"/>
  <c r="D335" i="41"/>
  <c r="B335" i="41"/>
  <c r="G335" i="41"/>
  <c r="L335" i="41"/>
  <c r="B488" i="41"/>
  <c r="D488" i="41"/>
  <c r="G488" i="41"/>
  <c r="L488" i="41"/>
  <c r="E14" i="41"/>
  <c r="H14" i="41"/>
  <c r="I14" i="41"/>
  <c r="J14" i="41"/>
  <c r="K14" i="41"/>
  <c r="G634" i="41"/>
  <c r="L634" i="41"/>
  <c r="D634" i="41"/>
  <c r="B634" i="41"/>
  <c r="G196" i="41"/>
  <c r="L196" i="41"/>
  <c r="D196" i="41"/>
  <c r="B196" i="41"/>
  <c r="L419" i="41"/>
  <c r="D419" i="41"/>
  <c r="B419" i="41"/>
  <c r="G419" i="41"/>
  <c r="D279" i="41"/>
  <c r="L279" i="41"/>
  <c r="G279" i="41"/>
  <c r="B279" i="41"/>
  <c r="L257" i="41"/>
  <c r="D257" i="41"/>
  <c r="B257" i="41"/>
  <c r="G257" i="41"/>
  <c r="B648" i="41"/>
  <c r="G648" i="41"/>
  <c r="D648" i="41"/>
  <c r="L648" i="41"/>
  <c r="L99" i="41"/>
  <c r="B99" i="41"/>
  <c r="D99" i="41"/>
  <c r="G99" i="41"/>
  <c r="B446" i="41"/>
  <c r="L446" i="41"/>
  <c r="D446" i="41"/>
  <c r="G446" i="41"/>
  <c r="G404" i="41"/>
  <c r="D404" i="41"/>
  <c r="L404" i="41"/>
  <c r="B404" i="41"/>
  <c r="L90" i="41"/>
  <c r="G90" i="41"/>
  <c r="B90" i="41"/>
  <c r="D90" i="41"/>
  <c r="G213" i="41"/>
  <c r="L213" i="41"/>
  <c r="D213" i="41"/>
  <c r="B213" i="41"/>
  <c r="B243" i="41"/>
  <c r="G243" i="41"/>
  <c r="L243" i="41"/>
  <c r="D243" i="41"/>
  <c r="D405" i="41"/>
  <c r="G405" i="41"/>
  <c r="L405" i="41"/>
  <c r="B405" i="41"/>
  <c r="G479" i="41"/>
  <c r="D479" i="41"/>
  <c r="L479" i="41"/>
  <c r="B479" i="41"/>
  <c r="G280" i="41"/>
  <c r="D280" i="41"/>
  <c r="L280" i="41"/>
  <c r="B280" i="41"/>
  <c r="L490" i="41"/>
  <c r="B490" i="41"/>
  <c r="G490" i="41"/>
  <c r="D490" i="41"/>
  <c r="D28" i="41"/>
  <c r="G28" i="41"/>
  <c r="B28" i="41"/>
  <c r="L28" i="41"/>
  <c r="D319" i="41"/>
  <c r="G319" i="41"/>
  <c r="L319" i="41"/>
  <c r="B319" i="41"/>
  <c r="D244" i="41"/>
  <c r="L244" i="41"/>
  <c r="G244" i="41"/>
  <c r="B244" i="41"/>
  <c r="B115" i="41"/>
  <c r="L115" i="41"/>
  <c r="G115" i="41"/>
  <c r="D115" i="41"/>
  <c r="D190" i="41"/>
  <c r="G190" i="41"/>
  <c r="B190" i="41"/>
  <c r="L190" i="41"/>
  <c r="L677" i="41"/>
  <c r="B677" i="41"/>
  <c r="G677" i="41"/>
  <c r="D677" i="41"/>
  <c r="L173" i="41"/>
  <c r="B173" i="41"/>
  <c r="G173" i="41"/>
  <c r="D173" i="41"/>
  <c r="G417" i="41"/>
  <c r="L417" i="41"/>
  <c r="D417" i="41"/>
  <c r="B417" i="41"/>
  <c r="D347" i="41"/>
  <c r="B347" i="41"/>
  <c r="L347" i="41"/>
  <c r="G347" i="41"/>
  <c r="G363" i="41"/>
  <c r="L363" i="41"/>
  <c r="D363" i="41"/>
  <c r="B363" i="41"/>
  <c r="B73" i="41"/>
  <c r="D73" i="41"/>
  <c r="L73" i="41"/>
  <c r="G73" i="41"/>
  <c r="K239" i="41"/>
  <c r="I239" i="41"/>
  <c r="H239" i="41"/>
  <c r="E239" i="41"/>
  <c r="J239" i="41"/>
  <c r="J406" i="41"/>
  <c r="H406" i="41"/>
  <c r="K406" i="41"/>
  <c r="E406" i="41"/>
  <c r="I406" i="41"/>
  <c r="H118" i="41"/>
  <c r="K118" i="41"/>
  <c r="J118" i="41"/>
  <c r="I118" i="41"/>
  <c r="E118" i="41"/>
  <c r="E598" i="41"/>
  <c r="I598" i="41"/>
  <c r="J598" i="41"/>
  <c r="K598" i="41"/>
  <c r="H598" i="41"/>
  <c r="E397" i="41"/>
  <c r="H397" i="41"/>
  <c r="I397" i="41"/>
  <c r="K397" i="41"/>
  <c r="J397" i="41"/>
  <c r="D40" i="29"/>
  <c r="G40" i="29"/>
  <c r="B40" i="29"/>
  <c r="E40" i="29" s="1"/>
  <c r="G85" i="29"/>
  <c r="D85" i="29"/>
  <c r="B85" i="29"/>
  <c r="E85" i="29" s="1"/>
  <c r="B18" i="29"/>
  <c r="E18" i="29" s="1"/>
  <c r="G18" i="29"/>
  <c r="D18" i="29"/>
  <c r="B498" i="41"/>
  <c r="D498" i="41"/>
  <c r="L498" i="41"/>
  <c r="G498" i="41"/>
  <c r="D334" i="41"/>
  <c r="G334" i="41"/>
  <c r="L334" i="41"/>
  <c r="B334" i="41"/>
  <c r="D81" i="41"/>
  <c r="L81" i="41"/>
  <c r="B81" i="41"/>
  <c r="G81" i="41"/>
  <c r="B271" i="41"/>
  <c r="D271" i="41"/>
  <c r="L271" i="41"/>
  <c r="G271" i="41"/>
  <c r="L637" i="41"/>
  <c r="G637" i="41"/>
  <c r="B637" i="41"/>
  <c r="D637" i="41"/>
  <c r="G72" i="41"/>
  <c r="L72" i="41"/>
  <c r="D72" i="41"/>
  <c r="B72" i="41"/>
  <c r="G326" i="41"/>
  <c r="L326" i="41"/>
  <c r="B326" i="41"/>
  <c r="D326" i="41"/>
  <c r="D297" i="41"/>
  <c r="G297" i="41"/>
  <c r="L297" i="41"/>
  <c r="B297" i="41"/>
  <c r="B687" i="41"/>
  <c r="D687" i="41"/>
  <c r="L687" i="41"/>
  <c r="G687" i="41"/>
  <c r="D495" i="41"/>
  <c r="L495" i="41"/>
  <c r="G495" i="41"/>
  <c r="B495" i="41"/>
  <c r="D64" i="41"/>
  <c r="B64" i="41"/>
  <c r="G64" i="41"/>
  <c r="L64" i="41"/>
  <c r="D75" i="41"/>
  <c r="B75" i="41"/>
  <c r="L75" i="41"/>
  <c r="G75" i="41"/>
  <c r="B587" i="41"/>
  <c r="G587" i="41"/>
  <c r="L587" i="41"/>
  <c r="D587" i="41"/>
  <c r="L169" i="41"/>
  <c r="D169" i="41"/>
  <c r="G169" i="41"/>
  <c r="B169" i="41"/>
  <c r="D165" i="41"/>
  <c r="B165" i="41"/>
  <c r="G165" i="41"/>
  <c r="L165" i="41"/>
  <c r="B524" i="41"/>
  <c r="D524" i="41"/>
  <c r="G524" i="41"/>
  <c r="L524" i="41"/>
  <c r="G240" i="41"/>
  <c r="B240" i="41"/>
  <c r="D240" i="41"/>
  <c r="L240" i="41"/>
  <c r="G82" i="41"/>
  <c r="L82" i="41"/>
  <c r="B82" i="41"/>
  <c r="D82" i="41"/>
  <c r="G631" i="41"/>
  <c r="B631" i="41"/>
  <c r="D631" i="41"/>
  <c r="L631" i="41"/>
  <c r="B532" i="41"/>
  <c r="G532" i="41"/>
  <c r="D532" i="41"/>
  <c r="L532" i="41"/>
  <c r="B90" i="29"/>
  <c r="E90" i="29" s="1"/>
  <c r="G90" i="29"/>
  <c r="D90" i="29"/>
  <c r="G164" i="29"/>
  <c r="D164" i="29"/>
  <c r="B164" i="29"/>
  <c r="E164" i="29" s="1"/>
  <c r="G105" i="29"/>
  <c r="D105" i="29"/>
  <c r="B105" i="29"/>
  <c r="E105" i="29" s="1"/>
  <c r="D50" i="29"/>
  <c r="B50" i="29"/>
  <c r="E50" i="29" s="1"/>
  <c r="G50" i="29"/>
  <c r="B127" i="29"/>
  <c r="E127" i="29" s="1"/>
  <c r="G127" i="29"/>
  <c r="D127" i="29"/>
  <c r="G141" i="29"/>
  <c r="B141" i="29"/>
  <c r="E141" i="29" s="1"/>
  <c r="D141" i="29"/>
  <c r="B52" i="29"/>
  <c r="E52" i="29" s="1"/>
  <c r="G52" i="29"/>
  <c r="D52" i="29"/>
  <c r="B78" i="29"/>
  <c r="E78" i="29" s="1"/>
  <c r="G78" i="29"/>
  <c r="D78" i="29"/>
  <c r="B103" i="29"/>
  <c r="E103" i="29" s="1"/>
  <c r="D103" i="29"/>
  <c r="G103" i="29"/>
  <c r="G34" i="29"/>
  <c r="B34" i="29"/>
  <c r="E34" i="29" s="1"/>
  <c r="D34" i="29"/>
  <c r="G58" i="29"/>
  <c r="B58" i="29"/>
  <c r="E58" i="29" s="1"/>
  <c r="D58" i="29"/>
  <c r="D70" i="29"/>
  <c r="G70" i="29"/>
  <c r="B70" i="29"/>
  <c r="E70" i="29" s="1"/>
  <c r="G83" i="29"/>
  <c r="B83" i="29"/>
  <c r="E83" i="29" s="1"/>
  <c r="D83" i="29"/>
  <c r="D45" i="29"/>
  <c r="B45" i="29"/>
  <c r="E45" i="29" s="1"/>
  <c r="G45" i="29"/>
  <c r="G132" i="29"/>
  <c r="B132" i="29"/>
  <c r="E132" i="29" s="1"/>
  <c r="D132" i="29"/>
  <c r="D157" i="29"/>
  <c r="B157" i="29"/>
  <c r="E157" i="29" s="1"/>
  <c r="G157" i="29"/>
  <c r="L137" i="41"/>
  <c r="G137" i="41"/>
  <c r="B137" i="41"/>
  <c r="D137" i="41"/>
  <c r="G557" i="41"/>
  <c r="L557" i="41"/>
  <c r="B557" i="41"/>
  <c r="D557" i="41"/>
  <c r="H22" i="39"/>
  <c r="I22" i="39"/>
  <c r="J22" i="39"/>
  <c r="B262" i="41"/>
  <c r="G262" i="41"/>
  <c r="D262" i="41"/>
  <c r="L262" i="41"/>
  <c r="D686" i="41"/>
  <c r="G686" i="41"/>
  <c r="L686" i="41"/>
  <c r="B686" i="41"/>
  <c r="G124" i="41"/>
  <c r="B124" i="41"/>
  <c r="L124" i="41"/>
  <c r="D124" i="41"/>
  <c r="L543" i="41"/>
  <c r="B543" i="41"/>
  <c r="D543" i="41"/>
  <c r="G543" i="41"/>
  <c r="L448" i="41"/>
  <c r="B448" i="41"/>
  <c r="D448" i="41"/>
  <c r="G448" i="41"/>
  <c r="D487" i="41"/>
  <c r="L487" i="41"/>
  <c r="B487" i="41"/>
  <c r="G487" i="41"/>
  <c r="D547" i="41"/>
  <c r="B547" i="41"/>
  <c r="G547" i="41"/>
  <c r="L547" i="41"/>
  <c r="G268" i="41"/>
  <c r="L268" i="41"/>
  <c r="B268" i="41"/>
  <c r="D268" i="41"/>
  <c r="B685" i="41"/>
  <c r="L685" i="41"/>
  <c r="D685" i="41"/>
  <c r="G685" i="41"/>
  <c r="L613" i="41"/>
  <c r="G613" i="41"/>
  <c r="B613" i="41"/>
  <c r="D613" i="41"/>
  <c r="L578" i="41"/>
  <c r="G578" i="41"/>
  <c r="B578" i="41"/>
  <c r="D578" i="41"/>
  <c r="L581" i="41"/>
  <c r="G581" i="41"/>
  <c r="B581" i="41"/>
  <c r="D581" i="41"/>
  <c r="B599" i="41"/>
  <c r="D599" i="41"/>
  <c r="L599" i="41"/>
  <c r="G599" i="41"/>
  <c r="L499" i="41"/>
  <c r="D499" i="41"/>
  <c r="G499" i="41"/>
  <c r="B499" i="41"/>
  <c r="D277" i="41"/>
  <c r="B277" i="41"/>
  <c r="L277" i="41"/>
  <c r="G277" i="41"/>
  <c r="G534" i="41"/>
  <c r="L534" i="41"/>
  <c r="D534" i="41"/>
  <c r="B534" i="41"/>
  <c r="B464" i="41"/>
  <c r="G464" i="41"/>
  <c r="L464" i="41"/>
  <c r="D464" i="41"/>
  <c r="G456" i="41"/>
  <c r="D456" i="41"/>
  <c r="L456" i="41"/>
  <c r="B456" i="41"/>
  <c r="B341" i="41"/>
  <c r="L341" i="41"/>
  <c r="D341" i="41"/>
  <c r="G341" i="41"/>
  <c r="D521" i="41"/>
  <c r="B521" i="41"/>
  <c r="G521" i="41"/>
  <c r="L521" i="41"/>
  <c r="B88" i="41"/>
  <c r="L88" i="41"/>
  <c r="G88" i="41"/>
  <c r="D88" i="41"/>
  <c r="D582" i="41"/>
  <c r="G582" i="41"/>
  <c r="B582" i="41"/>
  <c r="L582" i="41"/>
  <c r="D444" i="41"/>
  <c r="G444" i="41"/>
  <c r="B444" i="41"/>
  <c r="L444" i="41"/>
  <c r="L284" i="41"/>
  <c r="D284" i="41"/>
  <c r="B284" i="41"/>
  <c r="G284" i="41"/>
  <c r="L181" i="41"/>
  <c r="G181" i="41"/>
  <c r="D181" i="41"/>
  <c r="B181" i="41"/>
  <c r="G278" i="41"/>
  <c r="L278" i="41"/>
  <c r="B278" i="41"/>
  <c r="D278" i="41"/>
  <c r="D100" i="41"/>
  <c r="B100" i="41"/>
  <c r="G100" i="41"/>
  <c r="L100" i="41"/>
  <c r="L447" i="41"/>
  <c r="B447" i="41"/>
  <c r="G447" i="41"/>
  <c r="D447" i="41"/>
  <c r="B233" i="41"/>
  <c r="L233" i="41"/>
  <c r="G233" i="41"/>
  <c r="D233" i="41"/>
  <c r="B519" i="41"/>
  <c r="L519" i="41"/>
  <c r="G519" i="41"/>
  <c r="D519" i="41"/>
  <c r="D301" i="41"/>
  <c r="B301" i="41"/>
  <c r="L301" i="41"/>
  <c r="G301" i="41"/>
  <c r="D333" i="41"/>
  <c r="B333" i="41"/>
  <c r="L333" i="41"/>
  <c r="G333" i="41"/>
  <c r="B171" i="41"/>
  <c r="G171" i="41"/>
  <c r="D171" i="41"/>
  <c r="L171" i="41"/>
  <c r="D704" i="41"/>
  <c r="B704" i="41"/>
  <c r="L704" i="41"/>
  <c r="G704" i="41"/>
  <c r="B162" i="41"/>
  <c r="L162" i="41"/>
  <c r="D162" i="41"/>
  <c r="G162" i="41"/>
  <c r="L132" i="41"/>
  <c r="B132" i="41"/>
  <c r="G132" i="41"/>
  <c r="D132" i="41"/>
  <c r="I458" i="41"/>
  <c r="K458" i="41"/>
  <c r="J458" i="41"/>
  <c r="H458" i="41"/>
  <c r="E458" i="41"/>
  <c r="K461" i="41"/>
  <c r="H461" i="41"/>
  <c r="J461" i="41"/>
  <c r="I461" i="41"/>
  <c r="E461" i="41"/>
  <c r="J235" i="41"/>
  <c r="I235" i="41"/>
  <c r="E235" i="41"/>
  <c r="K235" i="41"/>
  <c r="H235" i="41"/>
  <c r="I94" i="41"/>
  <c r="K94" i="41"/>
  <c r="K100" i="11"/>
  <c r="K101" i="11" s="1"/>
  <c r="D64" i="29"/>
  <c r="G64" i="29"/>
  <c r="B64" i="29"/>
  <c r="E64" i="29" s="1"/>
  <c r="G79" i="29"/>
  <c r="B79" i="29"/>
  <c r="E79" i="29" s="1"/>
  <c r="D79" i="29"/>
  <c r="G140" i="29"/>
  <c r="D140" i="29"/>
  <c r="B140" i="29"/>
  <c r="E140" i="29" s="1"/>
  <c r="B89" i="29"/>
  <c r="E89" i="29" s="1"/>
  <c r="G89" i="29"/>
  <c r="D89" i="29"/>
  <c r="G119" i="29"/>
  <c r="B119" i="29"/>
  <c r="E119" i="29" s="1"/>
  <c r="D119" i="29"/>
  <c r="D67" i="29"/>
  <c r="G67" i="29"/>
  <c r="B67" i="29"/>
  <c r="E67" i="29" s="1"/>
  <c r="G154" i="29"/>
  <c r="D154" i="29"/>
  <c r="B154" i="29"/>
  <c r="E154" i="29" s="1"/>
  <c r="G62" i="29"/>
  <c r="D62" i="29"/>
  <c r="B62" i="29"/>
  <c r="E62" i="29" s="1"/>
  <c r="D144" i="41"/>
  <c r="B144" i="41"/>
  <c r="L144" i="41"/>
  <c r="G144" i="41"/>
  <c r="G157" i="41"/>
  <c r="L157" i="41"/>
  <c r="B157" i="41"/>
  <c r="D157" i="41"/>
  <c r="L662" i="41"/>
  <c r="G662" i="41"/>
  <c r="B662" i="41"/>
  <c r="D662" i="41"/>
  <c r="J32" i="39"/>
  <c r="H32" i="39"/>
  <c r="I32" i="39"/>
  <c r="J29" i="39"/>
  <c r="I29" i="39"/>
  <c r="H29" i="39"/>
  <c r="G433" i="41"/>
  <c r="D433" i="41"/>
  <c r="L433" i="41"/>
  <c r="B433" i="41"/>
  <c r="B310" i="41"/>
  <c r="D310" i="41"/>
  <c r="L310" i="41"/>
  <c r="G310" i="41"/>
  <c r="B225" i="41"/>
  <c r="G225" i="41"/>
  <c r="L225" i="41"/>
  <c r="D225" i="41"/>
  <c r="L388" i="41"/>
  <c r="B388" i="41"/>
  <c r="D388" i="41"/>
  <c r="G388" i="41"/>
  <c r="B125" i="41"/>
  <c r="L125" i="41"/>
  <c r="D125" i="41"/>
  <c r="G125" i="41"/>
  <c r="L143" i="41"/>
  <c r="D143" i="41"/>
  <c r="G143" i="41"/>
  <c r="B143" i="41"/>
  <c r="G664" i="41"/>
  <c r="D664" i="41"/>
  <c r="B664" i="41"/>
  <c r="L664" i="41"/>
  <c r="B303" i="41"/>
  <c r="D303" i="41"/>
  <c r="G303" i="41"/>
  <c r="L303" i="41"/>
  <c r="L518" i="41"/>
  <c r="D518" i="41"/>
  <c r="G518" i="41"/>
  <c r="B518" i="41"/>
  <c r="B369" i="41"/>
  <c r="G369" i="41"/>
  <c r="D369" i="41"/>
  <c r="L369" i="41"/>
  <c r="G561" i="41"/>
  <c r="B561" i="41"/>
  <c r="D561" i="41"/>
  <c r="L561" i="41"/>
  <c r="D34" i="41"/>
  <c r="G34" i="41"/>
  <c r="L34" i="41"/>
  <c r="B34" i="41"/>
  <c r="D636" i="41"/>
  <c r="B636" i="41"/>
  <c r="L636" i="41"/>
  <c r="G636" i="41"/>
  <c r="G552" i="41"/>
  <c r="L552" i="41"/>
  <c r="D552" i="41"/>
  <c r="B552" i="41"/>
  <c r="D555" i="41"/>
  <c r="B555" i="41"/>
  <c r="G555" i="41"/>
  <c r="L555" i="41"/>
  <c r="L40" i="41"/>
  <c r="D40" i="41"/>
  <c r="G40" i="41"/>
  <c r="B40" i="41"/>
  <c r="G91" i="41"/>
  <c r="B91" i="41"/>
  <c r="D91" i="41"/>
  <c r="L91" i="41"/>
  <c r="D120" i="41"/>
  <c r="B120" i="41"/>
  <c r="G120" i="41"/>
  <c r="L120" i="41"/>
  <c r="D554" i="41"/>
  <c r="G554" i="41"/>
  <c r="B554" i="41"/>
  <c r="L554" i="41"/>
  <c r="G130" i="41"/>
  <c r="L130" i="41"/>
  <c r="D130" i="41"/>
  <c r="B130" i="41"/>
  <c r="B493" i="41"/>
  <c r="L493" i="41"/>
  <c r="G493" i="41"/>
  <c r="D493" i="41"/>
  <c r="B542" i="41"/>
  <c r="L542" i="41"/>
  <c r="G542" i="41"/>
  <c r="D542" i="41"/>
  <c r="G314" i="41"/>
  <c r="B314" i="41"/>
  <c r="L314" i="41"/>
  <c r="D314" i="41"/>
  <c r="B440" i="41"/>
  <c r="G440" i="41"/>
  <c r="L440" i="41"/>
  <c r="D440" i="41"/>
  <c r="L515" i="41"/>
  <c r="G515" i="41"/>
  <c r="B515" i="41"/>
  <c r="D515" i="41"/>
  <c r="D445" i="41"/>
  <c r="B445" i="41"/>
  <c r="G445" i="41"/>
  <c r="L445" i="41"/>
  <c r="L357" i="41"/>
  <c r="G357" i="41"/>
  <c r="B357" i="41"/>
  <c r="D357" i="41"/>
  <c r="B629" i="41"/>
  <c r="G629" i="41"/>
  <c r="D629" i="41"/>
  <c r="L629" i="41"/>
  <c r="D227" i="41"/>
  <c r="B227" i="41"/>
  <c r="G227" i="41"/>
  <c r="L227" i="41"/>
  <c r="D659" i="41"/>
  <c r="B659" i="41"/>
  <c r="L659" i="41"/>
  <c r="G659" i="41"/>
  <c r="L285" i="41"/>
  <c r="D285" i="41"/>
  <c r="B285" i="41"/>
  <c r="G285" i="41"/>
  <c r="L649" i="41"/>
  <c r="G649" i="41"/>
  <c r="D649" i="41"/>
  <c r="B649" i="41"/>
  <c r="B539" i="41"/>
  <c r="G539" i="41"/>
  <c r="D539" i="41"/>
  <c r="L539" i="41"/>
  <c r="B109" i="41"/>
  <c r="G109" i="41"/>
  <c r="D109" i="41"/>
  <c r="L109" i="41"/>
  <c r="L126" i="41"/>
  <c r="B126" i="41"/>
  <c r="G126" i="41"/>
  <c r="D126" i="41"/>
  <c r="B658" i="41"/>
  <c r="G658" i="41"/>
  <c r="D658" i="41"/>
  <c r="L658" i="41"/>
  <c r="L671" i="41"/>
  <c r="D671" i="41"/>
  <c r="G671" i="41"/>
  <c r="B671" i="41"/>
  <c r="B626" i="41"/>
  <c r="G626" i="41"/>
  <c r="L626" i="41"/>
  <c r="D626" i="41"/>
  <c r="D568" i="41"/>
  <c r="B568" i="41"/>
  <c r="G568" i="41"/>
  <c r="L568" i="41"/>
  <c r="L711" i="41"/>
  <c r="B711" i="41"/>
  <c r="G711" i="41"/>
  <c r="D290" i="41"/>
  <c r="L290" i="41"/>
  <c r="B290" i="41"/>
  <c r="G290" i="41"/>
  <c r="L146" i="41"/>
  <c r="G146" i="41"/>
  <c r="B146" i="41"/>
  <c r="D146" i="41"/>
  <c r="L432" i="41"/>
  <c r="G432" i="41"/>
  <c r="D432" i="41"/>
  <c r="B432" i="41"/>
  <c r="D674" i="41"/>
  <c r="L674" i="41"/>
  <c r="G674" i="41"/>
  <c r="B674" i="41"/>
  <c r="L95" i="41"/>
  <c r="B95" i="41"/>
  <c r="G95" i="41"/>
  <c r="D95" i="41"/>
  <c r="L473" i="41"/>
  <c r="D473" i="41"/>
  <c r="G473" i="41"/>
  <c r="B473" i="41"/>
  <c r="D128" i="41"/>
  <c r="B128" i="41"/>
  <c r="L128" i="41"/>
  <c r="G128" i="41"/>
  <c r="H579" i="41"/>
  <c r="I579" i="41"/>
  <c r="J579" i="41"/>
  <c r="K579" i="41"/>
  <c r="E579" i="41"/>
  <c r="H107" i="41"/>
  <c r="K107" i="41"/>
  <c r="E107" i="41"/>
  <c r="I107" i="41"/>
  <c r="J107" i="41"/>
  <c r="J681" i="41"/>
  <c r="H681" i="41"/>
  <c r="E84" i="41"/>
  <c r="K84" i="41"/>
  <c r="H84" i="41"/>
  <c r="I84" i="41"/>
  <c r="J84" i="41"/>
  <c r="H170" i="41"/>
  <c r="I170" i="41"/>
  <c r="K170" i="41"/>
  <c r="J170" i="41"/>
  <c r="E170" i="41"/>
  <c r="I427" i="41"/>
  <c r="K427" i="41"/>
  <c r="E427" i="41"/>
  <c r="H427" i="41"/>
  <c r="J427" i="41"/>
  <c r="K428" i="41"/>
  <c r="E428" i="41"/>
  <c r="I140" i="41"/>
  <c r="K140" i="41"/>
  <c r="I399" i="41"/>
  <c r="E399" i="41"/>
  <c r="J399" i="41"/>
  <c r="H399" i="41"/>
  <c r="K399" i="41"/>
  <c r="D27" i="29"/>
  <c r="B27" i="29"/>
  <c r="E27" i="29" s="1"/>
  <c r="G27" i="29"/>
  <c r="D135" i="29"/>
  <c r="B135" i="29"/>
  <c r="E135" i="29" s="1"/>
  <c r="G135" i="29"/>
  <c r="B33" i="29"/>
  <c r="E33" i="29" s="1"/>
  <c r="D33" i="29"/>
  <c r="G33" i="29"/>
  <c r="D107" i="29"/>
  <c r="B107" i="29"/>
  <c r="E107" i="29" s="1"/>
  <c r="G107" i="29"/>
  <c r="G81" i="29"/>
  <c r="D81" i="29"/>
  <c r="B81" i="29"/>
  <c r="E81" i="29" s="1"/>
  <c r="G76" i="29"/>
  <c r="B76" i="29"/>
  <c r="E76" i="29" s="1"/>
  <c r="D76" i="29"/>
  <c r="G93" i="29"/>
  <c r="B93" i="29"/>
  <c r="E93" i="29" s="1"/>
  <c r="D93" i="29"/>
  <c r="G42" i="29"/>
  <c r="B42" i="29"/>
  <c r="E42" i="29" s="1"/>
  <c r="D42" i="29"/>
  <c r="D153" i="29"/>
  <c r="G153" i="29"/>
  <c r="B153" i="29"/>
  <c r="E153" i="29" s="1"/>
  <c r="L114" i="41"/>
  <c r="D114" i="41"/>
  <c r="G114" i="41"/>
  <c r="B114" i="41"/>
  <c r="B185" i="41"/>
  <c r="D185" i="41"/>
  <c r="L185" i="41"/>
  <c r="G185" i="41"/>
  <c r="J23" i="39"/>
  <c r="H23" i="39"/>
  <c r="I23" i="39"/>
  <c r="I27" i="39"/>
  <c r="H27" i="39"/>
  <c r="J27" i="39"/>
  <c r="D134" i="41"/>
  <c r="G134" i="41"/>
  <c r="L134" i="41"/>
  <c r="B134" i="41"/>
  <c r="B106" i="41"/>
  <c r="L106" i="41"/>
  <c r="D106" i="41"/>
  <c r="G106" i="41"/>
  <c r="L50" i="41"/>
  <c r="D50" i="41"/>
  <c r="B50" i="41"/>
  <c r="G50" i="41"/>
  <c r="D540" i="41"/>
  <c r="B540" i="41"/>
  <c r="L540" i="41"/>
  <c r="G540" i="41"/>
  <c r="D161" i="41"/>
  <c r="B161" i="41"/>
  <c r="L161" i="41"/>
  <c r="G161" i="41"/>
  <c r="B198" i="41"/>
  <c r="G198" i="41"/>
  <c r="L198" i="41"/>
  <c r="D198" i="41"/>
  <c r="B236" i="41"/>
  <c r="D236" i="41"/>
  <c r="L236" i="41"/>
  <c r="G236" i="41"/>
  <c r="G401" i="41"/>
  <c r="L401" i="41"/>
  <c r="B401" i="41"/>
  <c r="D401" i="41"/>
  <c r="D127" i="41"/>
  <c r="G127" i="41"/>
  <c r="L127" i="41"/>
  <c r="B127" i="41"/>
  <c r="D241" i="41"/>
  <c r="G241" i="41"/>
  <c r="L241" i="41"/>
  <c r="B241" i="41"/>
  <c r="B37" i="29"/>
  <c r="E37" i="29" s="1"/>
  <c r="G37" i="29"/>
  <c r="D37" i="29"/>
  <c r="B36" i="29"/>
  <c r="E36" i="29" s="1"/>
  <c r="G36" i="29"/>
  <c r="D36" i="29"/>
  <c r="D165" i="29"/>
  <c r="B165" i="29"/>
  <c r="E165" i="29" s="1"/>
  <c r="G165" i="29"/>
  <c r="G104" i="29"/>
  <c r="D104" i="29"/>
  <c r="B104" i="29"/>
  <c r="E104" i="29" s="1"/>
  <c r="D59" i="29"/>
  <c r="G59" i="29"/>
  <c r="B59" i="29"/>
  <c r="E59" i="29" s="1"/>
  <c r="G95" i="29"/>
  <c r="D95" i="29"/>
  <c r="B95" i="29"/>
  <c r="E95" i="29" s="1"/>
  <c r="B84" i="29"/>
  <c r="E84" i="29" s="1"/>
  <c r="G84" i="29"/>
  <c r="D84" i="29"/>
  <c r="B65" i="29"/>
  <c r="E65" i="29" s="1"/>
  <c r="D65" i="29"/>
  <c r="G65" i="29"/>
  <c r="G115" i="29"/>
  <c r="B115" i="29"/>
  <c r="E115" i="29" s="1"/>
  <c r="D115" i="29"/>
  <c r="B218" i="41"/>
  <c r="G218" i="41"/>
  <c r="D218" i="41"/>
  <c r="L218" i="41"/>
  <c r="D421" i="41"/>
  <c r="G421" i="41"/>
  <c r="L421" i="41"/>
  <c r="B421" i="41"/>
  <c r="I21" i="39"/>
  <c r="H21" i="39"/>
  <c r="J21" i="39"/>
  <c r="I25" i="39"/>
  <c r="J25" i="39"/>
  <c r="H25" i="39"/>
  <c r="L97" i="41"/>
  <c r="G97" i="41"/>
  <c r="D97" i="41"/>
  <c r="B97" i="41"/>
  <c r="B159" i="41"/>
  <c r="G159" i="41"/>
  <c r="L159" i="41"/>
  <c r="D159" i="41"/>
  <c r="L705" i="41"/>
  <c r="D705" i="41"/>
  <c r="G705" i="41"/>
  <c r="B705" i="41"/>
  <c r="L411" i="41"/>
  <c r="B411" i="41"/>
  <c r="G411" i="41"/>
  <c r="D411" i="41"/>
  <c r="G214" i="41"/>
  <c r="L214" i="41"/>
  <c r="B214" i="41"/>
  <c r="D214" i="41"/>
  <c r="L670" i="41"/>
  <c r="D670" i="41"/>
  <c r="B670" i="41"/>
  <c r="G670" i="41"/>
  <c r="L87" i="41"/>
  <c r="G87" i="41"/>
  <c r="D87" i="41"/>
  <c r="B87" i="41"/>
  <c r="G384" i="41"/>
  <c r="B384" i="41"/>
  <c r="L384" i="41"/>
  <c r="D384" i="41"/>
  <c r="G559" i="41"/>
  <c r="D559" i="41"/>
  <c r="B559" i="41"/>
  <c r="L559" i="41"/>
  <c r="L523" i="41"/>
  <c r="D523" i="41"/>
  <c r="B523" i="41"/>
  <c r="G523" i="41"/>
  <c r="B295" i="41"/>
  <c r="L295" i="41"/>
  <c r="D295" i="41"/>
  <c r="G295" i="41"/>
  <c r="G199" i="41"/>
  <c r="L199" i="41"/>
  <c r="B199" i="41"/>
  <c r="D199" i="41"/>
  <c r="G219" i="41"/>
  <c r="L219" i="41"/>
  <c r="D219" i="41"/>
  <c r="B219" i="41"/>
  <c r="L576" i="41"/>
  <c r="B576" i="41"/>
  <c r="G576" i="41"/>
  <c r="D576" i="41"/>
  <c r="D207" i="41"/>
  <c r="L207" i="41"/>
  <c r="B207" i="41"/>
  <c r="G207" i="41"/>
  <c r="D202" i="41"/>
  <c r="B202" i="41"/>
  <c r="G202" i="41"/>
  <c r="L202" i="41"/>
  <c r="G29" i="41"/>
  <c r="B29" i="41"/>
  <c r="L29" i="41"/>
  <c r="D29" i="41"/>
  <c r="B682" i="41"/>
  <c r="G682" i="41"/>
  <c r="L682" i="41"/>
  <c r="D682" i="41"/>
  <c r="G361" i="41"/>
  <c r="D361" i="41"/>
  <c r="L361" i="41"/>
  <c r="B361" i="41"/>
  <c r="L291" i="41"/>
  <c r="D291" i="41"/>
  <c r="G291" i="41"/>
  <c r="B291" i="41"/>
  <c r="B497" i="41"/>
  <c r="D497" i="41"/>
  <c r="L497" i="41"/>
  <c r="G497" i="41"/>
  <c r="B535" i="41"/>
  <c r="G535" i="41"/>
  <c r="D535" i="41"/>
  <c r="L535" i="41"/>
  <c r="B273" i="41"/>
  <c r="G273" i="41"/>
  <c r="L273" i="41"/>
  <c r="D273" i="41"/>
  <c r="D352" i="41"/>
  <c r="B352" i="41"/>
  <c r="G352" i="41"/>
  <c r="L352" i="41"/>
  <c r="B452" i="41"/>
  <c r="D452" i="41"/>
  <c r="L452" i="41"/>
  <c r="G452" i="41"/>
  <c r="J489" i="41"/>
  <c r="E489" i="41"/>
  <c r="I383" i="41"/>
  <c r="I275" i="41"/>
  <c r="J275" i="41"/>
  <c r="E275" i="41"/>
  <c r="E323" i="41"/>
  <c r="J323" i="41"/>
  <c r="G145" i="29"/>
  <c r="D145" i="29"/>
  <c r="B145" i="29"/>
  <c r="E145" i="29" s="1"/>
  <c r="B80" i="29"/>
  <c r="E80" i="29" s="1"/>
  <c r="G80" i="29"/>
  <c r="D80" i="29"/>
  <c r="G385" i="41"/>
  <c r="D385" i="41"/>
  <c r="B385" i="41"/>
  <c r="L385" i="41"/>
  <c r="B49" i="29"/>
  <c r="E49" i="29" s="1"/>
  <c r="D49" i="29"/>
  <c r="G49" i="29"/>
  <c r="G144" i="29"/>
  <c r="D144" i="29"/>
  <c r="B144" i="29"/>
  <c r="E144" i="29" s="1"/>
  <c r="B32" i="29"/>
  <c r="E32" i="29" s="1"/>
  <c r="G32" i="29"/>
  <c r="D32" i="29"/>
  <c r="J20" i="39"/>
  <c r="H20" i="39"/>
  <c r="I20" i="39"/>
  <c r="D618" i="41"/>
  <c r="B618" i="41"/>
  <c r="L618" i="41"/>
  <c r="G618" i="41"/>
  <c r="L567" i="41"/>
  <c r="G567" i="41"/>
  <c r="B567" i="41"/>
  <c r="D567" i="41"/>
  <c r="D152" i="41"/>
  <c r="L152" i="41"/>
  <c r="G152" i="41"/>
  <c r="B152" i="41"/>
  <c r="D632" i="41"/>
  <c r="G632" i="41"/>
  <c r="B632" i="41"/>
  <c r="L632" i="41"/>
  <c r="B188" i="41"/>
  <c r="L188" i="41"/>
  <c r="G188" i="41"/>
  <c r="D188" i="41"/>
  <c r="D296" i="41"/>
  <c r="L296" i="41"/>
  <c r="B296" i="41"/>
  <c r="G296" i="41"/>
  <c r="B55" i="41"/>
  <c r="G55" i="41"/>
  <c r="L55" i="41"/>
  <c r="D55" i="41"/>
  <c r="G116" i="41"/>
  <c r="D116" i="41"/>
  <c r="L116" i="41"/>
  <c r="B116" i="41"/>
  <c r="B320" i="41"/>
  <c r="D320" i="41"/>
  <c r="G320" i="41"/>
  <c r="L320" i="41"/>
  <c r="G393" i="41"/>
  <c r="L393" i="41"/>
  <c r="D393" i="41"/>
  <c r="B393" i="41"/>
  <c r="G246" i="41"/>
  <c r="B246" i="41"/>
  <c r="L246" i="41"/>
  <c r="D246" i="41"/>
  <c r="G287" i="41"/>
  <c r="D287" i="41"/>
  <c r="B287" i="41"/>
  <c r="L287" i="41"/>
  <c r="B113" i="41"/>
  <c r="G113" i="41"/>
  <c r="D113" i="41"/>
  <c r="L113" i="41"/>
  <c r="B624" i="41"/>
  <c r="D624" i="41"/>
  <c r="G624" i="41"/>
  <c r="L624" i="41"/>
  <c r="G379" i="41"/>
  <c r="L379" i="41"/>
  <c r="B379" i="41"/>
  <c r="D379" i="41"/>
  <c r="G501" i="41"/>
  <c r="D501" i="41"/>
  <c r="L501" i="41"/>
  <c r="B501" i="41"/>
  <c r="L622" i="41"/>
  <c r="G622" i="41"/>
  <c r="D622" i="41"/>
  <c r="B622" i="41"/>
  <c r="G614" i="41"/>
  <c r="L614" i="41"/>
  <c r="B614" i="41"/>
  <c r="D614" i="41"/>
  <c r="L679" i="41"/>
  <c r="D679" i="41"/>
  <c r="G679" i="41"/>
  <c r="B679" i="41"/>
  <c r="L474" i="41"/>
  <c r="B474" i="41"/>
  <c r="D474" i="41"/>
  <c r="G474" i="41"/>
  <c r="G697" i="41"/>
  <c r="B697" i="41"/>
  <c r="L697" i="41"/>
  <c r="D697" i="41"/>
  <c r="I222" i="41"/>
  <c r="K222" i="41"/>
  <c r="H222" i="41"/>
  <c r="J222" i="41"/>
  <c r="E222" i="41"/>
  <c r="J426" i="41"/>
  <c r="I426" i="41"/>
  <c r="E426" i="41"/>
  <c r="H426" i="41"/>
  <c r="K426" i="41"/>
  <c r="D69" i="29"/>
  <c r="G69" i="29"/>
  <c r="B69" i="29"/>
  <c r="E69" i="29" s="1"/>
  <c r="D113" i="29"/>
  <c r="G113" i="29"/>
  <c r="B113" i="29"/>
  <c r="E113" i="29" s="1"/>
  <c r="D98" i="29"/>
  <c r="G98" i="29"/>
  <c r="B98" i="29"/>
  <c r="E98" i="29" s="1"/>
  <c r="D72" i="29"/>
  <c r="B72" i="29"/>
  <c r="E72" i="29" s="1"/>
  <c r="G72" i="29"/>
  <c r="D38" i="29"/>
  <c r="B38" i="29"/>
  <c r="E38" i="29" s="1"/>
  <c r="G38" i="29"/>
  <c r="G120" i="29"/>
  <c r="D120" i="29"/>
  <c r="B120" i="29"/>
  <c r="E120" i="29" s="1"/>
  <c r="D29" i="29"/>
  <c r="B29" i="29"/>
  <c r="E29" i="29" s="1"/>
  <c r="G29" i="29"/>
  <c r="B114" i="29"/>
  <c r="E114" i="29" s="1"/>
  <c r="G114" i="29"/>
  <c r="D114" i="29"/>
  <c r="B131" i="29"/>
  <c r="E131" i="29" s="1"/>
  <c r="D131" i="29"/>
  <c r="G131" i="29"/>
  <c r="G43" i="29"/>
  <c r="D43" i="29"/>
  <c r="B43" i="29"/>
  <c r="E43" i="29" s="1"/>
  <c r="B143" i="29"/>
  <c r="E143" i="29" s="1"/>
  <c r="G143" i="29"/>
  <c r="D143" i="29"/>
  <c r="G121" i="29"/>
  <c r="B121" i="29"/>
  <c r="E121" i="29" s="1"/>
  <c r="D121" i="29"/>
  <c r="D22" i="29"/>
  <c r="B22" i="29"/>
  <c r="E22" i="29" s="1"/>
  <c r="G22" i="29"/>
  <c r="G26" i="29"/>
  <c r="B26" i="29"/>
  <c r="E26" i="29" s="1"/>
  <c r="D26" i="29"/>
  <c r="B231" i="41"/>
  <c r="L231" i="41"/>
  <c r="D231" i="41"/>
  <c r="G231" i="41"/>
  <c r="L192" i="41"/>
  <c r="G192" i="41"/>
  <c r="D192" i="41"/>
  <c r="B192" i="41"/>
  <c r="G180" i="41"/>
  <c r="L180" i="41"/>
  <c r="D180" i="41"/>
  <c r="B180" i="41"/>
  <c r="L343" i="41"/>
  <c r="B343" i="41"/>
  <c r="D343" i="41"/>
  <c r="G343" i="41"/>
  <c r="L212" i="41"/>
  <c r="B212" i="41"/>
  <c r="G212" i="41"/>
  <c r="D212" i="41"/>
  <c r="B367" i="41"/>
  <c r="G367" i="41"/>
  <c r="D367" i="41"/>
  <c r="L367" i="41"/>
  <c r="G47" i="41"/>
  <c r="L47" i="41"/>
  <c r="D47" i="41"/>
  <c r="B47" i="41"/>
  <c r="L62" i="41"/>
  <c r="D62" i="41"/>
  <c r="G62" i="41"/>
  <c r="B62" i="41"/>
  <c r="D194" i="41"/>
  <c r="B194" i="41"/>
  <c r="L194" i="41"/>
  <c r="G194" i="41"/>
  <c r="B660" i="41"/>
  <c r="G660" i="41"/>
  <c r="D660" i="41"/>
  <c r="L660" i="41"/>
  <c r="L443" i="41"/>
  <c r="B443" i="41"/>
  <c r="G443" i="41"/>
  <c r="D443" i="41"/>
  <c r="B460" i="41"/>
  <c r="D460" i="41"/>
  <c r="L460" i="41"/>
  <c r="G460" i="41"/>
  <c r="L665" i="41"/>
  <c r="D665" i="41"/>
  <c r="B665" i="41"/>
  <c r="G665" i="41"/>
  <c r="G693" i="41"/>
  <c r="D693" i="41"/>
  <c r="B693" i="41"/>
  <c r="L693" i="41"/>
  <c r="L602" i="41"/>
  <c r="G602" i="41"/>
  <c r="D602" i="41"/>
  <c r="B602" i="41"/>
  <c r="G283" i="41"/>
  <c r="D283" i="41"/>
  <c r="L283" i="41"/>
  <c r="B283" i="41"/>
  <c r="D304" i="41"/>
  <c r="L304" i="41"/>
  <c r="B304" i="41"/>
  <c r="G304" i="41"/>
  <c r="D318" i="41"/>
  <c r="G318" i="41"/>
  <c r="B318" i="41"/>
  <c r="L318" i="41"/>
  <c r="B703" i="41"/>
  <c r="L703" i="41"/>
  <c r="D703" i="41"/>
  <c r="G703" i="41"/>
  <c r="D710" i="41"/>
  <c r="G710" i="41"/>
  <c r="B710" i="41"/>
  <c r="L710" i="41"/>
  <c r="B69" i="41"/>
  <c r="D69" i="41"/>
  <c r="L69" i="41"/>
  <c r="G69" i="41"/>
  <c r="G508" i="41"/>
  <c r="D508" i="41"/>
  <c r="L508" i="41"/>
  <c r="B508" i="41"/>
  <c r="L197" i="41"/>
  <c r="B197" i="41"/>
  <c r="G197" i="41"/>
  <c r="D197" i="41"/>
  <c r="D484" i="41"/>
  <c r="L484" i="41"/>
  <c r="G484" i="41"/>
  <c r="B484" i="41"/>
  <c r="G465" i="41"/>
  <c r="B465" i="41"/>
  <c r="L465" i="41"/>
  <c r="D465" i="41"/>
  <c r="D371" i="41"/>
  <c r="G371" i="41"/>
  <c r="L371" i="41"/>
  <c r="B371" i="41"/>
  <c r="B76" i="41"/>
  <c r="L76" i="41"/>
  <c r="G76" i="41"/>
  <c r="D76" i="41"/>
  <c r="D329" i="41"/>
  <c r="G329" i="41"/>
  <c r="B329" i="41"/>
  <c r="L329" i="41"/>
  <c r="G336" i="41"/>
  <c r="D336" i="41"/>
  <c r="L336" i="41"/>
  <c r="B336" i="41"/>
  <c r="G398" i="41"/>
  <c r="B398" i="41"/>
  <c r="L398" i="41"/>
  <c r="D398" i="41"/>
  <c r="G153" i="41"/>
  <c r="B153" i="41"/>
  <c r="D153" i="41"/>
  <c r="L153" i="41"/>
  <c r="G689" i="41"/>
  <c r="L689" i="41"/>
  <c r="B689" i="41"/>
  <c r="D689" i="41"/>
  <c r="B80" i="41"/>
  <c r="D80" i="41"/>
  <c r="G80" i="41"/>
  <c r="L80" i="41"/>
  <c r="D513" i="41"/>
  <c r="L513" i="41"/>
  <c r="B513" i="41"/>
  <c r="G513" i="41"/>
  <c r="L410" i="41"/>
  <c r="D410" i="41"/>
  <c r="G410" i="41"/>
  <c r="B410" i="41"/>
  <c r="D376" i="41"/>
  <c r="L376" i="41"/>
  <c r="G376" i="41"/>
  <c r="B376" i="41"/>
  <c r="B16" i="41"/>
  <c r="D16" i="41"/>
  <c r="L16" i="41"/>
  <c r="G16" i="41"/>
  <c r="I653" i="41"/>
  <c r="H653" i="41"/>
  <c r="K653" i="41"/>
  <c r="J653" i="41"/>
  <c r="E653" i="41"/>
  <c r="E468" i="41"/>
  <c r="I468" i="41"/>
  <c r="K468" i="41"/>
  <c r="J468" i="41"/>
  <c r="H468" i="41"/>
  <c r="H575" i="41"/>
  <c r="E575" i="41"/>
  <c r="K575" i="41"/>
  <c r="I575" i="41"/>
  <c r="J575" i="41"/>
  <c r="I650" i="41"/>
  <c r="J650" i="41"/>
  <c r="E650" i="41"/>
  <c r="K650" i="41"/>
  <c r="H650" i="41"/>
  <c r="K641" i="41"/>
  <c r="E641" i="41"/>
  <c r="H641" i="41"/>
  <c r="I641" i="41"/>
  <c r="J641" i="41"/>
  <c r="H288" i="41"/>
  <c r="K288" i="41"/>
  <c r="E288" i="41"/>
  <c r="J288" i="41"/>
  <c r="I288" i="41"/>
  <c r="G77" i="29"/>
  <c r="D77" i="29"/>
  <c r="B77" i="29"/>
  <c r="E77" i="29" s="1"/>
  <c r="G48" i="29"/>
  <c r="D48" i="29"/>
  <c r="B48" i="29"/>
  <c r="E48" i="29" s="1"/>
  <c r="G155" i="29"/>
  <c r="B155" i="29"/>
  <c r="E155" i="29" s="1"/>
  <c r="D155" i="29"/>
  <c r="B108" i="29"/>
  <c r="E108" i="29" s="1"/>
  <c r="G108" i="29"/>
  <c r="D108" i="29"/>
  <c r="D94" i="29"/>
  <c r="G94" i="29"/>
  <c r="B94" i="29"/>
  <c r="E94" i="29" s="1"/>
  <c r="G112" i="29"/>
  <c r="D112" i="29"/>
  <c r="B112" i="29"/>
  <c r="E112" i="29" s="1"/>
  <c r="B61" i="29"/>
  <c r="E61" i="29" s="1"/>
  <c r="D61" i="29"/>
  <c r="G61" i="29"/>
  <c r="D163" i="29"/>
  <c r="G163" i="29"/>
  <c r="B163" i="29"/>
  <c r="E163" i="29" s="1"/>
  <c r="D22" i="41"/>
  <c r="L22" i="41"/>
  <c r="G22" i="41"/>
  <c r="B22" i="41"/>
  <c r="L24" i="41"/>
  <c r="B24" i="41"/>
  <c r="G24" i="41"/>
  <c r="D24" i="41"/>
  <c r="B604" i="41"/>
  <c r="L604" i="41"/>
  <c r="D604" i="41"/>
  <c r="G604" i="41"/>
  <c r="D692" i="41"/>
  <c r="B692" i="41"/>
  <c r="L692" i="41"/>
  <c r="G692" i="41"/>
  <c r="B44" i="41"/>
  <c r="G44" i="41"/>
  <c r="L44" i="41"/>
  <c r="D44" i="41"/>
  <c r="L23" i="41"/>
  <c r="G23" i="41"/>
  <c r="D23" i="41"/>
  <c r="B23" i="41"/>
  <c r="D108" i="41"/>
  <c r="G108" i="41"/>
  <c r="B108" i="41"/>
  <c r="L108" i="41"/>
  <c r="G142" i="41"/>
  <c r="D142" i="41"/>
  <c r="B142" i="41"/>
  <c r="L142" i="41"/>
  <c r="B652" i="41"/>
  <c r="L652" i="41"/>
  <c r="D652" i="41"/>
  <c r="G652" i="41"/>
  <c r="D71" i="41"/>
  <c r="G71" i="41"/>
  <c r="B71" i="41"/>
  <c r="L71" i="41"/>
  <c r="D210" i="41"/>
  <c r="G210" i="41"/>
  <c r="L210" i="41"/>
  <c r="B210" i="41"/>
  <c r="B154" i="41"/>
  <c r="L154" i="41"/>
  <c r="D154" i="41"/>
  <c r="G154" i="41"/>
  <c r="G129" i="29"/>
  <c r="D129" i="29"/>
  <c r="B129" i="29"/>
  <c r="E129" i="29" s="1"/>
  <c r="G63" i="29"/>
  <c r="D63" i="29"/>
  <c r="B63" i="29"/>
  <c r="E63" i="29" s="1"/>
  <c r="B161" i="29"/>
  <c r="E161" i="29" s="1"/>
  <c r="D161" i="29"/>
  <c r="G161" i="29"/>
  <c r="G60" i="29"/>
  <c r="D60" i="29"/>
  <c r="B60" i="29"/>
  <c r="E60" i="29" s="1"/>
  <c r="G54" i="29"/>
  <c r="D54" i="29"/>
  <c r="B54" i="29"/>
  <c r="E54" i="29" s="1"/>
  <c r="B101" i="29"/>
  <c r="E101" i="29" s="1"/>
  <c r="D101" i="29"/>
  <c r="G101" i="29"/>
  <c r="G128" i="29"/>
  <c r="D128" i="29"/>
  <c r="B128" i="29"/>
  <c r="E128" i="29" s="1"/>
  <c r="G23" i="29"/>
  <c r="D23" i="29"/>
  <c r="B23" i="29"/>
  <c r="E23" i="29" s="1"/>
  <c r="G47" i="29"/>
  <c r="D47" i="29"/>
  <c r="B47" i="29"/>
  <c r="E47" i="29" s="1"/>
  <c r="L354" i="41"/>
  <c r="B354" i="41"/>
  <c r="D354" i="41"/>
  <c r="G354" i="41"/>
  <c r="G346" i="41"/>
  <c r="B346" i="41"/>
  <c r="L346" i="41"/>
  <c r="D346" i="41"/>
  <c r="H31" i="39"/>
  <c r="I31" i="39"/>
  <c r="J31" i="39"/>
  <c r="L577" i="41"/>
  <c r="D577" i="41"/>
  <c r="B577" i="41"/>
  <c r="G577" i="41"/>
  <c r="L54" i="41"/>
  <c r="B54" i="41"/>
  <c r="G54" i="41"/>
  <c r="D54" i="41"/>
  <c r="B619" i="41"/>
  <c r="D619" i="41"/>
  <c r="L619" i="41"/>
  <c r="G619" i="41"/>
  <c r="G437" i="41"/>
  <c r="L437" i="41"/>
  <c r="D437" i="41"/>
  <c r="B437" i="41"/>
  <c r="D435" i="41"/>
  <c r="B435" i="41"/>
  <c r="G435" i="41"/>
  <c r="L435" i="41"/>
  <c r="L381" i="41"/>
  <c r="D381" i="41"/>
  <c r="G381" i="41"/>
  <c r="B381" i="41"/>
  <c r="B431" i="41"/>
  <c r="G431" i="41"/>
  <c r="L431" i="41"/>
  <c r="D431" i="41"/>
  <c r="B701" i="41"/>
  <c r="G701" i="41"/>
  <c r="D701" i="41"/>
  <c r="L701" i="41"/>
  <c r="B592" i="41"/>
  <c r="L592" i="41"/>
  <c r="G592" i="41"/>
  <c r="D592" i="41"/>
  <c r="G265" i="41"/>
  <c r="L265" i="41"/>
  <c r="B265" i="41"/>
  <c r="D265" i="41"/>
  <c r="B420" i="41"/>
  <c r="G420" i="41"/>
  <c r="L420" i="41"/>
  <c r="D420" i="41"/>
  <c r="B683" i="41"/>
  <c r="D683" i="41"/>
  <c r="G683" i="41"/>
  <c r="L683" i="41"/>
  <c r="L110" i="41"/>
  <c r="B110" i="41"/>
  <c r="D110" i="41"/>
  <c r="G110" i="41"/>
  <c r="L415" i="41"/>
  <c r="B415" i="41"/>
  <c r="D415" i="41"/>
  <c r="G415" i="41"/>
  <c r="G270" i="41"/>
  <c r="D270" i="41"/>
  <c r="B270" i="41"/>
  <c r="L270" i="41"/>
  <c r="G179" i="41"/>
  <c r="L179" i="41"/>
  <c r="D179" i="41"/>
  <c r="B179" i="41"/>
  <c r="B292" i="41"/>
  <c r="G292" i="41"/>
  <c r="D292" i="41"/>
  <c r="L292" i="41"/>
  <c r="L651" i="41"/>
  <c r="B651" i="41"/>
  <c r="G651" i="41"/>
  <c r="D651" i="41"/>
  <c r="L372" i="41"/>
  <c r="G372" i="41"/>
  <c r="B372" i="41"/>
  <c r="D372" i="41"/>
  <c r="G253" i="41"/>
  <c r="D253" i="41"/>
  <c r="B253" i="41"/>
  <c r="L253" i="41"/>
  <c r="D470" i="41"/>
  <c r="B470" i="41"/>
  <c r="L470" i="41"/>
  <c r="G470" i="41"/>
  <c r="D129" i="41"/>
  <c r="G129" i="41"/>
  <c r="L129" i="41"/>
  <c r="B129" i="41"/>
  <c r="B36" i="41"/>
  <c r="D36" i="41"/>
  <c r="G36" i="41"/>
  <c r="L36" i="41"/>
  <c r="D232" i="41"/>
  <c r="G232" i="41"/>
  <c r="L232" i="41"/>
  <c r="B232" i="41"/>
  <c r="D702" i="41"/>
  <c r="B702" i="41"/>
  <c r="G702" i="41"/>
  <c r="L702" i="41"/>
  <c r="L454" i="41"/>
  <c r="G454" i="41"/>
  <c r="D454" i="41"/>
  <c r="B454" i="41"/>
  <c r="L340" i="41"/>
  <c r="D340" i="41"/>
  <c r="G340" i="41"/>
  <c r="B340" i="41"/>
  <c r="D663" i="41"/>
  <c r="B663" i="41"/>
  <c r="L663" i="41"/>
  <c r="G663" i="41"/>
  <c r="G476" i="41"/>
  <c r="L476" i="41"/>
  <c r="D476" i="41"/>
  <c r="B476" i="41"/>
  <c r="L709" i="41"/>
  <c r="G709" i="41"/>
  <c r="D709" i="41"/>
  <c r="B709" i="41"/>
  <c r="L269" i="41"/>
  <c r="B269" i="41"/>
  <c r="G269" i="41"/>
  <c r="D269" i="41"/>
  <c r="E228" i="41"/>
  <c r="H228" i="41"/>
  <c r="I228" i="41"/>
  <c r="J228" i="41"/>
  <c r="K228" i="41"/>
  <c r="K21" i="41"/>
  <c r="E21" i="41"/>
  <c r="I21" i="41"/>
  <c r="H21" i="41"/>
  <c r="J21" i="41"/>
  <c r="J78" i="41"/>
  <c r="I78" i="41"/>
  <c r="H78" i="41"/>
  <c r="K78" i="41"/>
  <c r="E78" i="41"/>
  <c r="H56" i="41"/>
  <c r="K56" i="41"/>
  <c r="I56" i="41"/>
  <c r="E56" i="41"/>
  <c r="J56" i="41"/>
  <c r="K595" i="41"/>
  <c r="I595" i="41"/>
  <c r="H595" i="41"/>
  <c r="E595" i="41"/>
  <c r="J595" i="41"/>
  <c r="H609" i="41"/>
  <c r="K609" i="41"/>
  <c r="I609" i="41"/>
  <c r="E609" i="41"/>
  <c r="J609" i="41"/>
  <c r="K409" i="41" l="1"/>
  <c r="I389" i="41"/>
  <c r="J389" i="41"/>
  <c r="H389" i="41"/>
  <c r="J625" i="41"/>
  <c r="I18" i="39"/>
  <c r="J517" i="41"/>
  <c r="J18" i="39"/>
  <c r="J312" i="41"/>
  <c r="H669" i="41"/>
  <c r="H625" i="41"/>
  <c r="H507" i="41"/>
  <c r="E15" i="41"/>
  <c r="J261" i="41"/>
  <c r="J98" i="41"/>
  <c r="J383" i="41"/>
  <c r="K41" i="41"/>
  <c r="J409" i="41"/>
  <c r="K625" i="41"/>
  <c r="K98" i="41"/>
  <c r="J41" i="41"/>
  <c r="K642" i="41"/>
  <c r="H536" i="41"/>
  <c r="E409" i="41"/>
  <c r="J308" i="41"/>
  <c r="H642" i="41"/>
  <c r="E226" i="41"/>
  <c r="H98" i="41"/>
  <c r="H323" i="41"/>
  <c r="H275" i="41"/>
  <c r="K383" i="41"/>
  <c r="K489" i="41"/>
  <c r="J140" i="41"/>
  <c r="I428" i="41"/>
  <c r="H41" i="41"/>
  <c r="E94" i="41"/>
  <c r="H226" i="41"/>
  <c r="E531" i="41"/>
  <c r="E98" i="41"/>
  <c r="K323" i="41"/>
  <c r="E383" i="41"/>
  <c r="H489" i="41"/>
  <c r="E140" i="41"/>
  <c r="K681" i="41"/>
  <c r="E41" i="41"/>
  <c r="H94" i="41"/>
  <c r="I642" i="41"/>
  <c r="E669" i="41"/>
  <c r="I226" i="41"/>
  <c r="J16" i="39"/>
  <c r="J669" i="41"/>
  <c r="K226" i="41"/>
  <c r="H531" i="41"/>
  <c r="J428" i="41"/>
  <c r="E681" i="41"/>
  <c r="E642" i="41"/>
  <c r="I669" i="41"/>
  <c r="E424" i="41"/>
  <c r="H332" i="41"/>
  <c r="J570" i="41"/>
  <c r="J24" i="39"/>
  <c r="E570" i="41"/>
  <c r="I30" i="39"/>
  <c r="H316" i="41"/>
  <c r="K475" i="41"/>
  <c r="J26" i="39"/>
  <c r="E430" i="41"/>
  <c r="H672" i="41"/>
  <c r="K16" i="29"/>
  <c r="J511" i="41"/>
  <c r="H13" i="41"/>
  <c r="K316" i="41"/>
  <c r="J111" i="41"/>
  <c r="J92" i="41"/>
  <c r="E656" i="41"/>
  <c r="K392" i="41"/>
  <c r="K574" i="41"/>
  <c r="I657" i="41"/>
  <c r="J267" i="41"/>
  <c r="J691" i="41"/>
  <c r="J322" i="41"/>
  <c r="J345" i="41"/>
  <c r="E392" i="41"/>
  <c r="K656" i="41"/>
  <c r="J255" i="41"/>
  <c r="H639" i="41"/>
  <c r="E350" i="41"/>
  <c r="I424" i="41"/>
  <c r="E657" i="41"/>
  <c r="K322" i="41"/>
  <c r="J455" i="41"/>
  <c r="J37" i="41"/>
  <c r="K395" i="41"/>
  <c r="E423" i="41"/>
  <c r="J395" i="41"/>
  <c r="K294" i="41"/>
  <c r="H282" i="41"/>
  <c r="H585" i="41"/>
  <c r="H570" i="41"/>
  <c r="J15" i="41"/>
  <c r="K15" i="41"/>
  <c r="J30" i="39"/>
  <c r="H511" i="41"/>
  <c r="J204" i="41"/>
  <c r="K13" i="41"/>
  <c r="J13" i="41"/>
  <c r="J316" i="41"/>
  <c r="J475" i="41"/>
  <c r="K707" i="41"/>
  <c r="H375" i="41"/>
  <c r="I459" i="41"/>
  <c r="J507" i="41"/>
  <c r="I507" i="41"/>
  <c r="I238" i="41"/>
  <c r="I26" i="39"/>
  <c r="I423" i="41"/>
  <c r="J423" i="41"/>
  <c r="K92" i="41"/>
  <c r="K672" i="41"/>
  <c r="H395" i="41"/>
  <c r="E261" i="41"/>
  <c r="J294" i="41"/>
  <c r="K282" i="41"/>
  <c r="I585" i="41"/>
  <c r="K570" i="41"/>
  <c r="I15" i="41"/>
  <c r="E511" i="41"/>
  <c r="E204" i="41"/>
  <c r="I13" i="41"/>
  <c r="E316" i="41"/>
  <c r="H475" i="41"/>
  <c r="H312" i="41"/>
  <c r="H459" i="41"/>
  <c r="K507" i="41"/>
  <c r="H342" i="41"/>
  <c r="J311" i="41"/>
  <c r="I353" i="41"/>
  <c r="K423" i="41"/>
  <c r="E92" i="41"/>
  <c r="H92" i="41"/>
  <c r="E672" i="41"/>
  <c r="E395" i="41"/>
  <c r="I261" i="41"/>
  <c r="H261" i="41"/>
  <c r="E294" i="41"/>
  <c r="J282" i="41"/>
  <c r="I332" i="41"/>
  <c r="J585" i="41"/>
  <c r="I511" i="41"/>
  <c r="I204" i="41"/>
  <c r="I136" i="41"/>
  <c r="E111" i="41"/>
  <c r="I312" i="41"/>
  <c r="H259" i="41"/>
  <c r="E311" i="41"/>
  <c r="K353" i="41"/>
  <c r="J672" i="41"/>
  <c r="I294" i="41"/>
  <c r="I282" i="41"/>
  <c r="K616" i="41"/>
  <c r="J402" i="41"/>
  <c r="I392" i="41"/>
  <c r="J656" i="41"/>
  <c r="J657" i="41"/>
  <c r="H255" i="41"/>
  <c r="E322" i="41"/>
  <c r="I19" i="39"/>
  <c r="E267" i="41"/>
  <c r="E455" i="41"/>
  <c r="H345" i="41"/>
  <c r="K299" i="41"/>
  <c r="H574" i="41"/>
  <c r="E193" i="41"/>
  <c r="J281" i="41"/>
  <c r="I45" i="41"/>
  <c r="H37" i="41"/>
  <c r="J350" i="41"/>
  <c r="H424" i="41"/>
  <c r="H392" i="41"/>
  <c r="I656" i="41"/>
  <c r="K657" i="41"/>
  <c r="I255" i="41"/>
  <c r="I322" i="41"/>
  <c r="I16" i="39"/>
  <c r="J19" i="39"/>
  <c r="H267" i="41"/>
  <c r="H455" i="41"/>
  <c r="E345" i="41"/>
  <c r="E299" i="41"/>
  <c r="I574" i="41"/>
  <c r="H193" i="41"/>
  <c r="E281" i="41"/>
  <c r="K45" i="41"/>
  <c r="K247" i="41"/>
  <c r="I544" i="41"/>
  <c r="H350" i="41"/>
  <c r="J480" i="41"/>
  <c r="I267" i="41"/>
  <c r="K455" i="41"/>
  <c r="K345" i="41"/>
  <c r="I299" i="41"/>
  <c r="E574" i="41"/>
  <c r="J45" i="41"/>
  <c r="H691" i="41"/>
  <c r="K350" i="41"/>
  <c r="H600" i="41"/>
  <c r="H480" i="41"/>
  <c r="I593" i="41"/>
  <c r="E150" i="41"/>
  <c r="I24" i="39"/>
  <c r="E26" i="41"/>
  <c r="I517" i="41"/>
  <c r="E588" i="41"/>
  <c r="J18" i="41"/>
  <c r="I402" i="41"/>
  <c r="E260" i="41"/>
  <c r="K462" i="41"/>
  <c r="K339" i="41"/>
  <c r="E527" i="41"/>
  <c r="E472" i="41"/>
  <c r="K424" i="41"/>
  <c r="K255" i="41"/>
  <c r="J299" i="41"/>
  <c r="K281" i="41"/>
  <c r="E639" i="41"/>
  <c r="K691" i="41"/>
  <c r="J247" i="41"/>
  <c r="E558" i="41"/>
  <c r="I600" i="41"/>
  <c r="H65" i="41"/>
  <c r="K480" i="41"/>
  <c r="I177" i="41"/>
  <c r="E544" i="41"/>
  <c r="J558" i="41"/>
  <c r="K600" i="41"/>
  <c r="E65" i="41"/>
  <c r="E177" i="41"/>
  <c r="K510" i="41"/>
  <c r="J17" i="39"/>
  <c r="I403" i="41"/>
  <c r="E387" i="41"/>
  <c r="K150" i="41"/>
  <c r="E621" i="41"/>
  <c r="J593" i="41"/>
  <c r="E616" i="41"/>
  <c r="E462" i="41"/>
  <c r="J339" i="41"/>
  <c r="I616" i="41"/>
  <c r="H387" i="41"/>
  <c r="J182" i="41"/>
  <c r="H339" i="41"/>
  <c r="I588" i="41"/>
  <c r="H564" i="41"/>
  <c r="I527" i="41"/>
  <c r="E517" i="41"/>
  <c r="H593" i="41"/>
  <c r="K593" i="41"/>
  <c r="H150" i="41"/>
  <c r="J150" i="41"/>
  <c r="H527" i="41"/>
  <c r="H621" i="41"/>
  <c r="K517" i="41"/>
  <c r="H402" i="41"/>
  <c r="K260" i="41"/>
  <c r="J588" i="41"/>
  <c r="E564" i="41"/>
  <c r="J527" i="41"/>
  <c r="I607" i="41"/>
  <c r="I147" i="41"/>
  <c r="J510" i="41"/>
  <c r="H510" i="41"/>
  <c r="I182" i="41"/>
  <c r="I462" i="41"/>
  <c r="K26" i="41"/>
  <c r="I472" i="41"/>
  <c r="J607" i="41"/>
  <c r="H18" i="41"/>
  <c r="E466" i="41"/>
  <c r="E550" i="41"/>
  <c r="E451" i="41"/>
  <c r="E529" i="41"/>
  <c r="I18" i="41"/>
  <c r="J324" i="41"/>
  <c r="I35" i="41"/>
  <c r="H550" i="41"/>
  <c r="E627" i="41"/>
  <c r="K293" i="41"/>
  <c r="I27" i="41"/>
  <c r="K141" i="41"/>
  <c r="J621" i="41"/>
  <c r="K472" i="41"/>
  <c r="K529" i="41"/>
  <c r="H324" i="41"/>
  <c r="J147" i="41"/>
  <c r="I141" i="41"/>
  <c r="H451" i="41"/>
  <c r="J193" i="41"/>
  <c r="I281" i="41"/>
  <c r="J639" i="41"/>
  <c r="E45" i="41"/>
  <c r="E691" i="41"/>
  <c r="K37" i="41"/>
  <c r="E37" i="41"/>
  <c r="E247" i="41"/>
  <c r="K544" i="41"/>
  <c r="K558" i="41"/>
  <c r="I193" i="41"/>
  <c r="K639" i="41"/>
  <c r="I247" i="41"/>
  <c r="H544" i="41"/>
  <c r="I558" i="41"/>
  <c r="E600" i="41"/>
  <c r="J65" i="41"/>
  <c r="K65" i="41"/>
  <c r="I480" i="41"/>
  <c r="I536" i="41"/>
  <c r="H177" i="41"/>
  <c r="H17" i="39"/>
  <c r="H38" i="39" s="1"/>
  <c r="E305" i="41"/>
  <c r="I531" i="41"/>
  <c r="H409" i="41"/>
  <c r="E510" i="41"/>
  <c r="J254" i="41"/>
  <c r="K177" i="41"/>
  <c r="J531" i="41"/>
  <c r="E403" i="41"/>
  <c r="H477" i="41"/>
  <c r="I477" i="41"/>
  <c r="E148" i="41"/>
  <c r="I471" i="41"/>
  <c r="H403" i="41"/>
  <c r="I451" i="41"/>
  <c r="H141" i="41"/>
  <c r="J141" i="41"/>
  <c r="J31" i="41"/>
  <c r="J293" i="41"/>
  <c r="E425" i="41"/>
  <c r="K403" i="41"/>
  <c r="K164" i="41"/>
  <c r="E556" i="41"/>
  <c r="J451" i="41"/>
  <c r="K355" i="41"/>
  <c r="K79" i="41"/>
  <c r="J640" i="41"/>
  <c r="I254" i="41"/>
  <c r="H667" i="41"/>
  <c r="K565" i="41"/>
  <c r="K477" i="41"/>
  <c r="K89" i="41"/>
  <c r="E477" i="41"/>
  <c r="H254" i="41"/>
  <c r="E667" i="41"/>
  <c r="K254" i="41"/>
  <c r="I305" i="41"/>
  <c r="I11" i="54"/>
  <c r="H11" i="54"/>
  <c r="C12" i="54"/>
  <c r="D11" i="54"/>
  <c r="K667" i="41"/>
  <c r="I667" i="41"/>
  <c r="J305" i="41"/>
  <c r="H305" i="41"/>
  <c r="H260" i="41"/>
  <c r="H616" i="41"/>
  <c r="J387" i="41"/>
  <c r="E182" i="41"/>
  <c r="H462" i="41"/>
  <c r="I339" i="41"/>
  <c r="H588" i="41"/>
  <c r="K564" i="41"/>
  <c r="J564" i="41"/>
  <c r="H26" i="41"/>
  <c r="K621" i="41"/>
  <c r="H472" i="41"/>
  <c r="K607" i="41"/>
  <c r="E607" i="41"/>
  <c r="I529" i="41"/>
  <c r="E18" i="41"/>
  <c r="I324" i="41"/>
  <c r="H147" i="41"/>
  <c r="K466" i="41"/>
  <c r="H466" i="41"/>
  <c r="H311" i="41"/>
  <c r="J550" i="41"/>
  <c r="J627" i="41"/>
  <c r="K148" i="41"/>
  <c r="E293" i="41"/>
  <c r="E471" i="41"/>
  <c r="J164" i="41"/>
  <c r="I191" i="41"/>
  <c r="H191" i="41"/>
  <c r="H355" i="41"/>
  <c r="J191" i="41"/>
  <c r="K402" i="41"/>
  <c r="I260" i="41"/>
  <c r="I387" i="41"/>
  <c r="K182" i="41"/>
  <c r="J26" i="41"/>
  <c r="J529" i="41"/>
  <c r="K324" i="41"/>
  <c r="E147" i="41"/>
  <c r="I466" i="41"/>
  <c r="I311" i="41"/>
  <c r="J19" i="29"/>
  <c r="I550" i="41"/>
  <c r="K627" i="41"/>
  <c r="H627" i="41"/>
  <c r="H31" i="41"/>
  <c r="I148" i="41"/>
  <c r="H293" i="41"/>
  <c r="I390" i="41"/>
  <c r="K191" i="41"/>
  <c r="J355" i="41"/>
  <c r="E355" i="41"/>
  <c r="E35" i="41"/>
  <c r="E31" i="41"/>
  <c r="J148" i="41"/>
  <c r="H425" i="41"/>
  <c r="J471" i="41"/>
  <c r="E27" i="41"/>
  <c r="H164" i="41"/>
  <c r="E390" i="41"/>
  <c r="K306" i="41"/>
  <c r="E520" i="41"/>
  <c r="H418" i="41"/>
  <c r="K516" i="41"/>
  <c r="K35" i="41"/>
  <c r="J35" i="41"/>
  <c r="K31" i="41"/>
  <c r="J425" i="41"/>
  <c r="K471" i="41"/>
  <c r="J27" i="41"/>
  <c r="H27" i="41"/>
  <c r="E164" i="41"/>
  <c r="J390" i="41"/>
  <c r="H19" i="29"/>
  <c r="I425" i="41"/>
  <c r="H390" i="41"/>
  <c r="J337" i="41"/>
  <c r="J556" i="41"/>
  <c r="I556" i="41"/>
  <c r="E337" i="41"/>
  <c r="H337" i="41"/>
  <c r="K337" i="41"/>
  <c r="H556" i="41"/>
  <c r="E60" i="41"/>
  <c r="H89" i="41"/>
  <c r="K60" i="41"/>
  <c r="J89" i="41"/>
  <c r="I89" i="41"/>
  <c r="H60" i="41"/>
  <c r="J60" i="41"/>
  <c r="K332" i="41"/>
  <c r="J332" i="41"/>
  <c r="K585" i="41"/>
  <c r="J136" i="41"/>
  <c r="E475" i="41"/>
  <c r="I111" i="41"/>
  <c r="J707" i="41"/>
  <c r="E312" i="41"/>
  <c r="E375" i="41"/>
  <c r="I375" i="41"/>
  <c r="K259" i="41"/>
  <c r="J459" i="41"/>
  <c r="H308" i="41"/>
  <c r="E342" i="41"/>
  <c r="E238" i="41"/>
  <c r="K238" i="41"/>
  <c r="K430" i="41"/>
  <c r="J353" i="41"/>
  <c r="I565" i="41"/>
  <c r="E565" i="41"/>
  <c r="E418" i="41"/>
  <c r="I418" i="41"/>
  <c r="E79" i="41"/>
  <c r="E640" i="41"/>
  <c r="I516" i="41"/>
  <c r="E516" i="41"/>
  <c r="J306" i="41"/>
  <c r="H306" i="41"/>
  <c r="K520" i="41"/>
  <c r="H520" i="41"/>
  <c r="H204" i="41"/>
  <c r="H136" i="41"/>
  <c r="E136" i="41"/>
  <c r="K111" i="41"/>
  <c r="I707" i="41"/>
  <c r="K375" i="41"/>
  <c r="J259" i="41"/>
  <c r="I259" i="41"/>
  <c r="K459" i="41"/>
  <c r="I308" i="41"/>
  <c r="K308" i="41"/>
  <c r="K342" i="41"/>
  <c r="I342" i="41"/>
  <c r="H238" i="41"/>
  <c r="H430" i="41"/>
  <c r="I430" i="41"/>
  <c r="E353" i="41"/>
  <c r="H565" i="41"/>
  <c r="K418" i="41"/>
  <c r="I79" i="41"/>
  <c r="I640" i="41"/>
  <c r="J516" i="41"/>
  <c r="I306" i="41"/>
  <c r="J520" i="41"/>
  <c r="H707" i="41"/>
  <c r="J79" i="41"/>
  <c r="K640" i="41"/>
  <c r="K25" i="39"/>
  <c r="K21" i="39"/>
  <c r="K27" i="39"/>
  <c r="K29" i="39"/>
  <c r="K35" i="39"/>
  <c r="K34" i="39"/>
  <c r="D10" i="59"/>
  <c r="B102" i="11"/>
  <c r="I476" i="41"/>
  <c r="J476" i="41"/>
  <c r="H476" i="41"/>
  <c r="E476" i="41"/>
  <c r="K476" i="41"/>
  <c r="J340" i="41"/>
  <c r="E340" i="41"/>
  <c r="K340" i="41"/>
  <c r="I340" i="41"/>
  <c r="H340" i="41"/>
  <c r="J683" i="41"/>
  <c r="H683" i="41"/>
  <c r="E683" i="41"/>
  <c r="I683" i="41"/>
  <c r="K683" i="41"/>
  <c r="H420" i="41"/>
  <c r="I420" i="41"/>
  <c r="E420" i="41"/>
  <c r="J420" i="41"/>
  <c r="K420" i="41"/>
  <c r="E592" i="41"/>
  <c r="J592" i="41"/>
  <c r="I592" i="41"/>
  <c r="H592" i="41"/>
  <c r="K592" i="41"/>
  <c r="H701" i="41"/>
  <c r="I701" i="41"/>
  <c r="K701" i="41"/>
  <c r="J701" i="41"/>
  <c r="E701" i="41"/>
  <c r="J431" i="41"/>
  <c r="H431" i="41"/>
  <c r="K431" i="41"/>
  <c r="E431" i="41"/>
  <c r="I431" i="41"/>
  <c r="H619" i="41"/>
  <c r="I619" i="41"/>
  <c r="E619" i="41"/>
  <c r="K619" i="41"/>
  <c r="J619" i="41"/>
  <c r="E354" i="41"/>
  <c r="H354" i="41"/>
  <c r="I354" i="41"/>
  <c r="J354" i="41"/>
  <c r="K354" i="41"/>
  <c r="I663" i="41"/>
  <c r="J663" i="41"/>
  <c r="H663" i="41"/>
  <c r="E663" i="41"/>
  <c r="K663" i="41"/>
  <c r="K702" i="41"/>
  <c r="J702" i="41"/>
  <c r="E702" i="41"/>
  <c r="I702" i="41"/>
  <c r="H702" i="41"/>
  <c r="H372" i="41"/>
  <c r="J372" i="41"/>
  <c r="I372" i="41"/>
  <c r="K372" i="41"/>
  <c r="E372" i="41"/>
  <c r="E577" i="41"/>
  <c r="K577" i="41"/>
  <c r="H577" i="41"/>
  <c r="I577" i="41"/>
  <c r="J577" i="41"/>
  <c r="J23" i="29"/>
  <c r="I23" i="29"/>
  <c r="H23" i="29"/>
  <c r="I60" i="29"/>
  <c r="H60" i="29"/>
  <c r="J60" i="29"/>
  <c r="E71" i="41"/>
  <c r="I71" i="41"/>
  <c r="J71" i="41"/>
  <c r="H71" i="41"/>
  <c r="K71" i="41"/>
  <c r="H142" i="41"/>
  <c r="I142" i="41"/>
  <c r="J142" i="41"/>
  <c r="E142" i="41"/>
  <c r="K142" i="41"/>
  <c r="I108" i="41"/>
  <c r="E108" i="41"/>
  <c r="J108" i="41"/>
  <c r="H108" i="41"/>
  <c r="K108" i="41"/>
  <c r="E513" i="41"/>
  <c r="I513" i="41"/>
  <c r="H513" i="41"/>
  <c r="J513" i="41"/>
  <c r="K513" i="41"/>
  <c r="I689" i="41"/>
  <c r="H689" i="41"/>
  <c r="E689" i="41"/>
  <c r="K689" i="41"/>
  <c r="J689" i="41"/>
  <c r="J329" i="41"/>
  <c r="K329" i="41"/>
  <c r="I329" i="41"/>
  <c r="E329" i="41"/>
  <c r="H329" i="41"/>
  <c r="E710" i="41"/>
  <c r="K710" i="41"/>
  <c r="J710" i="41"/>
  <c r="I710" i="41"/>
  <c r="H710" i="41"/>
  <c r="J318" i="41"/>
  <c r="E318" i="41"/>
  <c r="I318" i="41"/>
  <c r="H318" i="41"/>
  <c r="K318" i="41"/>
  <c r="J304" i="41"/>
  <c r="E304" i="41"/>
  <c r="K304" i="41"/>
  <c r="I304" i="41"/>
  <c r="H304" i="41"/>
  <c r="K693" i="41"/>
  <c r="J693" i="41"/>
  <c r="I693" i="41"/>
  <c r="H693" i="41"/>
  <c r="E693" i="41"/>
  <c r="H665" i="41"/>
  <c r="I665" i="41"/>
  <c r="E665" i="41"/>
  <c r="K665" i="41"/>
  <c r="J665" i="41"/>
  <c r="I121" i="29"/>
  <c r="J121" i="29"/>
  <c r="H121" i="29"/>
  <c r="I114" i="29"/>
  <c r="J114" i="29"/>
  <c r="H114" i="29"/>
  <c r="J113" i="29"/>
  <c r="I113" i="29"/>
  <c r="H113" i="29"/>
  <c r="E697" i="41"/>
  <c r="J697" i="41"/>
  <c r="H697" i="41"/>
  <c r="I697" i="41"/>
  <c r="K697" i="41"/>
  <c r="I474" i="41"/>
  <c r="J474" i="41"/>
  <c r="H474" i="41"/>
  <c r="K474" i="41"/>
  <c r="E474" i="41"/>
  <c r="K246" i="41"/>
  <c r="E246" i="41"/>
  <c r="I246" i="41"/>
  <c r="H246" i="41"/>
  <c r="J246" i="41"/>
  <c r="H618" i="41"/>
  <c r="E618" i="41"/>
  <c r="K618" i="41"/>
  <c r="I618" i="41"/>
  <c r="J618" i="41"/>
  <c r="H49" i="29"/>
  <c r="I49" i="29"/>
  <c r="J49" i="29"/>
  <c r="I352" i="41"/>
  <c r="E352" i="41"/>
  <c r="J352" i="41"/>
  <c r="H352" i="41"/>
  <c r="K352" i="41"/>
  <c r="K29" i="41"/>
  <c r="E29" i="41"/>
  <c r="H29" i="41"/>
  <c r="J29" i="41"/>
  <c r="I29" i="41"/>
  <c r="I202" i="41"/>
  <c r="J202" i="41"/>
  <c r="H202" i="41"/>
  <c r="K202" i="41"/>
  <c r="E202" i="41"/>
  <c r="H576" i="41"/>
  <c r="K576" i="41"/>
  <c r="J576" i="41"/>
  <c r="I576" i="41"/>
  <c r="E576" i="41"/>
  <c r="K384" i="41"/>
  <c r="I384" i="41"/>
  <c r="J384" i="41"/>
  <c r="E384" i="41"/>
  <c r="H384" i="41"/>
  <c r="E411" i="41"/>
  <c r="H411" i="41"/>
  <c r="J411" i="41"/>
  <c r="I411" i="41"/>
  <c r="K411" i="41"/>
  <c r="J421" i="41"/>
  <c r="K421" i="41"/>
  <c r="H421" i="41"/>
  <c r="E421" i="41"/>
  <c r="I421" i="41"/>
  <c r="H115" i="29"/>
  <c r="I115" i="29"/>
  <c r="J115" i="29"/>
  <c r="H65" i="29"/>
  <c r="I65" i="29"/>
  <c r="J65" i="29"/>
  <c r="I104" i="29"/>
  <c r="J104" i="29"/>
  <c r="H104" i="29"/>
  <c r="I165" i="29"/>
  <c r="H165" i="29"/>
  <c r="J165" i="29"/>
  <c r="H37" i="29"/>
  <c r="J37" i="29"/>
  <c r="I37" i="29"/>
  <c r="E236" i="41"/>
  <c r="K236" i="41"/>
  <c r="I236" i="41"/>
  <c r="J236" i="41"/>
  <c r="H236" i="41"/>
  <c r="E198" i="41"/>
  <c r="I198" i="41"/>
  <c r="J198" i="41"/>
  <c r="K198" i="41"/>
  <c r="H198" i="41"/>
  <c r="E106" i="41"/>
  <c r="J106" i="41"/>
  <c r="K106" i="41"/>
  <c r="H106" i="41"/>
  <c r="I106" i="41"/>
  <c r="K185" i="41"/>
  <c r="J185" i="41"/>
  <c r="H185" i="41"/>
  <c r="I185" i="41"/>
  <c r="E185" i="41"/>
  <c r="H42" i="29"/>
  <c r="I42" i="29"/>
  <c r="J42" i="29"/>
  <c r="H33" i="29"/>
  <c r="J33" i="29"/>
  <c r="I33" i="29"/>
  <c r="J135" i="29"/>
  <c r="H135" i="29"/>
  <c r="I135" i="29"/>
  <c r="E671" i="41"/>
  <c r="H671" i="41"/>
  <c r="I671" i="41"/>
  <c r="J671" i="41"/>
  <c r="K671" i="41"/>
  <c r="H649" i="41"/>
  <c r="I649" i="41"/>
  <c r="J649" i="41"/>
  <c r="E649" i="41"/>
  <c r="K649" i="41"/>
  <c r="E130" i="41"/>
  <c r="J130" i="41"/>
  <c r="K130" i="41"/>
  <c r="H130" i="41"/>
  <c r="I130" i="41"/>
  <c r="I40" i="41"/>
  <c r="K40" i="41"/>
  <c r="H40" i="41"/>
  <c r="J40" i="41"/>
  <c r="E40" i="41"/>
  <c r="J552" i="41"/>
  <c r="H552" i="41"/>
  <c r="I552" i="41"/>
  <c r="E552" i="41"/>
  <c r="K552" i="41"/>
  <c r="H34" i="41"/>
  <c r="I34" i="41"/>
  <c r="E34" i="41"/>
  <c r="J34" i="41"/>
  <c r="K34" i="41"/>
  <c r="J518" i="41"/>
  <c r="I518" i="41"/>
  <c r="H518" i="41"/>
  <c r="E518" i="41"/>
  <c r="K518" i="41"/>
  <c r="E143" i="41"/>
  <c r="H143" i="41"/>
  <c r="K143" i="41"/>
  <c r="J143" i="41"/>
  <c r="I143" i="41"/>
  <c r="J433" i="41"/>
  <c r="K433" i="41"/>
  <c r="E433" i="41"/>
  <c r="H433" i="41"/>
  <c r="I433" i="41"/>
  <c r="H64" i="29"/>
  <c r="I64" i="29"/>
  <c r="J64" i="29"/>
  <c r="K278" i="41"/>
  <c r="E278" i="41"/>
  <c r="I278" i="41"/>
  <c r="J278" i="41"/>
  <c r="H278" i="41"/>
  <c r="H284" i="41"/>
  <c r="K284" i="41"/>
  <c r="J284" i="41"/>
  <c r="I284" i="41"/>
  <c r="E284" i="41"/>
  <c r="E444" i="41"/>
  <c r="J444" i="41"/>
  <c r="K444" i="41"/>
  <c r="I444" i="41"/>
  <c r="H444" i="41"/>
  <c r="E582" i="41"/>
  <c r="H582" i="41"/>
  <c r="K582" i="41"/>
  <c r="J582" i="41"/>
  <c r="I582" i="41"/>
  <c r="J581" i="41"/>
  <c r="E581" i="41"/>
  <c r="I581" i="41"/>
  <c r="K581" i="41"/>
  <c r="H581" i="41"/>
  <c r="K578" i="41"/>
  <c r="I578" i="41"/>
  <c r="J578" i="41"/>
  <c r="H578" i="41"/>
  <c r="E578" i="41"/>
  <c r="J613" i="41"/>
  <c r="K613" i="41"/>
  <c r="I613" i="41"/>
  <c r="E613" i="41"/>
  <c r="H613" i="41"/>
  <c r="K268" i="41"/>
  <c r="J268" i="41"/>
  <c r="E268" i="41"/>
  <c r="H268" i="41"/>
  <c r="I268" i="41"/>
  <c r="H487" i="41"/>
  <c r="I487" i="41"/>
  <c r="J487" i="41"/>
  <c r="E487" i="41"/>
  <c r="K487" i="41"/>
  <c r="I157" i="29"/>
  <c r="H157" i="29"/>
  <c r="J157" i="29"/>
  <c r="H70" i="29"/>
  <c r="J70" i="29"/>
  <c r="I70" i="29"/>
  <c r="I34" i="29"/>
  <c r="J34" i="29"/>
  <c r="H34" i="29"/>
  <c r="J103" i="29"/>
  <c r="I103" i="29"/>
  <c r="H103" i="29"/>
  <c r="H141" i="29"/>
  <c r="J141" i="29"/>
  <c r="I141" i="29"/>
  <c r="I50" i="29"/>
  <c r="H50" i="29"/>
  <c r="J50" i="29"/>
  <c r="E631" i="41"/>
  <c r="J631" i="41"/>
  <c r="K631" i="41"/>
  <c r="I631" i="41"/>
  <c r="H631" i="41"/>
  <c r="H240" i="41"/>
  <c r="I240" i="41"/>
  <c r="E240" i="41"/>
  <c r="K240" i="41"/>
  <c r="J240" i="41"/>
  <c r="E165" i="41"/>
  <c r="K165" i="41"/>
  <c r="J165" i="41"/>
  <c r="I165" i="41"/>
  <c r="H165" i="41"/>
  <c r="H75" i="41"/>
  <c r="J75" i="41"/>
  <c r="E75" i="41"/>
  <c r="I75" i="41"/>
  <c r="K75" i="41"/>
  <c r="K64" i="41"/>
  <c r="J64" i="41"/>
  <c r="I64" i="41"/>
  <c r="E64" i="41"/>
  <c r="H64" i="41"/>
  <c r="K190" i="41"/>
  <c r="E190" i="41"/>
  <c r="H190" i="41"/>
  <c r="J190" i="41"/>
  <c r="I190" i="41"/>
  <c r="K28" i="41"/>
  <c r="I28" i="41"/>
  <c r="H28" i="41"/>
  <c r="E28" i="41"/>
  <c r="J28" i="41"/>
  <c r="K90" i="41"/>
  <c r="H90" i="41"/>
  <c r="I90" i="41"/>
  <c r="E90" i="41"/>
  <c r="J90" i="41"/>
  <c r="I257" i="41"/>
  <c r="H257" i="41"/>
  <c r="E257" i="41"/>
  <c r="K257" i="41"/>
  <c r="J257" i="41"/>
  <c r="I419" i="41"/>
  <c r="E419" i="41"/>
  <c r="J419" i="41"/>
  <c r="H419" i="41"/>
  <c r="K419" i="41"/>
  <c r="E628" i="41"/>
  <c r="J628" i="41"/>
  <c r="H628" i="41"/>
  <c r="I628" i="41"/>
  <c r="K628" i="41"/>
  <c r="J106" i="29"/>
  <c r="H106" i="29"/>
  <c r="I106" i="29"/>
  <c r="I147" i="29"/>
  <c r="H147" i="29"/>
  <c r="J147" i="29"/>
  <c r="E601" i="41"/>
  <c r="K601" i="41"/>
  <c r="H601" i="41"/>
  <c r="I601" i="41"/>
  <c r="J601" i="41"/>
  <c r="I38" i="41"/>
  <c r="E38" i="41"/>
  <c r="H38" i="41"/>
  <c r="J38" i="41"/>
  <c r="K38" i="41"/>
  <c r="K195" i="41"/>
  <c r="H195" i="41"/>
  <c r="J195" i="41"/>
  <c r="I195" i="41"/>
  <c r="E195" i="41"/>
  <c r="K525" i="41"/>
  <c r="E525" i="41"/>
  <c r="J525" i="41"/>
  <c r="H525" i="41"/>
  <c r="I525" i="41"/>
  <c r="K526" i="41"/>
  <c r="E526" i="41"/>
  <c r="H526" i="41"/>
  <c r="I526" i="41"/>
  <c r="J526" i="41"/>
  <c r="H449" i="41"/>
  <c r="I449" i="41"/>
  <c r="E449" i="41"/>
  <c r="K449" i="41"/>
  <c r="J449" i="41"/>
  <c r="H19" i="41"/>
  <c r="K19" i="41"/>
  <c r="I19" i="41"/>
  <c r="J19" i="41"/>
  <c r="E19" i="41"/>
  <c r="I32" i="41"/>
  <c r="H32" i="41"/>
  <c r="K32" i="41"/>
  <c r="J32" i="41"/>
  <c r="E32" i="41"/>
  <c r="E407" i="41"/>
  <c r="H407" i="41"/>
  <c r="I407" i="41"/>
  <c r="J407" i="41"/>
  <c r="K407" i="41"/>
  <c r="J133" i="29"/>
  <c r="I133" i="29"/>
  <c r="H133" i="29"/>
  <c r="H24" i="29"/>
  <c r="J24" i="29"/>
  <c r="I24" i="29"/>
  <c r="H137" i="29"/>
  <c r="J137" i="29"/>
  <c r="I137" i="29"/>
  <c r="I135" i="41"/>
  <c r="E135" i="41"/>
  <c r="J135" i="41"/>
  <c r="K135" i="41"/>
  <c r="H135" i="41"/>
  <c r="J611" i="41"/>
  <c r="E611" i="41"/>
  <c r="K611" i="41"/>
  <c r="H611" i="41"/>
  <c r="I611" i="41"/>
  <c r="H101" i="41"/>
  <c r="J101" i="41"/>
  <c r="I101" i="41"/>
  <c r="K101" i="41"/>
  <c r="E101" i="41"/>
  <c r="J436" i="41"/>
  <c r="K436" i="41"/>
  <c r="I436" i="41"/>
  <c r="E436" i="41"/>
  <c r="H436" i="41"/>
  <c r="I321" i="41"/>
  <c r="E321" i="41"/>
  <c r="K321" i="41"/>
  <c r="J321" i="41"/>
  <c r="H321" i="41"/>
  <c r="J150" i="29"/>
  <c r="I150" i="29"/>
  <c r="H150" i="29"/>
  <c r="K533" i="41"/>
  <c r="H533" i="41"/>
  <c r="J533" i="41"/>
  <c r="I533" i="41"/>
  <c r="E533" i="41"/>
  <c r="E457" i="41"/>
  <c r="K457" i="41"/>
  <c r="H457" i="41"/>
  <c r="I457" i="41"/>
  <c r="J457" i="41"/>
  <c r="I646" i="41"/>
  <c r="K646" i="41"/>
  <c r="H646" i="41"/>
  <c r="E646" i="41"/>
  <c r="J646" i="41"/>
  <c r="K644" i="41"/>
  <c r="I644" i="41"/>
  <c r="J644" i="41"/>
  <c r="H644" i="41"/>
  <c r="E644" i="41"/>
  <c r="J307" i="41"/>
  <c r="H307" i="41"/>
  <c r="I307" i="41"/>
  <c r="K307" i="41"/>
  <c r="E307" i="41"/>
  <c r="H673" i="41"/>
  <c r="J673" i="41"/>
  <c r="K673" i="41"/>
  <c r="E673" i="41"/>
  <c r="I673" i="41"/>
  <c r="H272" i="41"/>
  <c r="J272" i="41"/>
  <c r="E272" i="41"/>
  <c r="K272" i="41"/>
  <c r="I272" i="41"/>
  <c r="I82" i="29"/>
  <c r="J82" i="29"/>
  <c r="H82" i="29"/>
  <c r="J86" i="41"/>
  <c r="E86" i="41"/>
  <c r="I86" i="41"/>
  <c r="H86" i="41"/>
  <c r="K86" i="41"/>
  <c r="I66" i="41"/>
  <c r="H66" i="41"/>
  <c r="E66" i="41"/>
  <c r="K66" i="41"/>
  <c r="J66" i="41"/>
  <c r="K112" i="41"/>
  <c r="E112" i="41"/>
  <c r="H112" i="41"/>
  <c r="J112" i="41"/>
  <c r="I112" i="41"/>
  <c r="I482" i="41"/>
  <c r="E482" i="41"/>
  <c r="J482" i="41"/>
  <c r="H482" i="41"/>
  <c r="K482" i="41"/>
  <c r="H88" i="29"/>
  <c r="J88" i="29"/>
  <c r="I88" i="29"/>
  <c r="I560" i="41"/>
  <c r="E560" i="41"/>
  <c r="J560" i="41"/>
  <c r="K560" i="41"/>
  <c r="H560" i="41"/>
  <c r="J122" i="41"/>
  <c r="K122" i="41"/>
  <c r="H122" i="41"/>
  <c r="I122" i="41"/>
  <c r="E122" i="41"/>
  <c r="K249" i="41"/>
  <c r="E249" i="41"/>
  <c r="I249" i="41"/>
  <c r="J249" i="41"/>
  <c r="H249" i="41"/>
  <c r="H551" i="41"/>
  <c r="I551" i="41"/>
  <c r="E551" i="41"/>
  <c r="J551" i="41"/>
  <c r="K551" i="41"/>
  <c r="K263" i="41"/>
  <c r="H263" i="41"/>
  <c r="I263" i="41"/>
  <c r="J263" i="41"/>
  <c r="E263" i="41"/>
  <c r="K183" i="41"/>
  <c r="J183" i="41"/>
  <c r="I183" i="41"/>
  <c r="E183" i="41"/>
  <c r="H183" i="41"/>
  <c r="E25" i="41"/>
  <c r="H25" i="41"/>
  <c r="J25" i="41"/>
  <c r="I25" i="41"/>
  <c r="K25" i="41"/>
  <c r="E696" i="41"/>
  <c r="K696" i="41"/>
  <c r="J696" i="41"/>
  <c r="I696" i="41"/>
  <c r="H696" i="41"/>
  <c r="I53" i="41"/>
  <c r="H53" i="41"/>
  <c r="E53" i="41"/>
  <c r="J53" i="41"/>
  <c r="K53" i="41"/>
  <c r="J41" i="29"/>
  <c r="I41" i="29"/>
  <c r="H41" i="29"/>
  <c r="H151" i="29"/>
  <c r="J151" i="29"/>
  <c r="I151" i="29"/>
  <c r="K633" i="41"/>
  <c r="J633" i="41"/>
  <c r="E633" i="41"/>
  <c r="I633" i="41"/>
  <c r="H633" i="41"/>
  <c r="J77" i="41"/>
  <c r="H77" i="41"/>
  <c r="E77" i="41"/>
  <c r="K77" i="41"/>
  <c r="I77" i="41"/>
  <c r="E313" i="41"/>
  <c r="I313" i="41"/>
  <c r="J313" i="41"/>
  <c r="K313" i="41"/>
  <c r="H313" i="41"/>
  <c r="I276" i="41"/>
  <c r="H276" i="41"/>
  <c r="E276" i="41"/>
  <c r="J276" i="41"/>
  <c r="K276" i="41"/>
  <c r="J63" i="41"/>
  <c r="E63" i="41"/>
  <c r="I63" i="41"/>
  <c r="K63" i="41"/>
  <c r="H63" i="41"/>
  <c r="K200" i="41"/>
  <c r="J200" i="41"/>
  <c r="I200" i="41"/>
  <c r="E200" i="41"/>
  <c r="H200" i="41"/>
  <c r="H522" i="41"/>
  <c r="E522" i="41"/>
  <c r="J522" i="41"/>
  <c r="I522" i="41"/>
  <c r="K522" i="41"/>
  <c r="K61" i="41"/>
  <c r="E61" i="41"/>
  <c r="J61" i="41"/>
  <c r="H61" i="41"/>
  <c r="I61" i="41"/>
  <c r="I160" i="41"/>
  <c r="J160" i="41"/>
  <c r="K160" i="41"/>
  <c r="E160" i="41"/>
  <c r="H160" i="41"/>
  <c r="I317" i="41"/>
  <c r="E317" i="41"/>
  <c r="K317" i="41"/>
  <c r="H317" i="41"/>
  <c r="J317" i="41"/>
  <c r="H541" i="41"/>
  <c r="E541" i="41"/>
  <c r="I541" i="41"/>
  <c r="K541" i="41"/>
  <c r="J541" i="41"/>
  <c r="J138" i="29"/>
  <c r="H138" i="29"/>
  <c r="I138" i="29"/>
  <c r="H149" i="29"/>
  <c r="I149" i="29"/>
  <c r="J149" i="29"/>
  <c r="E149" i="41"/>
  <c r="I149" i="41"/>
  <c r="J149" i="41"/>
  <c r="K149" i="41"/>
  <c r="H149" i="41"/>
  <c r="H485" i="41"/>
  <c r="K485" i="41"/>
  <c r="I485" i="41"/>
  <c r="J485" i="41"/>
  <c r="E485" i="41"/>
  <c r="J85" i="41"/>
  <c r="H85" i="41"/>
  <c r="K85" i="41"/>
  <c r="I85" i="41"/>
  <c r="E85" i="41"/>
  <c r="J573" i="41"/>
  <c r="H573" i="41"/>
  <c r="E573" i="41"/>
  <c r="K573" i="41"/>
  <c r="I573" i="41"/>
  <c r="I68" i="41"/>
  <c r="K68" i="41"/>
  <c r="H68" i="41"/>
  <c r="J68" i="41"/>
  <c r="E68" i="41"/>
  <c r="K362" i="41"/>
  <c r="H362" i="41"/>
  <c r="I362" i="41"/>
  <c r="E362" i="41"/>
  <c r="J362" i="41"/>
  <c r="K292" i="41"/>
  <c r="J292" i="41"/>
  <c r="I292" i="41"/>
  <c r="E292" i="41"/>
  <c r="H292" i="41"/>
  <c r="H63" i="29"/>
  <c r="J63" i="29"/>
  <c r="I63" i="29"/>
  <c r="I154" i="41"/>
  <c r="E154" i="41"/>
  <c r="K154" i="41"/>
  <c r="H154" i="41"/>
  <c r="J154" i="41"/>
  <c r="H652" i="41"/>
  <c r="K652" i="41"/>
  <c r="I652" i="41"/>
  <c r="E652" i="41"/>
  <c r="J652" i="41"/>
  <c r="E269" i="41"/>
  <c r="I269" i="41"/>
  <c r="J269" i="41"/>
  <c r="K269" i="41"/>
  <c r="H269" i="41"/>
  <c r="E470" i="41"/>
  <c r="K470" i="41"/>
  <c r="J470" i="41"/>
  <c r="I470" i="41"/>
  <c r="H470" i="41"/>
  <c r="K270" i="41"/>
  <c r="J270" i="41"/>
  <c r="H270" i="41"/>
  <c r="I270" i="41"/>
  <c r="E270" i="41"/>
  <c r="I265" i="41"/>
  <c r="E265" i="41"/>
  <c r="K265" i="41"/>
  <c r="J265" i="41"/>
  <c r="H265" i="41"/>
  <c r="I36" i="41"/>
  <c r="E36" i="41"/>
  <c r="H36" i="41"/>
  <c r="K36" i="41"/>
  <c r="J36" i="41"/>
  <c r="H651" i="41"/>
  <c r="I651" i="41"/>
  <c r="K651" i="41"/>
  <c r="J651" i="41"/>
  <c r="E651" i="41"/>
  <c r="I415" i="41"/>
  <c r="J415" i="41"/>
  <c r="E415" i="41"/>
  <c r="H415" i="41"/>
  <c r="K415" i="41"/>
  <c r="J110" i="41"/>
  <c r="H110" i="41"/>
  <c r="I110" i="41"/>
  <c r="E110" i="41"/>
  <c r="K110" i="41"/>
  <c r="K435" i="41"/>
  <c r="E435" i="41"/>
  <c r="J435" i="41"/>
  <c r="H435" i="41"/>
  <c r="I435" i="41"/>
  <c r="K54" i="41"/>
  <c r="E54" i="41"/>
  <c r="J54" i="41"/>
  <c r="H54" i="41"/>
  <c r="I54" i="41"/>
  <c r="H47" i="29"/>
  <c r="I47" i="29"/>
  <c r="J47" i="29"/>
  <c r="H54" i="29"/>
  <c r="I54" i="29"/>
  <c r="J54" i="29"/>
  <c r="H129" i="29"/>
  <c r="J129" i="29"/>
  <c r="I129" i="29"/>
  <c r="J692" i="41"/>
  <c r="K692" i="41"/>
  <c r="H692" i="41"/>
  <c r="E692" i="41"/>
  <c r="I692" i="41"/>
  <c r="K24" i="41"/>
  <c r="I24" i="41"/>
  <c r="E24" i="41"/>
  <c r="H24" i="41"/>
  <c r="J24" i="41"/>
  <c r="J163" i="29"/>
  <c r="H163" i="29"/>
  <c r="I163" i="29"/>
  <c r="J77" i="29"/>
  <c r="H77" i="29"/>
  <c r="I77" i="29"/>
  <c r="H153" i="41"/>
  <c r="K153" i="41"/>
  <c r="E153" i="41"/>
  <c r="J153" i="41"/>
  <c r="I153" i="41"/>
  <c r="J398" i="41"/>
  <c r="I398" i="41"/>
  <c r="H398" i="41"/>
  <c r="E398" i="41"/>
  <c r="K398" i="41"/>
  <c r="H465" i="41"/>
  <c r="J465" i="41"/>
  <c r="E465" i="41"/>
  <c r="I465" i="41"/>
  <c r="K465" i="41"/>
  <c r="H197" i="41"/>
  <c r="K197" i="41"/>
  <c r="J197" i="41"/>
  <c r="E197" i="41"/>
  <c r="I197" i="41"/>
  <c r="J443" i="41"/>
  <c r="I443" i="41"/>
  <c r="K443" i="41"/>
  <c r="H443" i="41"/>
  <c r="E443" i="41"/>
  <c r="H194" i="41"/>
  <c r="K194" i="41"/>
  <c r="E194" i="41"/>
  <c r="J194" i="41"/>
  <c r="I194" i="41"/>
  <c r="K212" i="41"/>
  <c r="I212" i="41"/>
  <c r="J212" i="41"/>
  <c r="H212" i="41"/>
  <c r="E212" i="41"/>
  <c r="E343" i="41"/>
  <c r="I343" i="41"/>
  <c r="H343" i="41"/>
  <c r="K343" i="41"/>
  <c r="J343" i="41"/>
  <c r="J231" i="41"/>
  <c r="H231" i="41"/>
  <c r="E231" i="41"/>
  <c r="I231" i="41"/>
  <c r="K231" i="41"/>
  <c r="H29" i="29"/>
  <c r="J29" i="29"/>
  <c r="I29" i="29"/>
  <c r="H98" i="29"/>
  <c r="I98" i="29"/>
  <c r="J98" i="29"/>
  <c r="J624" i="41"/>
  <c r="H624" i="41"/>
  <c r="K624" i="41"/>
  <c r="I624" i="41"/>
  <c r="E624" i="41"/>
  <c r="K113" i="41"/>
  <c r="I113" i="41"/>
  <c r="E113" i="41"/>
  <c r="J113" i="41"/>
  <c r="H113" i="41"/>
  <c r="I320" i="41"/>
  <c r="E320" i="41"/>
  <c r="K320" i="41"/>
  <c r="J320" i="41"/>
  <c r="H320" i="41"/>
  <c r="K55" i="41"/>
  <c r="I55" i="41"/>
  <c r="J55" i="41"/>
  <c r="E55" i="41"/>
  <c r="H55" i="41"/>
  <c r="I188" i="41"/>
  <c r="K188" i="41"/>
  <c r="J188" i="41"/>
  <c r="H188" i="41"/>
  <c r="E188" i="41"/>
  <c r="J32" i="29"/>
  <c r="I32" i="29"/>
  <c r="H32" i="29"/>
  <c r="J144" i="29"/>
  <c r="H144" i="29"/>
  <c r="I144" i="29"/>
  <c r="E452" i="41"/>
  <c r="K452" i="41"/>
  <c r="I452" i="41"/>
  <c r="J452" i="41"/>
  <c r="H452" i="41"/>
  <c r="I273" i="41"/>
  <c r="E273" i="41"/>
  <c r="J273" i="41"/>
  <c r="H273" i="41"/>
  <c r="K273" i="41"/>
  <c r="K535" i="41"/>
  <c r="I535" i="41"/>
  <c r="E535" i="41"/>
  <c r="J535" i="41"/>
  <c r="H535" i="41"/>
  <c r="J497" i="41"/>
  <c r="K497" i="41"/>
  <c r="I497" i="41"/>
  <c r="E497" i="41"/>
  <c r="H497" i="41"/>
  <c r="H682" i="41"/>
  <c r="I682" i="41"/>
  <c r="J682" i="41"/>
  <c r="K682" i="41"/>
  <c r="E682" i="41"/>
  <c r="H295" i="41"/>
  <c r="K295" i="41"/>
  <c r="J295" i="41"/>
  <c r="I295" i="41"/>
  <c r="E295" i="41"/>
  <c r="I159" i="41"/>
  <c r="J159" i="41"/>
  <c r="H159" i="41"/>
  <c r="E159" i="41"/>
  <c r="K159" i="41"/>
  <c r="J36" i="29"/>
  <c r="H36" i="29"/>
  <c r="I36" i="29"/>
  <c r="I241" i="41"/>
  <c r="E241" i="41"/>
  <c r="H241" i="41"/>
  <c r="K241" i="41"/>
  <c r="J241" i="41"/>
  <c r="H127" i="41"/>
  <c r="I127" i="41"/>
  <c r="E127" i="41"/>
  <c r="K127" i="41"/>
  <c r="J127" i="41"/>
  <c r="K134" i="41"/>
  <c r="I134" i="41"/>
  <c r="H134" i="41"/>
  <c r="E134" i="41"/>
  <c r="J134" i="41"/>
  <c r="K23" i="39"/>
  <c r="I114" i="41"/>
  <c r="H114" i="41"/>
  <c r="J114" i="41"/>
  <c r="E114" i="41"/>
  <c r="K114" i="41"/>
  <c r="H473" i="41"/>
  <c r="K473" i="41"/>
  <c r="J473" i="41"/>
  <c r="I473" i="41"/>
  <c r="E473" i="41"/>
  <c r="J674" i="41"/>
  <c r="H674" i="41"/>
  <c r="E674" i="41"/>
  <c r="I674" i="41"/>
  <c r="K674" i="41"/>
  <c r="E432" i="41"/>
  <c r="I432" i="41"/>
  <c r="J432" i="41"/>
  <c r="K432" i="41"/>
  <c r="H432" i="41"/>
  <c r="J285" i="41"/>
  <c r="H285" i="41"/>
  <c r="E285" i="41"/>
  <c r="I285" i="41"/>
  <c r="K285" i="41"/>
  <c r="J357" i="41"/>
  <c r="E357" i="41"/>
  <c r="H357" i="41"/>
  <c r="K357" i="41"/>
  <c r="I357" i="41"/>
  <c r="H515" i="41"/>
  <c r="J515" i="41"/>
  <c r="K515" i="41"/>
  <c r="E515" i="41"/>
  <c r="I515" i="41"/>
  <c r="I554" i="41"/>
  <c r="J554" i="41"/>
  <c r="K554" i="41"/>
  <c r="E554" i="41"/>
  <c r="H554" i="41"/>
  <c r="H664" i="41"/>
  <c r="K664" i="41"/>
  <c r="I664" i="41"/>
  <c r="E664" i="41"/>
  <c r="J664" i="41"/>
  <c r="J154" i="29"/>
  <c r="H154" i="29"/>
  <c r="I154" i="29"/>
  <c r="I67" i="29"/>
  <c r="J67" i="29"/>
  <c r="H67" i="29"/>
  <c r="J89" i="29"/>
  <c r="I89" i="29"/>
  <c r="H89" i="29"/>
  <c r="I140" i="29"/>
  <c r="H140" i="29"/>
  <c r="J140" i="29"/>
  <c r="I132" i="41"/>
  <c r="E132" i="41"/>
  <c r="H132" i="41"/>
  <c r="K132" i="41"/>
  <c r="J132" i="41"/>
  <c r="J704" i="41"/>
  <c r="H704" i="41"/>
  <c r="K704" i="41"/>
  <c r="E704" i="41"/>
  <c r="I704" i="41"/>
  <c r="I333" i="41"/>
  <c r="K333" i="41"/>
  <c r="H333" i="41"/>
  <c r="J333" i="41"/>
  <c r="E333" i="41"/>
  <c r="K301" i="41"/>
  <c r="J301" i="41"/>
  <c r="I301" i="41"/>
  <c r="H301" i="41"/>
  <c r="E301" i="41"/>
  <c r="I447" i="41"/>
  <c r="K447" i="41"/>
  <c r="H447" i="41"/>
  <c r="E447" i="41"/>
  <c r="J447" i="41"/>
  <c r="E100" i="41"/>
  <c r="I100" i="41"/>
  <c r="K100" i="41"/>
  <c r="J100" i="41"/>
  <c r="H100" i="41"/>
  <c r="H521" i="41"/>
  <c r="J521" i="41"/>
  <c r="I521" i="41"/>
  <c r="K521" i="41"/>
  <c r="E521" i="41"/>
  <c r="K277" i="41"/>
  <c r="J277" i="41"/>
  <c r="H277" i="41"/>
  <c r="E277" i="41"/>
  <c r="I277" i="41"/>
  <c r="H547" i="41"/>
  <c r="J547" i="41"/>
  <c r="K547" i="41"/>
  <c r="I547" i="41"/>
  <c r="E547" i="41"/>
  <c r="K448" i="41"/>
  <c r="E448" i="41"/>
  <c r="H448" i="41"/>
  <c r="I448" i="41"/>
  <c r="J448" i="41"/>
  <c r="K543" i="41"/>
  <c r="J543" i="41"/>
  <c r="E543" i="41"/>
  <c r="I543" i="41"/>
  <c r="H543" i="41"/>
  <c r="J124" i="41"/>
  <c r="K124" i="41"/>
  <c r="E124" i="41"/>
  <c r="I124" i="41"/>
  <c r="H124" i="41"/>
  <c r="K22" i="39"/>
  <c r="H132" i="29"/>
  <c r="J132" i="29"/>
  <c r="I132" i="29"/>
  <c r="I58" i="29"/>
  <c r="J58" i="29"/>
  <c r="H58" i="29"/>
  <c r="J52" i="29"/>
  <c r="I52" i="29"/>
  <c r="H52" i="29"/>
  <c r="I164" i="29"/>
  <c r="J164" i="29"/>
  <c r="H164" i="29"/>
  <c r="H532" i="41"/>
  <c r="J532" i="41"/>
  <c r="K532" i="41"/>
  <c r="E532" i="41"/>
  <c r="I532" i="41"/>
  <c r="J524" i="41"/>
  <c r="H524" i="41"/>
  <c r="K524" i="41"/>
  <c r="E524" i="41"/>
  <c r="I524" i="41"/>
  <c r="J587" i="41"/>
  <c r="E587" i="41"/>
  <c r="K587" i="41"/>
  <c r="I587" i="41"/>
  <c r="H587" i="41"/>
  <c r="E687" i="41"/>
  <c r="H687" i="41"/>
  <c r="I687" i="41"/>
  <c r="J687" i="41"/>
  <c r="K687" i="41"/>
  <c r="K271" i="41"/>
  <c r="J271" i="41"/>
  <c r="H271" i="41"/>
  <c r="E271" i="41"/>
  <c r="I271" i="41"/>
  <c r="H498" i="41"/>
  <c r="J498" i="41"/>
  <c r="I498" i="41"/>
  <c r="E498" i="41"/>
  <c r="K498" i="41"/>
  <c r="K347" i="41"/>
  <c r="H347" i="41"/>
  <c r="J347" i="41"/>
  <c r="I347" i="41"/>
  <c r="E347" i="41"/>
  <c r="E173" i="41"/>
  <c r="H173" i="41"/>
  <c r="K173" i="41"/>
  <c r="I173" i="41"/>
  <c r="J173" i="41"/>
  <c r="I677" i="41"/>
  <c r="K677" i="41"/>
  <c r="E677" i="41"/>
  <c r="J677" i="41"/>
  <c r="H677" i="41"/>
  <c r="H490" i="41"/>
  <c r="J490" i="41"/>
  <c r="I490" i="41"/>
  <c r="E490" i="41"/>
  <c r="K490" i="41"/>
  <c r="E99" i="41"/>
  <c r="H99" i="41"/>
  <c r="J99" i="41"/>
  <c r="K99" i="41"/>
  <c r="I99" i="41"/>
  <c r="H335" i="41"/>
  <c r="J335" i="41"/>
  <c r="E335" i="41"/>
  <c r="K335" i="41"/>
  <c r="I335" i="41"/>
  <c r="J86" i="29"/>
  <c r="H86" i="29"/>
  <c r="I86" i="29"/>
  <c r="J126" i="29"/>
  <c r="H126" i="29"/>
  <c r="I126" i="29"/>
  <c r="E286" i="41"/>
  <c r="J286" i="41"/>
  <c r="H286" i="41"/>
  <c r="I286" i="41"/>
  <c r="K286" i="41"/>
  <c r="E688" i="41"/>
  <c r="K688" i="41"/>
  <c r="I688" i="41"/>
  <c r="H688" i="41"/>
  <c r="J688" i="41"/>
  <c r="H441" i="41"/>
  <c r="I441" i="41"/>
  <c r="J441" i="41"/>
  <c r="E441" i="41"/>
  <c r="K441" i="41"/>
  <c r="H215" i="41"/>
  <c r="K215" i="41"/>
  <c r="J215" i="41"/>
  <c r="E215" i="41"/>
  <c r="I215" i="41"/>
  <c r="H175" i="41"/>
  <c r="J175" i="41"/>
  <c r="K175" i="41"/>
  <c r="E175" i="41"/>
  <c r="I175" i="41"/>
  <c r="I44" i="29"/>
  <c r="J44" i="29"/>
  <c r="H44" i="29"/>
  <c r="H46" i="29"/>
  <c r="I46" i="29"/>
  <c r="J46" i="29"/>
  <c r="H439" i="41"/>
  <c r="K439" i="41"/>
  <c r="I439" i="41"/>
  <c r="E439" i="41"/>
  <c r="J439" i="41"/>
  <c r="K429" i="41"/>
  <c r="E429" i="41"/>
  <c r="J429" i="41"/>
  <c r="I429" i="41"/>
  <c r="H429" i="41"/>
  <c r="J364" i="41"/>
  <c r="H364" i="41"/>
  <c r="I364" i="41"/>
  <c r="K364" i="41"/>
  <c r="E364" i="41"/>
  <c r="H450" i="41"/>
  <c r="E450" i="41"/>
  <c r="I450" i="41"/>
  <c r="K450" i="41"/>
  <c r="J450" i="41"/>
  <c r="H481" i="41"/>
  <c r="K481" i="41"/>
  <c r="J481" i="41"/>
  <c r="E481" i="41"/>
  <c r="I481" i="41"/>
  <c r="H695" i="41"/>
  <c r="E695" i="41"/>
  <c r="K695" i="41"/>
  <c r="J695" i="41"/>
  <c r="I695" i="41"/>
  <c r="H42" i="41"/>
  <c r="J42" i="41"/>
  <c r="E42" i="41"/>
  <c r="I42" i="41"/>
  <c r="K42" i="41"/>
  <c r="E655" i="41"/>
  <c r="H655" i="41"/>
  <c r="K655" i="41"/>
  <c r="I655" i="41"/>
  <c r="J655" i="41"/>
  <c r="H603" i="41"/>
  <c r="J603" i="41"/>
  <c r="E603" i="41"/>
  <c r="I603" i="41"/>
  <c r="K603" i="41"/>
  <c r="J58" i="41"/>
  <c r="K58" i="41"/>
  <c r="H58" i="41"/>
  <c r="I58" i="41"/>
  <c r="E58" i="41"/>
  <c r="I605" i="41"/>
  <c r="H605" i="41"/>
  <c r="K605" i="41"/>
  <c r="J605" i="41"/>
  <c r="E605" i="41"/>
  <c r="E366" i="41"/>
  <c r="I366" i="41"/>
  <c r="H366" i="41"/>
  <c r="K366" i="41"/>
  <c r="J366" i="41"/>
  <c r="K494" i="41"/>
  <c r="E494" i="41"/>
  <c r="H494" i="41"/>
  <c r="J494" i="41"/>
  <c r="I494" i="41"/>
  <c r="E553" i="41"/>
  <c r="K553" i="41"/>
  <c r="I553" i="41"/>
  <c r="J553" i="41"/>
  <c r="H553" i="41"/>
  <c r="J506" i="41"/>
  <c r="K506" i="41"/>
  <c r="E506" i="41"/>
  <c r="H506" i="41"/>
  <c r="I506" i="41"/>
  <c r="I71" i="29"/>
  <c r="J71" i="29"/>
  <c r="H71" i="29"/>
  <c r="J434" i="41"/>
  <c r="I434" i="41"/>
  <c r="K434" i="41"/>
  <c r="E434" i="41"/>
  <c r="H434" i="41"/>
  <c r="H123" i="41"/>
  <c r="E123" i="41"/>
  <c r="J123" i="41"/>
  <c r="I123" i="41"/>
  <c r="K123" i="41"/>
  <c r="J96" i="41"/>
  <c r="E96" i="41"/>
  <c r="I96" i="41"/>
  <c r="H96" i="41"/>
  <c r="K96" i="41"/>
  <c r="K661" i="41"/>
  <c r="H661" i="41"/>
  <c r="E661" i="41"/>
  <c r="J661" i="41"/>
  <c r="I661" i="41"/>
  <c r="E694" i="41"/>
  <c r="I694" i="41"/>
  <c r="K694" i="41"/>
  <c r="J694" i="41"/>
  <c r="H694" i="41"/>
  <c r="H438" i="41"/>
  <c r="J438" i="41"/>
  <c r="K438" i="41"/>
  <c r="I438" i="41"/>
  <c r="E438" i="41"/>
  <c r="H620" i="41"/>
  <c r="E620" i="41"/>
  <c r="J620" i="41"/>
  <c r="I620" i="41"/>
  <c r="K620" i="41"/>
  <c r="K163" i="41"/>
  <c r="E163" i="41"/>
  <c r="H163" i="41"/>
  <c r="J163" i="41"/>
  <c r="I163" i="41"/>
  <c r="J110" i="29"/>
  <c r="I110" i="29"/>
  <c r="H110" i="29"/>
  <c r="H51" i="29"/>
  <c r="I51" i="29"/>
  <c r="J51" i="29"/>
  <c r="H87" i="29"/>
  <c r="J87" i="29"/>
  <c r="I87" i="29"/>
  <c r="E176" i="41"/>
  <c r="I176" i="41"/>
  <c r="H176" i="41"/>
  <c r="J176" i="41"/>
  <c r="K176" i="41"/>
  <c r="K216" i="41"/>
  <c r="J216" i="41"/>
  <c r="E216" i="41"/>
  <c r="H216" i="41"/>
  <c r="I216" i="41"/>
  <c r="J467" i="41"/>
  <c r="H467" i="41"/>
  <c r="K467" i="41"/>
  <c r="E467" i="41"/>
  <c r="I467" i="41"/>
  <c r="H242" i="41"/>
  <c r="J242" i="41"/>
  <c r="K242" i="41"/>
  <c r="E242" i="41"/>
  <c r="I242" i="41"/>
  <c r="K700" i="41"/>
  <c r="E700" i="41"/>
  <c r="I700" i="41"/>
  <c r="J700" i="41"/>
  <c r="H700" i="41"/>
  <c r="H483" i="41"/>
  <c r="K483" i="41"/>
  <c r="E483" i="41"/>
  <c r="J483" i="41"/>
  <c r="I483" i="41"/>
  <c r="H104" i="41"/>
  <c r="I104" i="41"/>
  <c r="K104" i="41"/>
  <c r="J104" i="41"/>
  <c r="E104" i="41"/>
  <c r="H146" i="29"/>
  <c r="J146" i="29"/>
  <c r="I146" i="29"/>
  <c r="I74" i="29"/>
  <c r="J74" i="29"/>
  <c r="H74" i="29"/>
  <c r="J378" i="41"/>
  <c r="H378" i="41"/>
  <c r="E378" i="41"/>
  <c r="K378" i="41"/>
  <c r="I378" i="41"/>
  <c r="K635" i="41"/>
  <c r="H635" i="41"/>
  <c r="J635" i="41"/>
  <c r="E635" i="41"/>
  <c r="I635" i="41"/>
  <c r="K360" i="41"/>
  <c r="H360" i="41"/>
  <c r="E360" i="41"/>
  <c r="I360" i="41"/>
  <c r="J360" i="41"/>
  <c r="I93" i="41"/>
  <c r="K93" i="41"/>
  <c r="E93" i="41"/>
  <c r="H93" i="41"/>
  <c r="J93" i="41"/>
  <c r="H617" i="41"/>
  <c r="J617" i="41"/>
  <c r="I617" i="41"/>
  <c r="K617" i="41"/>
  <c r="E617" i="41"/>
  <c r="E391" i="41"/>
  <c r="K391" i="41"/>
  <c r="I391" i="41"/>
  <c r="H391" i="41"/>
  <c r="J391" i="41"/>
  <c r="E496" i="41"/>
  <c r="K496" i="41"/>
  <c r="J496" i="41"/>
  <c r="I496" i="41"/>
  <c r="H496" i="41"/>
  <c r="J545" i="41"/>
  <c r="K545" i="41"/>
  <c r="I545" i="41"/>
  <c r="H545" i="41"/>
  <c r="E545" i="41"/>
  <c r="E549" i="41"/>
  <c r="K549" i="41"/>
  <c r="I549" i="41"/>
  <c r="H549" i="41"/>
  <c r="J549" i="41"/>
  <c r="I266" i="41"/>
  <c r="E266" i="41"/>
  <c r="J266" i="41"/>
  <c r="H266" i="41"/>
  <c r="K266" i="41"/>
  <c r="I17" i="41"/>
  <c r="E17" i="41"/>
  <c r="K17" i="41"/>
  <c r="H17" i="41"/>
  <c r="J17" i="41"/>
  <c r="E48" i="41"/>
  <c r="I48" i="41"/>
  <c r="K48" i="41"/>
  <c r="J48" i="41"/>
  <c r="H48" i="41"/>
  <c r="I46" i="41"/>
  <c r="K46" i="41"/>
  <c r="J46" i="41"/>
  <c r="E46" i="41"/>
  <c r="H46" i="41"/>
  <c r="I21" i="29"/>
  <c r="H21" i="29"/>
  <c r="J21" i="29"/>
  <c r="I91" i="29"/>
  <c r="J91" i="29"/>
  <c r="H91" i="29"/>
  <c r="I264" i="41"/>
  <c r="J264" i="41"/>
  <c r="H264" i="41"/>
  <c r="E264" i="41"/>
  <c r="K264" i="41"/>
  <c r="I252" i="41"/>
  <c r="E252" i="41"/>
  <c r="H252" i="41"/>
  <c r="J252" i="41"/>
  <c r="K252" i="41"/>
  <c r="J338" i="41"/>
  <c r="H338" i="41"/>
  <c r="I338" i="41"/>
  <c r="E338" i="41"/>
  <c r="K338" i="41"/>
  <c r="H187" i="41"/>
  <c r="K187" i="41"/>
  <c r="E187" i="41"/>
  <c r="I187" i="41"/>
  <c r="J187" i="41"/>
  <c r="J217" i="41"/>
  <c r="K217" i="41"/>
  <c r="H217" i="41"/>
  <c r="I217" i="41"/>
  <c r="E217" i="41"/>
  <c r="J478" i="41"/>
  <c r="E478" i="41"/>
  <c r="H478" i="41"/>
  <c r="K478" i="41"/>
  <c r="I478" i="41"/>
  <c r="H229" i="41"/>
  <c r="J229" i="41"/>
  <c r="I229" i="41"/>
  <c r="K229" i="41"/>
  <c r="E229" i="41"/>
  <c r="K59" i="41"/>
  <c r="H59" i="41"/>
  <c r="J59" i="41"/>
  <c r="E59" i="41"/>
  <c r="I59" i="41"/>
  <c r="E206" i="41"/>
  <c r="I206" i="41"/>
  <c r="J206" i="41"/>
  <c r="K206" i="41"/>
  <c r="H206" i="41"/>
  <c r="J102" i="29"/>
  <c r="I102" i="29"/>
  <c r="H102" i="29"/>
  <c r="J160" i="29"/>
  <c r="H160" i="29"/>
  <c r="I160" i="29"/>
  <c r="H130" i="29"/>
  <c r="I130" i="29"/>
  <c r="J130" i="29"/>
  <c r="H537" i="41"/>
  <c r="E537" i="41"/>
  <c r="J537" i="41"/>
  <c r="I537" i="41"/>
  <c r="K537" i="41"/>
  <c r="E33" i="41"/>
  <c r="J33" i="41"/>
  <c r="K33" i="41"/>
  <c r="I33" i="41"/>
  <c r="H33" i="41"/>
  <c r="I309" i="41"/>
  <c r="H309" i="41"/>
  <c r="E309" i="41"/>
  <c r="K309" i="41"/>
  <c r="J309" i="41"/>
  <c r="E382" i="41"/>
  <c r="H382" i="41"/>
  <c r="I382" i="41"/>
  <c r="J382" i="41"/>
  <c r="K382" i="41"/>
  <c r="E351" i="41"/>
  <c r="I351" i="41"/>
  <c r="K351" i="41"/>
  <c r="H351" i="41"/>
  <c r="J351" i="41"/>
  <c r="H66" i="29"/>
  <c r="I66" i="29"/>
  <c r="J66" i="29"/>
  <c r="H31" i="29"/>
  <c r="J31" i="29"/>
  <c r="I31" i="29"/>
  <c r="H92" i="29"/>
  <c r="I92" i="29"/>
  <c r="J92" i="29"/>
  <c r="J232" i="41"/>
  <c r="E232" i="41"/>
  <c r="K232" i="41"/>
  <c r="I232" i="41"/>
  <c r="H232" i="41"/>
  <c r="H346" i="41"/>
  <c r="J346" i="41"/>
  <c r="E346" i="41"/>
  <c r="K346" i="41"/>
  <c r="I346" i="41"/>
  <c r="J101" i="29"/>
  <c r="I101" i="29"/>
  <c r="H101" i="29"/>
  <c r="I44" i="41"/>
  <c r="E44" i="41"/>
  <c r="J44" i="41"/>
  <c r="H44" i="41"/>
  <c r="K44" i="41"/>
  <c r="I604" i="41"/>
  <c r="E604" i="41"/>
  <c r="J604" i="41"/>
  <c r="K604" i="41"/>
  <c r="H604" i="41"/>
  <c r="I112" i="29"/>
  <c r="H112" i="29"/>
  <c r="J112" i="29"/>
  <c r="I94" i="29"/>
  <c r="H94" i="29"/>
  <c r="J94" i="29"/>
  <c r="I155" i="29"/>
  <c r="J155" i="29"/>
  <c r="H155" i="29"/>
  <c r="J48" i="29"/>
  <c r="I48" i="29"/>
  <c r="H48" i="29"/>
  <c r="K16" i="41"/>
  <c r="E16" i="41"/>
  <c r="H16" i="41"/>
  <c r="I16" i="41"/>
  <c r="J16" i="41"/>
  <c r="E80" i="41"/>
  <c r="K80" i="41"/>
  <c r="J80" i="41"/>
  <c r="I80" i="41"/>
  <c r="H80" i="41"/>
  <c r="K76" i="41"/>
  <c r="J76" i="41"/>
  <c r="I76" i="41"/>
  <c r="E76" i="41"/>
  <c r="H76" i="41"/>
  <c r="E69" i="41"/>
  <c r="H69" i="41"/>
  <c r="I69" i="41"/>
  <c r="J69" i="41"/>
  <c r="K69" i="41"/>
  <c r="H703" i="41"/>
  <c r="E703" i="41"/>
  <c r="K703" i="41"/>
  <c r="I703" i="41"/>
  <c r="J703" i="41"/>
  <c r="K460" i="41"/>
  <c r="H460" i="41"/>
  <c r="E460" i="41"/>
  <c r="I460" i="41"/>
  <c r="J460" i="41"/>
  <c r="E660" i="41"/>
  <c r="K660" i="41"/>
  <c r="J660" i="41"/>
  <c r="I660" i="41"/>
  <c r="H660" i="41"/>
  <c r="J367" i="41"/>
  <c r="H367" i="41"/>
  <c r="I367" i="41"/>
  <c r="K367" i="41"/>
  <c r="E367" i="41"/>
  <c r="I180" i="41"/>
  <c r="H180" i="41"/>
  <c r="J180" i="41"/>
  <c r="E180" i="41"/>
  <c r="K180" i="41"/>
  <c r="E192" i="41"/>
  <c r="H192" i="41"/>
  <c r="J192" i="41"/>
  <c r="K192" i="41"/>
  <c r="I192" i="41"/>
  <c r="I26" i="29"/>
  <c r="H26" i="29"/>
  <c r="J26" i="29"/>
  <c r="J131" i="29"/>
  <c r="H131" i="29"/>
  <c r="I131" i="29"/>
  <c r="H72" i="29"/>
  <c r="J72" i="29"/>
  <c r="I72" i="29"/>
  <c r="K679" i="41"/>
  <c r="H679" i="41"/>
  <c r="J679" i="41"/>
  <c r="E679" i="41"/>
  <c r="I679" i="41"/>
  <c r="E622" i="41"/>
  <c r="J622" i="41"/>
  <c r="I622" i="41"/>
  <c r="H622" i="41"/>
  <c r="K622" i="41"/>
  <c r="H501" i="41"/>
  <c r="K501" i="41"/>
  <c r="J501" i="41"/>
  <c r="E501" i="41"/>
  <c r="I501" i="41"/>
  <c r="I393" i="41"/>
  <c r="K393" i="41"/>
  <c r="J393" i="41"/>
  <c r="H393" i="41"/>
  <c r="E393" i="41"/>
  <c r="I116" i="41"/>
  <c r="J116" i="41"/>
  <c r="K116" i="41"/>
  <c r="H116" i="41"/>
  <c r="E116" i="41"/>
  <c r="I152" i="41"/>
  <c r="K152" i="41"/>
  <c r="E152" i="41"/>
  <c r="J152" i="41"/>
  <c r="H152" i="41"/>
  <c r="H80" i="29"/>
  <c r="J80" i="29"/>
  <c r="I80" i="29"/>
  <c r="I145" i="29"/>
  <c r="J145" i="29"/>
  <c r="H145" i="29"/>
  <c r="H291" i="41"/>
  <c r="E291" i="41"/>
  <c r="K291" i="41"/>
  <c r="J291" i="41"/>
  <c r="I291" i="41"/>
  <c r="E361" i="41"/>
  <c r="K361" i="41"/>
  <c r="H361" i="41"/>
  <c r="J361" i="41"/>
  <c r="I361" i="41"/>
  <c r="H219" i="41"/>
  <c r="J219" i="41"/>
  <c r="E219" i="41"/>
  <c r="I219" i="41"/>
  <c r="K219" i="41"/>
  <c r="H87" i="41"/>
  <c r="J87" i="41"/>
  <c r="K87" i="41"/>
  <c r="I87" i="41"/>
  <c r="E87" i="41"/>
  <c r="K705" i="41"/>
  <c r="E705" i="41"/>
  <c r="I705" i="41"/>
  <c r="J705" i="41"/>
  <c r="H705" i="41"/>
  <c r="E97" i="41"/>
  <c r="K97" i="41"/>
  <c r="J97" i="41"/>
  <c r="I97" i="41"/>
  <c r="H97" i="41"/>
  <c r="H84" i="29"/>
  <c r="I84" i="29"/>
  <c r="J84" i="29"/>
  <c r="J95" i="29"/>
  <c r="I95" i="29"/>
  <c r="H95" i="29"/>
  <c r="J59" i="29"/>
  <c r="H59" i="29"/>
  <c r="I59" i="29"/>
  <c r="I401" i="41"/>
  <c r="J401" i="41"/>
  <c r="K401" i="41"/>
  <c r="E401" i="41"/>
  <c r="H401" i="41"/>
  <c r="H50" i="41"/>
  <c r="I50" i="41"/>
  <c r="J50" i="41"/>
  <c r="K50" i="41"/>
  <c r="E50" i="41"/>
  <c r="H76" i="29"/>
  <c r="I76" i="29"/>
  <c r="J76" i="29"/>
  <c r="H81" i="29"/>
  <c r="I81" i="29"/>
  <c r="J81" i="29"/>
  <c r="J107" i="29"/>
  <c r="I107" i="29"/>
  <c r="H107" i="29"/>
  <c r="K146" i="41"/>
  <c r="I146" i="41"/>
  <c r="J146" i="41"/>
  <c r="H146" i="41"/>
  <c r="E146" i="41"/>
  <c r="J290" i="41"/>
  <c r="E290" i="41"/>
  <c r="K290" i="41"/>
  <c r="H290" i="41"/>
  <c r="I290" i="41"/>
  <c r="H711" i="41"/>
  <c r="I711" i="41"/>
  <c r="K711" i="41"/>
  <c r="J711" i="41"/>
  <c r="K568" i="41"/>
  <c r="J568" i="41"/>
  <c r="H568" i="41"/>
  <c r="I568" i="41"/>
  <c r="E568" i="41"/>
  <c r="J126" i="41"/>
  <c r="K126" i="41"/>
  <c r="E126" i="41"/>
  <c r="I126" i="41"/>
  <c r="H126" i="41"/>
  <c r="J659" i="41"/>
  <c r="I659" i="41"/>
  <c r="K659" i="41"/>
  <c r="H659" i="41"/>
  <c r="E659" i="41"/>
  <c r="J227" i="41"/>
  <c r="I227" i="41"/>
  <c r="H227" i="41"/>
  <c r="K227" i="41"/>
  <c r="E227" i="41"/>
  <c r="E445" i="41"/>
  <c r="K445" i="41"/>
  <c r="J445" i="41"/>
  <c r="H445" i="41"/>
  <c r="I445" i="41"/>
  <c r="E314" i="41"/>
  <c r="I314" i="41"/>
  <c r="K314" i="41"/>
  <c r="J314" i="41"/>
  <c r="H314" i="41"/>
  <c r="J120" i="41"/>
  <c r="K120" i="41"/>
  <c r="E120" i="41"/>
  <c r="I120" i="41"/>
  <c r="H120" i="41"/>
  <c r="J91" i="41"/>
  <c r="H91" i="41"/>
  <c r="I91" i="41"/>
  <c r="E91" i="41"/>
  <c r="K91" i="41"/>
  <c r="K555" i="41"/>
  <c r="J555" i="41"/>
  <c r="E555" i="41"/>
  <c r="I555" i="41"/>
  <c r="H555" i="41"/>
  <c r="J636" i="41"/>
  <c r="E636" i="41"/>
  <c r="K636" i="41"/>
  <c r="I636" i="41"/>
  <c r="H636" i="41"/>
  <c r="I561" i="41"/>
  <c r="E561" i="41"/>
  <c r="H561" i="41"/>
  <c r="K561" i="41"/>
  <c r="J561" i="41"/>
  <c r="E388" i="41"/>
  <c r="H388" i="41"/>
  <c r="J388" i="41"/>
  <c r="I388" i="41"/>
  <c r="K388" i="41"/>
  <c r="J662" i="41"/>
  <c r="K662" i="41"/>
  <c r="E662" i="41"/>
  <c r="H662" i="41"/>
  <c r="I662" i="41"/>
  <c r="K157" i="41"/>
  <c r="J157" i="41"/>
  <c r="H157" i="41"/>
  <c r="I157" i="41"/>
  <c r="E157" i="41"/>
  <c r="H62" i="29"/>
  <c r="I62" i="29"/>
  <c r="J62" i="29"/>
  <c r="J119" i="29"/>
  <c r="I119" i="29"/>
  <c r="H119" i="29"/>
  <c r="J162" i="41"/>
  <c r="I162" i="41"/>
  <c r="K162" i="41"/>
  <c r="H162" i="41"/>
  <c r="E162" i="41"/>
  <c r="J171" i="41"/>
  <c r="I171" i="41"/>
  <c r="H171" i="41"/>
  <c r="E171" i="41"/>
  <c r="K171" i="41"/>
  <c r="K519" i="41"/>
  <c r="H519" i="41"/>
  <c r="J519" i="41"/>
  <c r="I519" i="41"/>
  <c r="E519" i="41"/>
  <c r="J233" i="41"/>
  <c r="I233" i="41"/>
  <c r="E233" i="41"/>
  <c r="K233" i="41"/>
  <c r="H233" i="41"/>
  <c r="I88" i="41"/>
  <c r="H88" i="41"/>
  <c r="E88" i="41"/>
  <c r="J88" i="41"/>
  <c r="K88" i="41"/>
  <c r="I341" i="41"/>
  <c r="J341" i="41"/>
  <c r="K341" i="41"/>
  <c r="E341" i="41"/>
  <c r="H341" i="41"/>
  <c r="J464" i="41"/>
  <c r="I464" i="41"/>
  <c r="E464" i="41"/>
  <c r="K464" i="41"/>
  <c r="H464" i="41"/>
  <c r="J599" i="41"/>
  <c r="H599" i="41"/>
  <c r="E599" i="41"/>
  <c r="I599" i="41"/>
  <c r="K599" i="41"/>
  <c r="J685" i="41"/>
  <c r="E685" i="41"/>
  <c r="K685" i="41"/>
  <c r="H685" i="41"/>
  <c r="I685" i="41"/>
  <c r="J262" i="41"/>
  <c r="K262" i="41"/>
  <c r="E262" i="41"/>
  <c r="H262" i="41"/>
  <c r="I262" i="41"/>
  <c r="H45" i="29"/>
  <c r="J45" i="29"/>
  <c r="I45" i="29"/>
  <c r="I78" i="29"/>
  <c r="J78" i="29"/>
  <c r="H78" i="29"/>
  <c r="J105" i="29"/>
  <c r="I105" i="29"/>
  <c r="H105" i="29"/>
  <c r="J169" i="41"/>
  <c r="E169" i="41"/>
  <c r="K169" i="41"/>
  <c r="I169" i="41"/>
  <c r="H169" i="41"/>
  <c r="J495" i="41"/>
  <c r="E495" i="41"/>
  <c r="I495" i="41"/>
  <c r="H495" i="41"/>
  <c r="K495" i="41"/>
  <c r="K297" i="41"/>
  <c r="H297" i="41"/>
  <c r="E297" i="41"/>
  <c r="I297" i="41"/>
  <c r="J297" i="41"/>
  <c r="K72" i="41"/>
  <c r="I72" i="41"/>
  <c r="E72" i="41"/>
  <c r="J72" i="41"/>
  <c r="H72" i="41"/>
  <c r="K334" i="41"/>
  <c r="E334" i="41"/>
  <c r="J334" i="41"/>
  <c r="H334" i="41"/>
  <c r="I334" i="41"/>
  <c r="I18" i="29"/>
  <c r="H18" i="29"/>
  <c r="J18" i="29"/>
  <c r="I85" i="29"/>
  <c r="J85" i="29"/>
  <c r="H85" i="29"/>
  <c r="I40" i="29"/>
  <c r="J40" i="29"/>
  <c r="H40" i="29"/>
  <c r="J73" i="41"/>
  <c r="I73" i="41"/>
  <c r="H73" i="41"/>
  <c r="K73" i="41"/>
  <c r="E73" i="41"/>
  <c r="H115" i="41"/>
  <c r="J115" i="41"/>
  <c r="E115" i="41"/>
  <c r="I115" i="41"/>
  <c r="K115" i="41"/>
  <c r="K243" i="41"/>
  <c r="E243" i="41"/>
  <c r="I243" i="41"/>
  <c r="H243" i="41"/>
  <c r="J243" i="41"/>
  <c r="I446" i="41"/>
  <c r="H446" i="41"/>
  <c r="J446" i="41"/>
  <c r="K446" i="41"/>
  <c r="E446" i="41"/>
  <c r="J648" i="41"/>
  <c r="H648" i="41"/>
  <c r="I648" i="41"/>
  <c r="E648" i="41"/>
  <c r="K648" i="41"/>
  <c r="K196" i="41"/>
  <c r="H196" i="41"/>
  <c r="I196" i="41"/>
  <c r="J196" i="41"/>
  <c r="E196" i="41"/>
  <c r="I634" i="41"/>
  <c r="K634" i="41"/>
  <c r="J634" i="41"/>
  <c r="E634" i="41"/>
  <c r="H634" i="41"/>
  <c r="E488" i="41"/>
  <c r="H488" i="41"/>
  <c r="J488" i="41"/>
  <c r="I488" i="41"/>
  <c r="K488" i="41"/>
  <c r="J99" i="29"/>
  <c r="H99" i="29"/>
  <c r="I99" i="29"/>
  <c r="J162" i="29"/>
  <c r="H162" i="29"/>
  <c r="I162" i="29"/>
  <c r="J17" i="29"/>
  <c r="H17" i="29"/>
  <c r="I17" i="29"/>
  <c r="I111" i="29"/>
  <c r="J111" i="29"/>
  <c r="H111" i="29"/>
  <c r="I125" i="29"/>
  <c r="J125" i="29"/>
  <c r="H125" i="29"/>
  <c r="J139" i="29"/>
  <c r="H139" i="29"/>
  <c r="I139" i="29"/>
  <c r="I35" i="29"/>
  <c r="H35" i="29"/>
  <c r="J35" i="29"/>
  <c r="K327" i="41"/>
  <c r="H327" i="41"/>
  <c r="E327" i="41"/>
  <c r="J327" i="41"/>
  <c r="I327" i="41"/>
  <c r="H569" i="41"/>
  <c r="K569" i="41"/>
  <c r="E569" i="41"/>
  <c r="J569" i="41"/>
  <c r="I569" i="41"/>
  <c r="I30" i="41"/>
  <c r="K30" i="41"/>
  <c r="J30" i="41"/>
  <c r="H30" i="41"/>
  <c r="E30" i="41"/>
  <c r="K512" i="41"/>
  <c r="E512" i="41"/>
  <c r="J512" i="41"/>
  <c r="H512" i="41"/>
  <c r="I512" i="41"/>
  <c r="I158" i="41"/>
  <c r="K158" i="41"/>
  <c r="J158" i="41"/>
  <c r="E158" i="41"/>
  <c r="H158" i="41"/>
  <c r="K699" i="41"/>
  <c r="E699" i="41"/>
  <c r="H699" i="41"/>
  <c r="J699" i="41"/>
  <c r="I699" i="41"/>
  <c r="E251" i="41"/>
  <c r="I251" i="41"/>
  <c r="K251" i="41"/>
  <c r="H251" i="41"/>
  <c r="J251" i="41"/>
  <c r="J502" i="41"/>
  <c r="I502" i="41"/>
  <c r="H502" i="41"/>
  <c r="K502" i="41"/>
  <c r="E502" i="41"/>
  <c r="I289" i="41"/>
  <c r="H289" i="41"/>
  <c r="J289" i="41"/>
  <c r="K289" i="41"/>
  <c r="E289" i="41"/>
  <c r="I325" i="41"/>
  <c r="J325" i="41"/>
  <c r="H325" i="41"/>
  <c r="K325" i="41"/>
  <c r="E325" i="41"/>
  <c r="H370" i="41"/>
  <c r="K370" i="41"/>
  <c r="J370" i="41"/>
  <c r="E370" i="41"/>
  <c r="I370" i="41"/>
  <c r="K615" i="41"/>
  <c r="J615" i="41"/>
  <c r="H615" i="41"/>
  <c r="E615" i="41"/>
  <c r="I615" i="41"/>
  <c r="J166" i="41"/>
  <c r="E166" i="41"/>
  <c r="H166" i="41"/>
  <c r="K166" i="41"/>
  <c r="I166" i="41"/>
  <c r="E594" i="41"/>
  <c r="K594" i="41"/>
  <c r="J594" i="41"/>
  <c r="H594" i="41"/>
  <c r="I594" i="41"/>
  <c r="I178" i="41"/>
  <c r="H178" i="41"/>
  <c r="E178" i="41"/>
  <c r="J178" i="41"/>
  <c r="K178" i="41"/>
  <c r="I612" i="41"/>
  <c r="J612" i="41"/>
  <c r="K612" i="41"/>
  <c r="E612" i="41"/>
  <c r="H612" i="41"/>
  <c r="I96" i="29"/>
  <c r="H96" i="29"/>
  <c r="J96" i="29"/>
  <c r="J123" i="29"/>
  <c r="H123" i="29"/>
  <c r="I123" i="29"/>
  <c r="H491" i="41"/>
  <c r="J491" i="41"/>
  <c r="E491" i="41"/>
  <c r="I491" i="41"/>
  <c r="K491" i="41"/>
  <c r="H538" i="41"/>
  <c r="K538" i="41"/>
  <c r="J538" i="41"/>
  <c r="I538" i="41"/>
  <c r="E538" i="41"/>
  <c r="I708" i="41"/>
  <c r="H708" i="41"/>
  <c r="K708" i="41"/>
  <c r="E708" i="41"/>
  <c r="J708" i="41"/>
  <c r="K330" i="41"/>
  <c r="E330" i="41"/>
  <c r="J330" i="41"/>
  <c r="H330" i="41"/>
  <c r="I330" i="41"/>
  <c r="K356" i="41"/>
  <c r="H356" i="41"/>
  <c r="J356" i="41"/>
  <c r="E356" i="41"/>
  <c r="I356" i="41"/>
  <c r="I117" i="41"/>
  <c r="E117" i="41"/>
  <c r="H117" i="41"/>
  <c r="K117" i="41"/>
  <c r="J117" i="41"/>
  <c r="I608" i="41"/>
  <c r="J608" i="41"/>
  <c r="H608" i="41"/>
  <c r="E608" i="41"/>
  <c r="K608" i="41"/>
  <c r="I647" i="41"/>
  <c r="E647" i="41"/>
  <c r="K647" i="41"/>
  <c r="H647" i="41"/>
  <c r="J647" i="41"/>
  <c r="H221" i="41"/>
  <c r="I221" i="41"/>
  <c r="J221" i="41"/>
  <c r="E221" i="41"/>
  <c r="K221" i="41"/>
  <c r="E643" i="41"/>
  <c r="J643" i="41"/>
  <c r="H643" i="41"/>
  <c r="I643" i="41"/>
  <c r="K643" i="41"/>
  <c r="I74" i="41"/>
  <c r="K74" i="41"/>
  <c r="H74" i="41"/>
  <c r="J74" i="41"/>
  <c r="E74" i="41"/>
  <c r="J117" i="29"/>
  <c r="H117" i="29"/>
  <c r="I117" i="29"/>
  <c r="I571" i="41"/>
  <c r="K571" i="41"/>
  <c r="J571" i="41"/>
  <c r="H571" i="41"/>
  <c r="E571" i="41"/>
  <c r="J373" i="41"/>
  <c r="I373" i="41"/>
  <c r="H373" i="41"/>
  <c r="K373" i="41"/>
  <c r="E373" i="41"/>
  <c r="J203" i="41"/>
  <c r="E203" i="41"/>
  <c r="I203" i="41"/>
  <c r="K203" i="41"/>
  <c r="H203" i="41"/>
  <c r="I152" i="29"/>
  <c r="J152" i="29"/>
  <c r="H152" i="29"/>
  <c r="K394" i="41"/>
  <c r="H394" i="41"/>
  <c r="I394" i="41"/>
  <c r="J394" i="41"/>
  <c r="E394" i="41"/>
  <c r="J463" i="41"/>
  <c r="E463" i="41"/>
  <c r="K463" i="41"/>
  <c r="H463" i="41"/>
  <c r="I463" i="41"/>
  <c r="K380" i="41"/>
  <c r="J380" i="41"/>
  <c r="H380" i="41"/>
  <c r="I380" i="41"/>
  <c r="E380" i="41"/>
  <c r="K131" i="41"/>
  <c r="I131" i="41"/>
  <c r="J131" i="41"/>
  <c r="H131" i="41"/>
  <c r="E131" i="41"/>
  <c r="I258" i="41"/>
  <c r="K258" i="41"/>
  <c r="H258" i="41"/>
  <c r="E258" i="41"/>
  <c r="J258" i="41"/>
  <c r="I368" i="41"/>
  <c r="H368" i="41"/>
  <c r="K368" i="41"/>
  <c r="E368" i="41"/>
  <c r="J368" i="41"/>
  <c r="K400" i="41"/>
  <c r="I400" i="41"/>
  <c r="E400" i="41"/>
  <c r="J400" i="41"/>
  <c r="H400" i="41"/>
  <c r="H630" i="41"/>
  <c r="J630" i="41"/>
  <c r="K630" i="41"/>
  <c r="I630" i="41"/>
  <c r="E630" i="41"/>
  <c r="I28" i="29"/>
  <c r="H28" i="29"/>
  <c r="J28" i="29"/>
  <c r="J358" i="41"/>
  <c r="K358" i="41"/>
  <c r="E358" i="41"/>
  <c r="H358" i="41"/>
  <c r="I358" i="41"/>
  <c r="H224" i="41"/>
  <c r="J224" i="41"/>
  <c r="I224" i="41"/>
  <c r="E224" i="41"/>
  <c r="K224" i="41"/>
  <c r="K414" i="41"/>
  <c r="H414" i="41"/>
  <c r="I414" i="41"/>
  <c r="E414" i="41"/>
  <c r="J414" i="41"/>
  <c r="I528" i="41"/>
  <c r="J528" i="41"/>
  <c r="H528" i="41"/>
  <c r="K528" i="41"/>
  <c r="E528" i="41"/>
  <c r="E52" i="41"/>
  <c r="I52" i="41"/>
  <c r="K52" i="41"/>
  <c r="H52" i="41"/>
  <c r="J52" i="41"/>
  <c r="I51" i="41"/>
  <c r="J51" i="41"/>
  <c r="E51" i="41"/>
  <c r="H51" i="41"/>
  <c r="K51" i="41"/>
  <c r="I623" i="41"/>
  <c r="K623" i="41"/>
  <c r="E623" i="41"/>
  <c r="H623" i="41"/>
  <c r="J623" i="41"/>
  <c r="E509" i="41"/>
  <c r="I509" i="41"/>
  <c r="K509" i="41"/>
  <c r="J509" i="41"/>
  <c r="H509" i="41"/>
  <c r="K33" i="39"/>
  <c r="H25" i="29"/>
  <c r="J25" i="29"/>
  <c r="I25" i="29"/>
  <c r="J134" i="29"/>
  <c r="H134" i="29"/>
  <c r="I134" i="29"/>
  <c r="J211" i="41"/>
  <c r="I211" i="41"/>
  <c r="E211" i="41"/>
  <c r="H211" i="41"/>
  <c r="K211" i="41"/>
  <c r="H586" i="41"/>
  <c r="J586" i="41"/>
  <c r="I586" i="41"/>
  <c r="K586" i="41"/>
  <c r="E586" i="41"/>
  <c r="E201" i="41"/>
  <c r="K201" i="41"/>
  <c r="J201" i="41"/>
  <c r="H201" i="41"/>
  <c r="I201" i="41"/>
  <c r="K590" i="41"/>
  <c r="J590" i="41"/>
  <c r="H590" i="41"/>
  <c r="E590" i="41"/>
  <c r="I590" i="41"/>
  <c r="J174" i="41"/>
  <c r="E174" i="41"/>
  <c r="I174" i="41"/>
  <c r="H174" i="41"/>
  <c r="K174" i="41"/>
  <c r="E591" i="41"/>
  <c r="H591" i="41"/>
  <c r="I591" i="41"/>
  <c r="J591" i="41"/>
  <c r="K591" i="41"/>
  <c r="I220" i="41"/>
  <c r="K220" i="41"/>
  <c r="H220" i="41"/>
  <c r="J220" i="41"/>
  <c r="E220" i="41"/>
  <c r="I109" i="29"/>
  <c r="J109" i="29"/>
  <c r="H109" i="29"/>
  <c r="J20" i="29"/>
  <c r="I20" i="29"/>
  <c r="H20" i="29"/>
  <c r="K709" i="41"/>
  <c r="J709" i="41"/>
  <c r="E709" i="41"/>
  <c r="I709" i="41"/>
  <c r="H709" i="41"/>
  <c r="E454" i="41"/>
  <c r="K454" i="41"/>
  <c r="I454" i="41"/>
  <c r="H454" i="41"/>
  <c r="J454" i="41"/>
  <c r="J129" i="41"/>
  <c r="E129" i="41"/>
  <c r="K129" i="41"/>
  <c r="I129" i="41"/>
  <c r="H129" i="41"/>
  <c r="K253" i="41"/>
  <c r="H253" i="41"/>
  <c r="J253" i="41"/>
  <c r="I253" i="41"/>
  <c r="E253" i="41"/>
  <c r="J179" i="41"/>
  <c r="H179" i="41"/>
  <c r="I179" i="41"/>
  <c r="E179" i="41"/>
  <c r="K179" i="41"/>
  <c r="E381" i="41"/>
  <c r="I381" i="41"/>
  <c r="K381" i="41"/>
  <c r="J381" i="41"/>
  <c r="H381" i="41"/>
  <c r="I437" i="41"/>
  <c r="J437" i="41"/>
  <c r="K437" i="41"/>
  <c r="E437" i="41"/>
  <c r="H437" i="41"/>
  <c r="K31" i="39"/>
  <c r="H128" i="29"/>
  <c r="I128" i="29"/>
  <c r="J128" i="29"/>
  <c r="I161" i="29"/>
  <c r="J161" i="29"/>
  <c r="H161" i="29"/>
  <c r="I210" i="41"/>
  <c r="K210" i="41"/>
  <c r="J210" i="41"/>
  <c r="H210" i="41"/>
  <c r="E210" i="41"/>
  <c r="H23" i="41"/>
  <c r="E23" i="41"/>
  <c r="J23" i="41"/>
  <c r="I23" i="41"/>
  <c r="K23" i="41"/>
  <c r="I22" i="41"/>
  <c r="H22" i="41"/>
  <c r="E22" i="41"/>
  <c r="J22" i="41"/>
  <c r="K22" i="41"/>
  <c r="I61" i="29"/>
  <c r="H61" i="29"/>
  <c r="J61" i="29"/>
  <c r="I108" i="29"/>
  <c r="J108" i="29"/>
  <c r="H108" i="29"/>
  <c r="I376" i="41"/>
  <c r="J376" i="41"/>
  <c r="H376" i="41"/>
  <c r="E376" i="41"/>
  <c r="K376" i="41"/>
  <c r="H410" i="41"/>
  <c r="K410" i="41"/>
  <c r="J410" i="41"/>
  <c r="I410" i="41"/>
  <c r="E410" i="41"/>
  <c r="K336" i="41"/>
  <c r="H336" i="41"/>
  <c r="J336" i="41"/>
  <c r="E336" i="41"/>
  <c r="I336" i="41"/>
  <c r="J371" i="41"/>
  <c r="E371" i="41"/>
  <c r="H371" i="41"/>
  <c r="I371" i="41"/>
  <c r="K371" i="41"/>
  <c r="I484" i="41"/>
  <c r="J484" i="41"/>
  <c r="H484" i="41"/>
  <c r="E484" i="41"/>
  <c r="K484" i="41"/>
  <c r="K508" i="41"/>
  <c r="I508" i="41"/>
  <c r="E508" i="41"/>
  <c r="H508" i="41"/>
  <c r="J508" i="41"/>
  <c r="K283" i="41"/>
  <c r="J283" i="41"/>
  <c r="H283" i="41"/>
  <c r="I283" i="41"/>
  <c r="E283" i="41"/>
  <c r="J602" i="41"/>
  <c r="H602" i="41"/>
  <c r="E602" i="41"/>
  <c r="I602" i="41"/>
  <c r="K602" i="41"/>
  <c r="E62" i="41"/>
  <c r="K62" i="41"/>
  <c r="H62" i="41"/>
  <c r="I62" i="41"/>
  <c r="J62" i="41"/>
  <c r="J47" i="41"/>
  <c r="I47" i="41"/>
  <c r="E47" i="41"/>
  <c r="H47" i="41"/>
  <c r="K47" i="41"/>
  <c r="H22" i="29"/>
  <c r="J22" i="29"/>
  <c r="I22" i="29"/>
  <c r="H143" i="29"/>
  <c r="J143" i="29"/>
  <c r="I143" i="29"/>
  <c r="H43" i="29"/>
  <c r="J43" i="29"/>
  <c r="I43" i="29"/>
  <c r="I120" i="29"/>
  <c r="J120" i="29"/>
  <c r="H120" i="29"/>
  <c r="I38" i="29"/>
  <c r="J38" i="29"/>
  <c r="H38" i="29"/>
  <c r="I69" i="29"/>
  <c r="J69" i="29"/>
  <c r="H69" i="29"/>
  <c r="E614" i="41"/>
  <c r="J614" i="41"/>
  <c r="K614" i="41"/>
  <c r="I614" i="41"/>
  <c r="H614" i="41"/>
  <c r="H379" i="41"/>
  <c r="K379" i="41"/>
  <c r="E379" i="41"/>
  <c r="I379" i="41"/>
  <c r="J379" i="41"/>
  <c r="K287" i="41"/>
  <c r="E287" i="41"/>
  <c r="J287" i="41"/>
  <c r="H287" i="41"/>
  <c r="I287" i="41"/>
  <c r="H296" i="41"/>
  <c r="J296" i="41"/>
  <c r="E296" i="41"/>
  <c r="K296" i="41"/>
  <c r="I296" i="41"/>
  <c r="J632" i="41"/>
  <c r="H632" i="41"/>
  <c r="E632" i="41"/>
  <c r="I632" i="41"/>
  <c r="K632" i="41"/>
  <c r="H567" i="41"/>
  <c r="J567" i="41"/>
  <c r="K567" i="41"/>
  <c r="I567" i="41"/>
  <c r="E567" i="41"/>
  <c r="K20" i="39"/>
  <c r="J385" i="41"/>
  <c r="K385" i="41"/>
  <c r="I385" i="41"/>
  <c r="H385" i="41"/>
  <c r="E385" i="41"/>
  <c r="E207" i="41"/>
  <c r="J207" i="41"/>
  <c r="I207" i="41"/>
  <c r="K207" i="41"/>
  <c r="H207" i="41"/>
  <c r="E199" i="41"/>
  <c r="K199" i="41"/>
  <c r="I199" i="41"/>
  <c r="H199" i="41"/>
  <c r="J199" i="41"/>
  <c r="I523" i="41"/>
  <c r="K523" i="41"/>
  <c r="E523" i="41"/>
  <c r="J523" i="41"/>
  <c r="H523" i="41"/>
  <c r="J559" i="41"/>
  <c r="E559" i="41"/>
  <c r="K559" i="41"/>
  <c r="I559" i="41"/>
  <c r="H559" i="41"/>
  <c r="K670" i="41"/>
  <c r="H670" i="41"/>
  <c r="J670" i="41"/>
  <c r="I670" i="41"/>
  <c r="E670" i="41"/>
  <c r="J214" i="41"/>
  <c r="E214" i="41"/>
  <c r="I214" i="41"/>
  <c r="H214" i="41"/>
  <c r="K214" i="41"/>
  <c r="J218" i="41"/>
  <c r="E218" i="41"/>
  <c r="H218" i="41"/>
  <c r="K218" i="41"/>
  <c r="I218" i="41"/>
  <c r="J161" i="41"/>
  <c r="E161" i="41"/>
  <c r="K161" i="41"/>
  <c r="H161" i="41"/>
  <c r="I161" i="41"/>
  <c r="I540" i="41"/>
  <c r="K540" i="41"/>
  <c r="J540" i="41"/>
  <c r="E540" i="41"/>
  <c r="H540" i="41"/>
  <c r="H153" i="29"/>
  <c r="J153" i="29"/>
  <c r="I153" i="29"/>
  <c r="H93" i="29"/>
  <c r="J93" i="29"/>
  <c r="I93" i="29"/>
  <c r="J27" i="29"/>
  <c r="I27" i="29"/>
  <c r="H27" i="29"/>
  <c r="J128" i="41"/>
  <c r="I128" i="41"/>
  <c r="K128" i="41"/>
  <c r="H128" i="41"/>
  <c r="E128" i="41"/>
  <c r="J95" i="41"/>
  <c r="I95" i="41"/>
  <c r="H95" i="41"/>
  <c r="K95" i="41"/>
  <c r="E95" i="41"/>
  <c r="J626" i="41"/>
  <c r="E626" i="41"/>
  <c r="I626" i="41"/>
  <c r="K626" i="41"/>
  <c r="H626" i="41"/>
  <c r="J658" i="41"/>
  <c r="I658" i="41"/>
  <c r="E658" i="41"/>
  <c r="H658" i="41"/>
  <c r="K658" i="41"/>
  <c r="J109" i="41"/>
  <c r="K109" i="41"/>
  <c r="E109" i="41"/>
  <c r="H109" i="41"/>
  <c r="I109" i="41"/>
  <c r="K539" i="41"/>
  <c r="J539" i="41"/>
  <c r="E539" i="41"/>
  <c r="I539" i="41"/>
  <c r="H539" i="41"/>
  <c r="E629" i="41"/>
  <c r="K629" i="41"/>
  <c r="J629" i="41"/>
  <c r="H629" i="41"/>
  <c r="I629" i="41"/>
  <c r="K440" i="41"/>
  <c r="H440" i="41"/>
  <c r="I440" i="41"/>
  <c r="E440" i="41"/>
  <c r="J440" i="41"/>
  <c r="K542" i="41"/>
  <c r="J542" i="41"/>
  <c r="H542" i="41"/>
  <c r="E542" i="41"/>
  <c r="I542" i="41"/>
  <c r="H493" i="41"/>
  <c r="E493" i="41"/>
  <c r="K493" i="41"/>
  <c r="J493" i="41"/>
  <c r="I493" i="41"/>
  <c r="E369" i="41"/>
  <c r="J369" i="41"/>
  <c r="K369" i="41"/>
  <c r="H369" i="41"/>
  <c r="I369" i="41"/>
  <c r="H303" i="41"/>
  <c r="E303" i="41"/>
  <c r="K303" i="41"/>
  <c r="I303" i="41"/>
  <c r="J303" i="41"/>
  <c r="J125" i="41"/>
  <c r="K125" i="41"/>
  <c r="H125" i="41"/>
  <c r="I125" i="41"/>
  <c r="E125" i="41"/>
  <c r="J225" i="41"/>
  <c r="K225" i="41"/>
  <c r="H225" i="41"/>
  <c r="I225" i="41"/>
  <c r="E225" i="41"/>
  <c r="I310" i="41"/>
  <c r="E310" i="41"/>
  <c r="K310" i="41"/>
  <c r="J310" i="41"/>
  <c r="H310" i="41"/>
  <c r="K32" i="39"/>
  <c r="H144" i="41"/>
  <c r="J144" i="41"/>
  <c r="I144" i="41"/>
  <c r="E144" i="41"/>
  <c r="K144" i="41"/>
  <c r="H79" i="29"/>
  <c r="J79" i="29"/>
  <c r="I79" i="29"/>
  <c r="E181" i="41"/>
  <c r="K181" i="41"/>
  <c r="I181" i="41"/>
  <c r="H181" i="41"/>
  <c r="J181" i="41"/>
  <c r="J456" i="41"/>
  <c r="H456" i="41"/>
  <c r="K456" i="41"/>
  <c r="I456" i="41"/>
  <c r="E456" i="41"/>
  <c r="E534" i="41"/>
  <c r="H534" i="41"/>
  <c r="I534" i="41"/>
  <c r="J534" i="41"/>
  <c r="K534" i="41"/>
  <c r="H499" i="41"/>
  <c r="J499" i="41"/>
  <c r="K499" i="41"/>
  <c r="I499" i="41"/>
  <c r="E499" i="41"/>
  <c r="I686" i="41"/>
  <c r="J686" i="41"/>
  <c r="K686" i="41"/>
  <c r="E686" i="41"/>
  <c r="H686" i="41"/>
  <c r="K557" i="41"/>
  <c r="E557" i="41"/>
  <c r="J557" i="41"/>
  <c r="I557" i="41"/>
  <c r="H557" i="41"/>
  <c r="J137" i="41"/>
  <c r="E137" i="41"/>
  <c r="K137" i="41"/>
  <c r="I137" i="41"/>
  <c r="H137" i="41"/>
  <c r="I83" i="29"/>
  <c r="H83" i="29"/>
  <c r="J83" i="29"/>
  <c r="I127" i="29"/>
  <c r="J127" i="29"/>
  <c r="H127" i="29"/>
  <c r="J90" i="29"/>
  <c r="I90" i="29"/>
  <c r="H90" i="29"/>
  <c r="H82" i="41"/>
  <c r="I82" i="41"/>
  <c r="E82" i="41"/>
  <c r="J82" i="41"/>
  <c r="K82" i="41"/>
  <c r="E326" i="41"/>
  <c r="K326" i="41"/>
  <c r="J326" i="41"/>
  <c r="H326" i="41"/>
  <c r="I326" i="41"/>
  <c r="K637" i="41"/>
  <c r="J637" i="41"/>
  <c r="H637" i="41"/>
  <c r="E637" i="41"/>
  <c r="I637" i="41"/>
  <c r="H81" i="41"/>
  <c r="J81" i="41"/>
  <c r="I81" i="41"/>
  <c r="E81" i="41"/>
  <c r="K81" i="41"/>
  <c r="E363" i="41"/>
  <c r="K363" i="41"/>
  <c r="J363" i="41"/>
  <c r="H363" i="41"/>
  <c r="I363" i="41"/>
  <c r="E417" i="41"/>
  <c r="J417" i="41"/>
  <c r="I417" i="41"/>
  <c r="K417" i="41"/>
  <c r="H417" i="41"/>
  <c r="I244" i="41"/>
  <c r="H244" i="41"/>
  <c r="E244" i="41"/>
  <c r="K244" i="41"/>
  <c r="J244" i="41"/>
  <c r="J319" i="41"/>
  <c r="H319" i="41"/>
  <c r="E319" i="41"/>
  <c r="I319" i="41"/>
  <c r="K319" i="41"/>
  <c r="I280" i="41"/>
  <c r="J280" i="41"/>
  <c r="H280" i="41"/>
  <c r="K280" i="41"/>
  <c r="E280" i="41"/>
  <c r="H479" i="41"/>
  <c r="K479" i="41"/>
  <c r="E479" i="41"/>
  <c r="J479" i="41"/>
  <c r="I479" i="41"/>
  <c r="J405" i="41"/>
  <c r="H405" i="41"/>
  <c r="K405" i="41"/>
  <c r="I405" i="41"/>
  <c r="E405" i="41"/>
  <c r="H213" i="41"/>
  <c r="E213" i="41"/>
  <c r="I213" i="41"/>
  <c r="K213" i="41"/>
  <c r="J213" i="41"/>
  <c r="I404" i="41"/>
  <c r="E404" i="41"/>
  <c r="J404" i="41"/>
  <c r="K404" i="41"/>
  <c r="H404" i="41"/>
  <c r="H279" i="41"/>
  <c r="E279" i="41"/>
  <c r="I279" i="41"/>
  <c r="K279" i="41"/>
  <c r="J279" i="41"/>
  <c r="H100" i="29"/>
  <c r="I100" i="29"/>
  <c r="J100" i="29"/>
  <c r="H136" i="29"/>
  <c r="J136" i="29"/>
  <c r="I136" i="29"/>
  <c r="E234" i="41"/>
  <c r="I234" i="41"/>
  <c r="J234" i="41"/>
  <c r="H234" i="41"/>
  <c r="K234" i="41"/>
  <c r="H412" i="41"/>
  <c r="E412" i="41"/>
  <c r="I412" i="41"/>
  <c r="K412" i="41"/>
  <c r="J412" i="41"/>
  <c r="I348" i="41"/>
  <c r="J348" i="41"/>
  <c r="E348" i="41"/>
  <c r="H348" i="41"/>
  <c r="K348" i="41"/>
  <c r="E566" i="41"/>
  <c r="H566" i="41"/>
  <c r="I566" i="41"/>
  <c r="K566" i="41"/>
  <c r="J566" i="41"/>
  <c r="I706" i="41"/>
  <c r="J706" i="41"/>
  <c r="K706" i="41"/>
  <c r="H706" i="41"/>
  <c r="E706" i="41"/>
  <c r="K133" i="41"/>
  <c r="E133" i="41"/>
  <c r="H133" i="41"/>
  <c r="I133" i="41"/>
  <c r="J133" i="41"/>
  <c r="K28" i="39"/>
  <c r="H57" i="29"/>
  <c r="I57" i="29"/>
  <c r="J57" i="29"/>
  <c r="K102" i="41"/>
  <c r="H102" i="41"/>
  <c r="I102" i="41"/>
  <c r="E102" i="41"/>
  <c r="J102" i="41"/>
  <c r="H416" i="41"/>
  <c r="K416" i="41"/>
  <c r="I416" i="41"/>
  <c r="J416" i="41"/>
  <c r="E416" i="41"/>
  <c r="H167" i="41"/>
  <c r="J167" i="41"/>
  <c r="I167" i="41"/>
  <c r="K167" i="41"/>
  <c r="E167" i="41"/>
  <c r="H208" i="41"/>
  <c r="K208" i="41"/>
  <c r="I208" i="41"/>
  <c r="J208" i="41"/>
  <c r="E208" i="41"/>
  <c r="I668" i="41"/>
  <c r="K668" i="41"/>
  <c r="J668" i="41"/>
  <c r="E668" i="41"/>
  <c r="H668" i="41"/>
  <c r="K548" i="41"/>
  <c r="I548" i="41"/>
  <c r="E548" i="41"/>
  <c r="J548" i="41"/>
  <c r="H548" i="41"/>
  <c r="K645" i="41"/>
  <c r="H645" i="41"/>
  <c r="I645" i="41"/>
  <c r="J645" i="41"/>
  <c r="E645" i="41"/>
  <c r="H690" i="41"/>
  <c r="J690" i="41"/>
  <c r="E690" i="41"/>
  <c r="K690" i="41"/>
  <c r="I690" i="41"/>
  <c r="J53" i="29"/>
  <c r="I53" i="29"/>
  <c r="H53" i="29"/>
  <c r="K680" i="41"/>
  <c r="I680" i="41"/>
  <c r="J680" i="41"/>
  <c r="H680" i="41"/>
  <c r="E680" i="41"/>
  <c r="E205" i="41"/>
  <c r="K205" i="41"/>
  <c r="H205" i="41"/>
  <c r="J205" i="41"/>
  <c r="I205" i="41"/>
  <c r="I103" i="41"/>
  <c r="J103" i="41"/>
  <c r="H103" i="41"/>
  <c r="K103" i="41"/>
  <c r="E103" i="41"/>
  <c r="K119" i="41"/>
  <c r="H119" i="41"/>
  <c r="I119" i="41"/>
  <c r="J119" i="41"/>
  <c r="E119" i="41"/>
  <c r="K580" i="41"/>
  <c r="J580" i="41"/>
  <c r="E580" i="41"/>
  <c r="I580" i="41"/>
  <c r="H580" i="41"/>
  <c r="J39" i="41"/>
  <c r="H39" i="41"/>
  <c r="E39" i="41"/>
  <c r="I39" i="41"/>
  <c r="K39" i="41"/>
  <c r="E300" i="41"/>
  <c r="H300" i="41"/>
  <c r="I300" i="41"/>
  <c r="J300" i="41"/>
  <c r="K300" i="41"/>
  <c r="K156" i="41"/>
  <c r="E156" i="41"/>
  <c r="J156" i="41"/>
  <c r="H156" i="41"/>
  <c r="I156" i="41"/>
  <c r="I678" i="41"/>
  <c r="E678" i="41"/>
  <c r="H678" i="41"/>
  <c r="K678" i="41"/>
  <c r="J678" i="41"/>
  <c r="H142" i="29"/>
  <c r="J142" i="29"/>
  <c r="I142" i="29"/>
  <c r="I73" i="29"/>
  <c r="J73" i="29"/>
  <c r="H73" i="29"/>
  <c r="K189" i="41"/>
  <c r="E189" i="41"/>
  <c r="H189" i="41"/>
  <c r="J189" i="41"/>
  <c r="I189" i="41"/>
  <c r="E49" i="41"/>
  <c r="I49" i="41"/>
  <c r="H49" i="41"/>
  <c r="J49" i="41"/>
  <c r="K49" i="41"/>
  <c r="E274" i="41"/>
  <c r="H274" i="41"/>
  <c r="I274" i="41"/>
  <c r="K274" i="41"/>
  <c r="J274" i="41"/>
  <c r="I43" i="41"/>
  <c r="H43" i="41"/>
  <c r="K43" i="41"/>
  <c r="J43" i="41"/>
  <c r="E43" i="41"/>
  <c r="E302" i="41"/>
  <c r="I302" i="41"/>
  <c r="J302" i="41"/>
  <c r="K302" i="41"/>
  <c r="H302" i="41"/>
  <c r="H83" i="41"/>
  <c r="E83" i="41"/>
  <c r="J83" i="41"/>
  <c r="I83" i="41"/>
  <c r="K83" i="41"/>
  <c r="E572" i="41"/>
  <c r="H572" i="41"/>
  <c r="I572" i="41"/>
  <c r="J572" i="41"/>
  <c r="K572" i="41"/>
  <c r="E328" i="41"/>
  <c r="K328" i="41"/>
  <c r="I328" i="41"/>
  <c r="J328" i="41"/>
  <c r="H328" i="41"/>
  <c r="H638" i="41"/>
  <c r="K638" i="41"/>
  <c r="E638" i="41"/>
  <c r="J638" i="41"/>
  <c r="I638" i="41"/>
  <c r="I97" i="29"/>
  <c r="H97" i="29"/>
  <c r="J97" i="29"/>
  <c r="I56" i="29"/>
  <c r="J56" i="29"/>
  <c r="H56" i="29"/>
  <c r="I39" i="29"/>
  <c r="H39" i="29"/>
  <c r="J39" i="29"/>
  <c r="J68" i="29"/>
  <c r="H68" i="29"/>
  <c r="I68" i="29"/>
  <c r="K413" i="41"/>
  <c r="E413" i="41"/>
  <c r="I413" i="41"/>
  <c r="J413" i="41"/>
  <c r="H413" i="41"/>
  <c r="J245" i="41"/>
  <c r="H245" i="41"/>
  <c r="I245" i="41"/>
  <c r="E245" i="41"/>
  <c r="K245" i="41"/>
  <c r="E408" i="41"/>
  <c r="H408" i="41"/>
  <c r="K408" i="41"/>
  <c r="J408" i="41"/>
  <c r="I408" i="41"/>
  <c r="K442" i="41"/>
  <c r="J442" i="41"/>
  <c r="H442" i="41"/>
  <c r="E442" i="41"/>
  <c r="I442" i="41"/>
  <c r="I563" i="41"/>
  <c r="K563" i="41"/>
  <c r="E563" i="41"/>
  <c r="H563" i="41"/>
  <c r="J563" i="41"/>
  <c r="E675" i="41"/>
  <c r="H675" i="41"/>
  <c r="J675" i="41"/>
  <c r="K675" i="41"/>
  <c r="I675" i="41"/>
  <c r="H159" i="29"/>
  <c r="J159" i="29"/>
  <c r="I159" i="29"/>
  <c r="H122" i="29"/>
  <c r="I122" i="29"/>
  <c r="J122" i="29"/>
  <c r="I30" i="29"/>
  <c r="H30" i="29"/>
  <c r="J30" i="29"/>
  <c r="E315" i="41"/>
  <c r="J315" i="41"/>
  <c r="I315" i="41"/>
  <c r="H315" i="41"/>
  <c r="K315" i="41"/>
  <c r="H374" i="41"/>
  <c r="I374" i="41"/>
  <c r="K374" i="41"/>
  <c r="E374" i="41"/>
  <c r="J374" i="41"/>
  <c r="J250" i="41"/>
  <c r="H250" i="41"/>
  <c r="I250" i="41"/>
  <c r="K250" i="41"/>
  <c r="E250" i="41"/>
  <c r="K597" i="41"/>
  <c r="J597" i="41"/>
  <c r="E597" i="41"/>
  <c r="H597" i="41"/>
  <c r="I597" i="41"/>
  <c r="K505" i="41"/>
  <c r="E505" i="41"/>
  <c r="I505" i="41"/>
  <c r="H505" i="41"/>
  <c r="J505" i="41"/>
  <c r="J359" i="41"/>
  <c r="I359" i="41"/>
  <c r="H359" i="41"/>
  <c r="K359" i="41"/>
  <c r="E359" i="41"/>
  <c r="I676" i="41"/>
  <c r="J676" i="41"/>
  <c r="H676" i="41"/>
  <c r="K676" i="41"/>
  <c r="E676" i="41"/>
  <c r="E223" i="41"/>
  <c r="I223" i="41"/>
  <c r="J223" i="41"/>
  <c r="H223" i="41"/>
  <c r="K223" i="41"/>
  <c r="I344" i="41"/>
  <c r="K344" i="41"/>
  <c r="H344" i="41"/>
  <c r="E344" i="41"/>
  <c r="J344" i="41"/>
  <c r="E530" i="41"/>
  <c r="J530" i="41"/>
  <c r="I530" i="41"/>
  <c r="K530" i="41"/>
  <c r="H530" i="41"/>
  <c r="J365" i="41"/>
  <c r="H365" i="41"/>
  <c r="K365" i="41"/>
  <c r="I365" i="41"/>
  <c r="E365" i="41"/>
  <c r="I67" i="41"/>
  <c r="K67" i="41"/>
  <c r="E67" i="41"/>
  <c r="H67" i="41"/>
  <c r="J67" i="41"/>
  <c r="I148" i="29"/>
  <c r="J148" i="29"/>
  <c r="H148" i="29"/>
  <c r="H156" i="29"/>
  <c r="I156" i="29"/>
  <c r="J156" i="29"/>
  <c r="I55" i="29"/>
  <c r="H55" i="29"/>
  <c r="J55" i="29"/>
  <c r="J118" i="29"/>
  <c r="I118" i="29"/>
  <c r="H118" i="29"/>
  <c r="H116" i="29"/>
  <c r="J116" i="29"/>
  <c r="I116" i="29"/>
  <c r="I186" i="41"/>
  <c r="E186" i="41"/>
  <c r="H186" i="41"/>
  <c r="J186" i="41"/>
  <c r="K186" i="41"/>
  <c r="J57" i="41"/>
  <c r="E57" i="41"/>
  <c r="K57" i="41"/>
  <c r="I57" i="41"/>
  <c r="H57" i="41"/>
  <c r="I331" i="41"/>
  <c r="E331" i="41"/>
  <c r="H331" i="41"/>
  <c r="J331" i="41"/>
  <c r="K331" i="41"/>
  <c r="I500" i="41"/>
  <c r="E500" i="41"/>
  <c r="H500" i="41"/>
  <c r="K500" i="41"/>
  <c r="J500" i="41"/>
  <c r="H184" i="41"/>
  <c r="I184" i="41"/>
  <c r="J184" i="41"/>
  <c r="E184" i="41"/>
  <c r="K184" i="41"/>
  <c r="I396" i="41"/>
  <c r="K396" i="41"/>
  <c r="H396" i="41"/>
  <c r="J396" i="41"/>
  <c r="E396" i="41"/>
  <c r="I546" i="41"/>
  <c r="K546" i="41"/>
  <c r="H546" i="41"/>
  <c r="J546" i="41"/>
  <c r="E546" i="41"/>
  <c r="J610" i="41"/>
  <c r="I610" i="41"/>
  <c r="E610" i="41"/>
  <c r="K610" i="41"/>
  <c r="H610" i="41"/>
  <c r="K70" i="41"/>
  <c r="E70" i="41"/>
  <c r="H70" i="41"/>
  <c r="I70" i="41"/>
  <c r="J70" i="41"/>
  <c r="K606" i="41"/>
  <c r="E606" i="41"/>
  <c r="I606" i="41"/>
  <c r="J606" i="41"/>
  <c r="H606" i="41"/>
  <c r="H124" i="29"/>
  <c r="I124" i="29"/>
  <c r="J124" i="29"/>
  <c r="H75" i="29"/>
  <c r="J75" i="29"/>
  <c r="I75" i="29"/>
  <c r="I158" i="29"/>
  <c r="H158" i="29"/>
  <c r="J158" i="29"/>
  <c r="H298" i="41"/>
  <c r="I298" i="41"/>
  <c r="J298" i="41"/>
  <c r="K298" i="41"/>
  <c r="E298" i="41"/>
  <c r="K583" i="41"/>
  <c r="H583" i="41"/>
  <c r="J583" i="41"/>
  <c r="E583" i="41"/>
  <c r="I583" i="41"/>
  <c r="E503" i="41"/>
  <c r="J503" i="41"/>
  <c r="I503" i="41"/>
  <c r="H503" i="41"/>
  <c r="K503" i="41"/>
  <c r="H138" i="41"/>
  <c r="J138" i="41"/>
  <c r="I138" i="41"/>
  <c r="K138" i="41"/>
  <c r="E138" i="41"/>
  <c r="K230" i="41"/>
  <c r="I230" i="41"/>
  <c r="H230" i="41"/>
  <c r="E230" i="41"/>
  <c r="J230" i="41"/>
  <c r="E168" i="41"/>
  <c r="H168" i="41"/>
  <c r="I168" i="41"/>
  <c r="K168" i="41"/>
  <c r="J168" i="41"/>
  <c r="K562" i="41"/>
  <c r="I562" i="41"/>
  <c r="H562" i="41"/>
  <c r="E562" i="41"/>
  <c r="J562" i="41"/>
  <c r="K18" i="39" l="1"/>
  <c r="K16" i="39"/>
  <c r="K24" i="39"/>
  <c r="K26" i="39"/>
  <c r="K30" i="39"/>
  <c r="I38" i="39"/>
  <c r="I39" i="39" s="1"/>
  <c r="I40" i="39" s="1"/>
  <c r="K19" i="39"/>
  <c r="J38" i="39"/>
  <c r="J39" i="39" s="1"/>
  <c r="J40" i="39" s="1"/>
  <c r="K17" i="39"/>
  <c r="E11" i="54"/>
  <c r="L11" i="54" s="1"/>
  <c r="M11" i="54" s="1"/>
  <c r="I12" i="54"/>
  <c r="D12" i="54"/>
  <c r="C13" i="54"/>
  <c r="H12" i="54"/>
  <c r="K19" i="29"/>
  <c r="K60" i="29"/>
  <c r="K117" i="29"/>
  <c r="K35" i="29"/>
  <c r="K37" i="29"/>
  <c r="K104" i="29"/>
  <c r="K115" i="29"/>
  <c r="K26" i="29"/>
  <c r="K50" i="29"/>
  <c r="K75" i="29"/>
  <c r="K118" i="29"/>
  <c r="K55" i="29"/>
  <c r="K156" i="29"/>
  <c r="K159" i="29"/>
  <c r="K68" i="29"/>
  <c r="K73" i="29"/>
  <c r="K57" i="29"/>
  <c r="K90" i="29"/>
  <c r="K22" i="29"/>
  <c r="K108" i="29"/>
  <c r="K61" i="29"/>
  <c r="K20" i="29"/>
  <c r="K123" i="29"/>
  <c r="K99" i="29"/>
  <c r="K105" i="29"/>
  <c r="K45" i="29"/>
  <c r="K62" i="29"/>
  <c r="K84" i="29"/>
  <c r="K80" i="29"/>
  <c r="K112" i="29"/>
  <c r="K101" i="29"/>
  <c r="K74" i="29"/>
  <c r="K126" i="29"/>
  <c r="K58" i="29"/>
  <c r="K140" i="29"/>
  <c r="K163" i="29"/>
  <c r="K47" i="29"/>
  <c r="K63" i="29"/>
  <c r="K151" i="29"/>
  <c r="K82" i="29"/>
  <c r="K137" i="29"/>
  <c r="K133" i="29"/>
  <c r="K106" i="29"/>
  <c r="K42" i="29"/>
  <c r="K116" i="29"/>
  <c r="K165" i="29"/>
  <c r="K124" i="29"/>
  <c r="K136" i="29"/>
  <c r="K79" i="29"/>
  <c r="K93" i="29"/>
  <c r="K38" i="29"/>
  <c r="K43" i="29"/>
  <c r="K128" i="29"/>
  <c r="K134" i="29"/>
  <c r="K25" i="29"/>
  <c r="K111" i="29"/>
  <c r="K17" i="29"/>
  <c r="H168" i="29"/>
  <c r="K40" i="29"/>
  <c r="K81" i="29"/>
  <c r="K48" i="29"/>
  <c r="K31" i="29"/>
  <c r="K51" i="29"/>
  <c r="K71" i="29"/>
  <c r="K46" i="29"/>
  <c r="K164" i="29"/>
  <c r="K89" i="29"/>
  <c r="K29" i="29"/>
  <c r="K129" i="29"/>
  <c r="K150" i="29"/>
  <c r="K141" i="29"/>
  <c r="K34" i="29"/>
  <c r="K64" i="29"/>
  <c r="K49" i="29"/>
  <c r="K114" i="29"/>
  <c r="K23" i="29"/>
  <c r="K158" i="29"/>
  <c r="K39" i="29"/>
  <c r="K53" i="29"/>
  <c r="K127" i="29"/>
  <c r="K83" i="29"/>
  <c r="K69" i="29"/>
  <c r="K109" i="29"/>
  <c r="K152" i="29"/>
  <c r="K96" i="29"/>
  <c r="K125" i="29"/>
  <c r="J168" i="29"/>
  <c r="K78" i="29"/>
  <c r="K119" i="29"/>
  <c r="K95" i="29"/>
  <c r="K145" i="29"/>
  <c r="K131" i="29"/>
  <c r="K92" i="29"/>
  <c r="K160" i="29"/>
  <c r="K87" i="29"/>
  <c r="K110" i="29"/>
  <c r="K44" i="29"/>
  <c r="K86" i="29"/>
  <c r="K144" i="29"/>
  <c r="K98" i="29"/>
  <c r="K149" i="29"/>
  <c r="K88" i="29"/>
  <c r="K24" i="29"/>
  <c r="K103" i="29"/>
  <c r="K70" i="29"/>
  <c r="K113" i="29"/>
  <c r="K148" i="29"/>
  <c r="K30" i="29"/>
  <c r="K122" i="29"/>
  <c r="K56" i="29"/>
  <c r="K97" i="29"/>
  <c r="K142" i="29"/>
  <c r="K100" i="29"/>
  <c r="K27" i="29"/>
  <c r="K153" i="29"/>
  <c r="K120" i="29"/>
  <c r="K143" i="29"/>
  <c r="K161" i="29"/>
  <c r="K28" i="29"/>
  <c r="K139" i="29"/>
  <c r="I168" i="29"/>
  <c r="K162" i="29"/>
  <c r="K85" i="29"/>
  <c r="K18" i="29"/>
  <c r="K107" i="29"/>
  <c r="K76" i="29"/>
  <c r="K59" i="29"/>
  <c r="K72" i="29"/>
  <c r="K155" i="29"/>
  <c r="K94" i="29"/>
  <c r="K66" i="29"/>
  <c r="K130" i="29"/>
  <c r="K102" i="29"/>
  <c r="K91" i="29"/>
  <c r="K21" i="29"/>
  <c r="K146" i="29"/>
  <c r="K52" i="29"/>
  <c r="K132" i="29"/>
  <c r="K67" i="29"/>
  <c r="K154" i="29"/>
  <c r="K36" i="29"/>
  <c r="K32" i="29"/>
  <c r="K77" i="29"/>
  <c r="K54" i="29"/>
  <c r="K138" i="29"/>
  <c r="K41" i="29"/>
  <c r="K147" i="29"/>
  <c r="K157" i="29"/>
  <c r="K135" i="29"/>
  <c r="K33" i="29"/>
  <c r="K65" i="29"/>
  <c r="K121" i="29"/>
  <c r="H39" i="39"/>
  <c r="H40" i="39" s="1"/>
  <c r="D11" i="59"/>
  <c r="F7" i="54"/>
  <c r="K38" i="39" l="1"/>
  <c r="K39" i="39" s="1"/>
  <c r="K40" i="39" s="1"/>
  <c r="E12" i="54"/>
  <c r="L12" i="54" s="1"/>
  <c r="M12" i="54" s="1"/>
  <c r="I13" i="54"/>
  <c r="H13" i="54"/>
  <c r="C14" i="54"/>
  <c r="D13" i="54"/>
  <c r="H169" i="29"/>
  <c r="H170" i="29" s="1"/>
  <c r="K168" i="29"/>
  <c r="I169" i="29"/>
  <c r="I170" i="29" s="1"/>
  <c r="J169" i="29"/>
  <c r="J170" i="29" s="1"/>
  <c r="G27" i="54"/>
  <c r="G13" i="54"/>
  <c r="G29" i="54"/>
  <c r="G28" i="54"/>
  <c r="G30" i="54"/>
  <c r="G31" i="54"/>
  <c r="G19" i="54"/>
  <c r="G8" i="54"/>
  <c r="J8" i="54" s="1"/>
  <c r="N8" i="54" s="1"/>
  <c r="P8" i="54" s="1"/>
  <c r="G32" i="54"/>
  <c r="G11" i="54"/>
  <c r="J11" i="54" s="1"/>
  <c r="N11" i="54" s="1"/>
  <c r="P11" i="54" s="1"/>
  <c r="G10" i="54"/>
  <c r="J10" i="54" s="1"/>
  <c r="N10" i="54" s="1"/>
  <c r="P10" i="54" s="1"/>
  <c r="G20" i="54"/>
  <c r="G23" i="54"/>
  <c r="G16" i="54"/>
  <c r="G12" i="54"/>
  <c r="J12" i="54" s="1"/>
  <c r="G22" i="54"/>
  <c r="G18" i="54"/>
  <c r="G26" i="54"/>
  <c r="G25" i="54"/>
  <c r="G21" i="54"/>
  <c r="G15" i="54"/>
  <c r="G14" i="54"/>
  <c r="G9" i="54"/>
  <c r="J9" i="54" s="1"/>
  <c r="N9" i="54" s="1"/>
  <c r="P9" i="54" s="1"/>
  <c r="G24" i="54"/>
  <c r="G17" i="54"/>
  <c r="G7" i="54"/>
  <c r="J7" i="54" s="1"/>
  <c r="N12" i="54" l="1"/>
  <c r="P12" i="54" s="1"/>
  <c r="J13" i="54"/>
  <c r="E13" i="54"/>
  <c r="L13" i="54" s="1"/>
  <c r="M13" i="54" s="1"/>
  <c r="C15" i="54"/>
  <c r="I14" i="54"/>
  <c r="D14" i="54"/>
  <c r="H14" i="54"/>
  <c r="N7" i="54"/>
  <c r="K169" i="29"/>
  <c r="K170" i="29" s="1"/>
  <c r="J14" i="54" l="1"/>
  <c r="C16" i="54"/>
  <c r="D15" i="54"/>
  <c r="H15" i="54"/>
  <c r="I15" i="54"/>
  <c r="E14" i="54"/>
  <c r="L14" i="54" s="1"/>
  <c r="M14" i="54" s="1"/>
  <c r="N13" i="54"/>
  <c r="P13" i="54" s="1"/>
  <c r="P7" i="54"/>
  <c r="Q7" i="54" s="1"/>
  <c r="N14" i="54" l="1"/>
  <c r="P14" i="54" s="1"/>
  <c r="J15" i="54"/>
  <c r="E15" i="54"/>
  <c r="L15" i="54" s="1"/>
  <c r="M15" i="54" s="1"/>
  <c r="I16" i="54"/>
  <c r="D16" i="54"/>
  <c r="E16" i="54" s="1"/>
  <c r="C17" i="54"/>
  <c r="H16" i="54"/>
  <c r="S7" i="54"/>
  <c r="Q8" i="54"/>
  <c r="J16" i="54" l="1"/>
  <c r="N15" i="54"/>
  <c r="P15" i="54" s="1"/>
  <c r="H17" i="54"/>
  <c r="D17" i="54"/>
  <c r="E17" i="54" s="1"/>
  <c r="I17" i="54"/>
  <c r="C18" i="54"/>
  <c r="L16" i="54"/>
  <c r="M16" i="54" s="1"/>
  <c r="Q9" i="54"/>
  <c r="S8" i="54"/>
  <c r="N16" i="54" l="1"/>
  <c r="P16" i="54" s="1"/>
  <c r="J17" i="54"/>
  <c r="H18" i="54"/>
  <c r="D18" i="54"/>
  <c r="C19" i="54"/>
  <c r="I18" i="54"/>
  <c r="L17" i="54"/>
  <c r="M17" i="54" s="1"/>
  <c r="S9" i="54"/>
  <c r="Q10" i="54"/>
  <c r="T9" i="54"/>
  <c r="N17" i="54" l="1"/>
  <c r="P17" i="54" s="1"/>
  <c r="E18" i="54"/>
  <c r="L18" i="54" s="1"/>
  <c r="M18" i="54" s="1"/>
  <c r="D19" i="54"/>
  <c r="H19" i="54"/>
  <c r="I19" i="54"/>
  <c r="C20" i="54"/>
  <c r="J18" i="54"/>
  <c r="Q11" i="54"/>
  <c r="S10" i="54"/>
  <c r="T10" i="54"/>
  <c r="N18" i="54" l="1"/>
  <c r="P18" i="54" s="1"/>
  <c r="J19" i="54"/>
  <c r="E19" i="54"/>
  <c r="L19" i="54" s="1"/>
  <c r="M19" i="54" s="1"/>
  <c r="H20" i="54"/>
  <c r="I20" i="54"/>
  <c r="C21" i="54"/>
  <c r="D20" i="54"/>
  <c r="S11" i="54"/>
  <c r="Q12" i="54"/>
  <c r="T11" i="54"/>
  <c r="N19" i="54" l="1"/>
  <c r="P19" i="54" s="1"/>
  <c r="J20" i="54"/>
  <c r="E20" i="54"/>
  <c r="L20" i="54" s="1"/>
  <c r="M20" i="54" s="1"/>
  <c r="D21" i="54"/>
  <c r="I21" i="54"/>
  <c r="H21" i="54"/>
  <c r="C22" i="54"/>
  <c r="Q13" i="54"/>
  <c r="S12" i="54"/>
  <c r="T12" i="54"/>
  <c r="N20" i="54" l="1"/>
  <c r="P20" i="54" s="1"/>
  <c r="E21" i="54"/>
  <c r="L21" i="54" s="1"/>
  <c r="M21" i="54" s="1"/>
  <c r="I22" i="54"/>
  <c r="H22" i="54"/>
  <c r="J22" i="54" s="1"/>
  <c r="C23" i="54"/>
  <c r="D22" i="54"/>
  <c r="E22" i="54" s="1"/>
  <c r="L22" i="54" s="1"/>
  <c r="M22" i="54" s="1"/>
  <c r="J21" i="54"/>
  <c r="Q14" i="54"/>
  <c r="S13" i="54"/>
  <c r="T13" i="54"/>
  <c r="N22" i="54" l="1"/>
  <c r="P22" i="54" s="1"/>
  <c r="N21" i="54"/>
  <c r="P21" i="54" s="1"/>
  <c r="I23" i="54"/>
  <c r="C24" i="54"/>
  <c r="H23" i="54"/>
  <c r="D23" i="54"/>
  <c r="S14" i="54"/>
  <c r="Q15" i="54"/>
  <c r="T14" i="54"/>
  <c r="J23" i="54" l="1"/>
  <c r="I24" i="54"/>
  <c r="H24" i="54"/>
  <c r="D24" i="54"/>
  <c r="C25" i="54"/>
  <c r="E23" i="54"/>
  <c r="L23" i="54" s="1"/>
  <c r="M23" i="54" s="1"/>
  <c r="S15" i="54"/>
  <c r="Q16" i="54"/>
  <c r="T15" i="54"/>
  <c r="N23" i="54" l="1"/>
  <c r="P23" i="54" s="1"/>
  <c r="J24" i="54"/>
  <c r="I25" i="54"/>
  <c r="H25" i="54"/>
  <c r="C26" i="54"/>
  <c r="D25" i="54"/>
  <c r="E25" i="54" s="1"/>
  <c r="E24" i="54"/>
  <c r="L24" i="54" s="1"/>
  <c r="M24" i="54" s="1"/>
  <c r="Q17" i="54"/>
  <c r="S16" i="54"/>
  <c r="T16" i="54"/>
  <c r="J25" i="54" l="1"/>
  <c r="N24" i="54"/>
  <c r="P24" i="54" s="1"/>
  <c r="L25" i="54"/>
  <c r="M25" i="54" s="1"/>
  <c r="H26" i="54"/>
  <c r="C27" i="54"/>
  <c r="I26" i="54"/>
  <c r="D26" i="54"/>
  <c r="Q18" i="54"/>
  <c r="S17" i="54"/>
  <c r="T17" i="54"/>
  <c r="N25" i="54" l="1"/>
  <c r="P25" i="54" s="1"/>
  <c r="H27" i="54"/>
  <c r="D27" i="54"/>
  <c r="C28" i="54"/>
  <c r="I27" i="54"/>
  <c r="J26" i="54"/>
  <c r="E26" i="54"/>
  <c r="L26" i="54" s="1"/>
  <c r="M26" i="54" s="1"/>
  <c r="S18" i="54"/>
  <c r="Q19" i="54"/>
  <c r="T18" i="54"/>
  <c r="N26" i="54" l="1"/>
  <c r="P26" i="54" s="1"/>
  <c r="I28" i="54"/>
  <c r="H28" i="54"/>
  <c r="J28" i="54" s="1"/>
  <c r="D28" i="54"/>
  <c r="C29" i="54"/>
  <c r="E27" i="54"/>
  <c r="L27" i="54"/>
  <c r="M27" i="54" s="1"/>
  <c r="J27" i="54"/>
  <c r="S19" i="54"/>
  <c r="Q20" i="54"/>
  <c r="T19" i="54"/>
  <c r="E28" i="54" l="1"/>
  <c r="L28" i="54" s="1"/>
  <c r="M28" i="54" s="1"/>
  <c r="N28" i="54" s="1"/>
  <c r="P28" i="54" s="1"/>
  <c r="N27" i="54"/>
  <c r="P27" i="54" s="1"/>
  <c r="I29" i="54"/>
  <c r="C30" i="54"/>
  <c r="D29" i="54"/>
  <c r="E29" i="54" s="1"/>
  <c r="L29" i="54" s="1"/>
  <c r="M29" i="54" s="1"/>
  <c r="H29" i="54"/>
  <c r="Q21" i="54"/>
  <c r="S20" i="54"/>
  <c r="T20" i="54"/>
  <c r="J29" i="54" l="1"/>
  <c r="C31" i="54"/>
  <c r="I30" i="54"/>
  <c r="H30" i="54"/>
  <c r="D30" i="54"/>
  <c r="E30" i="54" s="1"/>
  <c r="L30" i="54" s="1"/>
  <c r="M30" i="54" s="1"/>
  <c r="S21" i="54"/>
  <c r="Q22" i="54"/>
  <c r="T21" i="54"/>
  <c r="H31" i="54" l="1"/>
  <c r="D31" i="54"/>
  <c r="I31" i="54"/>
  <c r="C32" i="54"/>
  <c r="J30" i="54"/>
  <c r="N29" i="54"/>
  <c r="P29" i="54" s="1"/>
  <c r="Q23" i="54"/>
  <c r="S22" i="54"/>
  <c r="T22" i="54"/>
  <c r="J31" i="54" l="1"/>
  <c r="E31" i="54"/>
  <c r="L31" i="54" s="1"/>
  <c r="M31" i="54" s="1"/>
  <c r="I32" i="54"/>
  <c r="H32" i="54"/>
  <c r="D32" i="54"/>
  <c r="N30" i="54"/>
  <c r="S23" i="54"/>
  <c r="Q24" i="54"/>
  <c r="T23" i="54"/>
  <c r="N31" i="54" l="1"/>
  <c r="P31" i="54" s="1"/>
  <c r="P30" i="54"/>
  <c r="E32" i="54"/>
  <c r="L32" i="54" s="1"/>
  <c r="M32" i="54" s="1"/>
  <c r="J32" i="54"/>
  <c r="J33" i="54" s="1"/>
  <c r="S24" i="54"/>
  <c r="Q25" i="54"/>
  <c r="T24" i="54"/>
  <c r="M33" i="54" l="1"/>
  <c r="Q36" i="54" s="1"/>
  <c r="N32" i="54"/>
  <c r="S25" i="54"/>
  <c r="Q26" i="54"/>
  <c r="T25" i="54"/>
  <c r="P32" i="54" l="1"/>
  <c r="Q34" i="54"/>
  <c r="Q37" i="54"/>
  <c r="Q38" i="54"/>
  <c r="S26" i="54"/>
  <c r="Q27" i="54"/>
  <c r="T26" i="54"/>
  <c r="S27" i="54" l="1"/>
  <c r="Q28" i="54"/>
  <c r="T27" i="54"/>
  <c r="Q29" i="54" l="1"/>
  <c r="S28" i="54"/>
  <c r="T28" i="54"/>
  <c r="Q30" i="54" l="1"/>
  <c r="S29" i="54"/>
  <c r="T29" i="54"/>
  <c r="S30" i="54" l="1"/>
  <c r="Q31" i="54"/>
  <c r="T30" i="54"/>
  <c r="S31" i="54" l="1"/>
  <c r="Q32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<sst xmlns="http://schemas.openxmlformats.org/spreadsheetml/2006/main" count="4775" uniqueCount="1645">
  <si>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</si>
  <si>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</si>
  <si>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</si>
  <si>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</si>
  <si>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</si>
  <si>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</si>
  <si>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</si>
  <si>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</si>
  <si>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</si>
  <si>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</si>
  <si>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</si>
  <si>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</si>
  <si>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</si>
  <si>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</si>
  <si>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</si>
  <si>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</si>
  <si>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</si>
  <si>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</si>
  <si>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</si>
  <si>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</si>
  <si>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</si>
  <si>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</si>
  <si>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</si>
  <si>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</si>
  <si>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</si>
  <si>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</si>
  <si>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</si>
  <si>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</si>
  <si>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</si>
  <si>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</si>
  <si>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</si>
  <si>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</si>
  <si>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</si>
  <si>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</si>
  <si>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</si>
  <si>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</si>
  <si>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</si>
  <si>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</si>
  <si>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</si>
  <si>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</si>
  <si>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</si>
  <si>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</si>
  <si>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</si>
  <si>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</si>
  <si>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</si>
  <si>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</si>
  <si>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</si>
  <si>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</si>
  <si>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</si>
  <si>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</si>
  <si>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</si>
  <si>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</si>
  <si>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</si>
  <si>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</si>
  <si>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</si>
  <si>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</si>
  <si>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</si>
  <si>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</si>
  <si>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</si>
  <si>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</si>
  <si>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</si>
  <si>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</si>
  <si>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</si>
  <si>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</si>
  <si>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</si>
  <si>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</si>
  <si>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</si>
  <si>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</si>
  <si>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</si>
  <si>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</si>
  <si>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</si>
  <si>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</si>
  <si>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</si>
  <si>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</si>
  <si>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</si>
  <si>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</si>
  <si>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</si>
  <si>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</si>
  <si>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</si>
  <si>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</si>
  <si>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</si>
  <si>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</si>
  <si>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</si>
  <si>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</si>
  <si>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</si>
  <si>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</si>
  <si>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</si>
  <si>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</si>
  <si>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</si>
  <si>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</si>
  <si>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</si>
  <si>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</si>
  <si>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</si>
  <si>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</si>
  <si>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</si>
  <si>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</si>
  <si>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</si>
  <si>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</si>
  <si>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</si>
  <si>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</si>
  <si>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</si>
  <si>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</si>
  <si>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</si>
  <si>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</si>
  <si>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</si>
  <si>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</si>
  <si>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</si>
  <si>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</si>
  <si>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</si>
  <si>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</si>
  <si>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</si>
  <si>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</si>
  <si>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</si>
  <si>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</si>
  <si>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</si>
  <si>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</si>
  <si>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</si>
  <si>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</si>
  <si>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</si>
  <si>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</si>
  <si>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</si>
  <si>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</si>
  <si>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</si>
  <si>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</si>
  <si>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</si>
  <si>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</si>
  <si>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</si>
  <si>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</si>
  <si>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</si>
  <si>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</si>
  <si>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</si>
  <si>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</si>
  <si>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</si>
  <si>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</si>
  <si>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</si>
  <si>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</si>
  <si>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</si>
  <si>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</si>
  <si>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</si>
  <si>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</si>
  <si>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</si>
  <si>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</si>
  <si>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</si>
  <si>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</si>
  <si>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</si>
  <si>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</si>
  <si>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</si>
  <si>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</si>
  <si>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</si>
  <si>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</si>
  <si>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</si>
  <si>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</si>
  <si>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</si>
  <si>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</si>
  <si>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</si>
  <si>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</si>
  <si>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</si>
  <si>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</si>
  <si>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</si>
  <si>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</si>
  <si>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</si>
  <si>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</si>
  <si>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</si>
  <si>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</si>
  <si>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</si>
  <si>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</si>
  <si>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</si>
  <si>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</si>
  <si>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</si>
  <si>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</si>
  <si>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</si>
  <si>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</si>
  <si>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</si>
  <si>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</si>
  <si>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</si>
  <si>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</si>
  <si>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</si>
  <si>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</si>
  <si>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</si>
  <si>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</si>
  <si>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</si>
  <si>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</si>
  <si>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</si>
  <si>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</si>
  <si>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</si>
  <si>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</si>
  <si>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</si>
  <si>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</si>
  <si>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</si>
  <si>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</si>
  <si>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</si>
  <si>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</si>
  <si>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</si>
  <si>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</si>
  <si>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</si>
  <si>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</si>
  <si>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</si>
  <si>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</si>
  <si>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</si>
  <si>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</si>
  <si>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</si>
  <si>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</si>
  <si>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</si>
  <si>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</si>
  <si>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</si>
  <si>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</si>
  <si>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</si>
  <si>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</si>
  <si>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</si>
  <si>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</si>
  <si>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</si>
  <si>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</si>
  <si>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</si>
  <si>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</si>
  <si>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</si>
  <si>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</si>
  <si>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</si>
  <si>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</si>
  <si>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</si>
  <si>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</si>
  <si>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</si>
  <si>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</si>
  <si>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</si>
  <si>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</si>
  <si>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</si>
  <si>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</si>
  <si>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</si>
  <si>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</si>
  <si>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</si>
  <si>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</si>
  <si>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</si>
  <si>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</si>
  <si>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</si>
  <si>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</si>
  <si>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</si>
  <si>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</si>
  <si>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</si>
  <si>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</si>
  <si>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</si>
  <si>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</si>
  <si>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</si>
  <si>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</si>
  <si>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</si>
  <si>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</si>
  <si>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</si>
  <si>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</si>
  <si>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</si>
  <si>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</si>
  <si>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</si>
  <si>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</si>
  <si>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</si>
  <si>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</si>
  <si>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</si>
  <si>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</si>
  <si>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</si>
  <si>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</si>
  <si>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</si>
  <si>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</si>
  <si>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</si>
  <si>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</si>
  <si>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</si>
  <si>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</si>
  <si>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</si>
  <si>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</si>
  <si>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</si>
  <si>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</si>
  <si>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</si>
  <si>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</si>
  <si>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</si>
  <si>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</si>
  <si>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</si>
  <si>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</si>
  <si>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</si>
  <si>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</si>
  <si>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</si>
  <si>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</si>
  <si>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</si>
  <si>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</si>
  <si>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</si>
  <si>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</si>
  <si>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</si>
  <si>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</si>
  <si>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</si>
  <si>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</si>
  <si>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</si>
  <si>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</si>
  <si>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</si>
  <si>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</si>
  <si>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</si>
  <si>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</si>
  <si>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</si>
  <si>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</si>
  <si>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</si>
  <si>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</si>
  <si>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</si>
  <si>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</si>
  <si>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</si>
  <si>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</si>
  <si>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</si>
  <si>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</si>
  <si>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</si>
  <si>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</si>
  <si>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</si>
  <si>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</si>
  <si>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</si>
  <si>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</si>
  <si>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</si>
  <si>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</si>
  <si>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</si>
  <si>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</si>
  <si>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</si>
  <si>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</si>
  <si>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</si>
  <si>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</si>
  <si>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</si>
  <si>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</si>
  <si>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</si>
  <si>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</si>
  <si>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</si>
  <si>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</si>
  <si>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</si>
  <si>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</si>
  <si>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</si>
  <si>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</si>
  <si>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</si>
  <si>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</si>
  <si>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</si>
  <si>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</si>
  <si>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</si>
  <si>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</si>
  <si>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</si>
  <si>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</si>
  <si>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</si>
  <si>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</si>
  <si>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</si>
  <si>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</si>
  <si>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</si>
  <si>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</si>
  <si>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</si>
  <si>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</si>
  <si>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</si>
  <si>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</si>
  <si>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</si>
  <si>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</si>
  <si>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</si>
  <si>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</si>
  <si>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</si>
  <si>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</si>
  <si>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</si>
  <si>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</si>
  <si>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</si>
  <si>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</si>
  <si>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</si>
  <si>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</si>
  <si>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</si>
  <si>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</si>
  <si>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</si>
  <si>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</si>
  <si>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</si>
  <si>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</si>
  <si>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</si>
  <si>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</si>
  <si>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</si>
  <si>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</si>
  <si>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</si>
  <si>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</si>
  <si>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</si>
  <si>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</si>
  <si>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</si>
  <si>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</si>
  <si>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</si>
  <si>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</si>
  <si>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</si>
  <si>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</si>
  <si>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</si>
  <si>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</si>
  <si>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</si>
  <si>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</si>
  <si>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</si>
  <si>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</si>
  <si>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</si>
  <si>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</si>
  <si>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</si>
  <si>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</si>
  <si>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</si>
  <si>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</si>
  <si>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</si>
  <si>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</si>
  <si>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</si>
  <si>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</si>
  <si>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</si>
  <si>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</si>
  <si>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</si>
  <si>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</si>
  <si>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</si>
  <si>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</si>
  <si>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</si>
  <si>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</si>
  <si>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</si>
  <si>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</si>
  <si>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</si>
  <si>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</si>
  <si>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</si>
  <si>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</si>
  <si>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</si>
  <si>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</si>
  <si>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</si>
  <si>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</si>
  <si>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</si>
  <si>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</si>
  <si>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</si>
  <si>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</si>
  <si>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</si>
  <si>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</si>
  <si>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</si>
  <si>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</si>
  <si>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</si>
  <si>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</si>
  <si>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</si>
  <si>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</si>
  <si>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</si>
  <si>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</si>
  <si>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</si>
  <si>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</si>
  <si>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</si>
  <si>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</si>
  <si>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</si>
  <si>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</si>
  <si>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</si>
  <si>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</si>
  <si>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</si>
  <si>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</si>
  <si>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</si>
  <si>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</si>
  <si>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</si>
  <si>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</si>
  <si>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</si>
  <si>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</si>
  <si>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</si>
  <si>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</si>
  <si>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</si>
  <si>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</si>
  <si>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</si>
  <si>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</si>
  <si>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</si>
  <si>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</si>
  <si>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</si>
  <si>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</si>
  <si>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</si>
  <si>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</si>
  <si>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</si>
  <si>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</si>
  <si>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</si>
  <si>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</si>
  <si>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</si>
  <si>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</si>
  <si>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</si>
  <si>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</si>
  <si>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</si>
  <si>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</si>
  <si>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</si>
  <si>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</si>
  <si>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</si>
  <si>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</si>
  <si>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</si>
  <si>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</si>
  <si>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</si>
  <si>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</si>
  <si>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</si>
  <si>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</si>
  <si>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</si>
  <si>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</si>
  <si>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</si>
  <si>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</si>
  <si>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</si>
  <si>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</si>
  <si>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</si>
  <si>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</si>
  <si>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</si>
  <si>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</si>
  <si>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</si>
  <si>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</si>
  <si>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</si>
  <si>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</si>
  <si>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</si>
  <si>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</si>
  <si>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</si>
  <si>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</si>
  <si>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</si>
  <si>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</si>
  <si>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</si>
  <si>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</si>
  <si>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</si>
  <si>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</si>
  <si>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</si>
  <si>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</si>
  <si>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</si>
  <si>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</si>
  <si>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</si>
  <si>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</si>
  <si>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</si>
  <si>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</si>
  <si>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</si>
  <si>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</si>
  <si>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</si>
  <si>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</si>
  <si>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</si>
  <si>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</si>
  <si>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</si>
  <si>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</si>
  <si>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</si>
  <si>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</si>
  <si>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</si>
  <si>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</si>
  <si>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</si>
  <si>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</si>
  <si>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</si>
  <si>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</si>
  <si>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</si>
  <si>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</si>
  <si>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</si>
  <si>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</si>
  <si>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</si>
  <si>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</si>
  <si>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</si>
  <si>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</si>
  <si>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</si>
  <si>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</si>
  <si>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</si>
  <si>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</si>
  <si>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</si>
  <si>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</si>
  <si>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</si>
  <si>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</si>
  <si>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</si>
  <si>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</si>
  <si>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</si>
  <si>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</si>
  <si>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</si>
  <si>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</si>
  <si>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</si>
  <si>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</si>
  <si>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</si>
  <si>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</si>
  <si>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</si>
  <si>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</si>
  <si>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</si>
  <si>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</si>
  <si>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</si>
  <si>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</si>
  <si>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</si>
  <si>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</si>
  <si>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</si>
  <si>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</si>
  <si>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</si>
  <si>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</si>
  <si>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</si>
  <si>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</si>
  <si>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</si>
  <si>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</si>
  <si>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</si>
  <si>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</si>
  <si>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</si>
  <si>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</si>
  <si>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</si>
  <si>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</si>
  <si>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</si>
  <si>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</si>
  <si>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</si>
  <si>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</si>
  <si>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</si>
  <si>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</si>
  <si>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</si>
  <si>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</si>
  <si>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</si>
  <si>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</si>
  <si>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</si>
  <si>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</si>
  <si>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</si>
  <si>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</si>
  <si>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</si>
  <si>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</si>
  <si>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</si>
  <si>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</si>
  <si>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</si>
  <si>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</si>
  <si>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</si>
  <si>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</si>
  <si>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</si>
  <si>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</si>
  <si>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</si>
  <si>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</si>
  <si>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</si>
  <si>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</si>
  <si>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</si>
  <si>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</si>
  <si>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</si>
  <si>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</si>
  <si>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</si>
  <si>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</si>
  <si>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</si>
  <si>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</si>
  <si>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</si>
  <si>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</si>
  <si>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</si>
  <si>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</si>
  <si>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</si>
  <si>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</si>
  <si>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</si>
  <si>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</si>
  <si>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</si>
  <si>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</si>
  <si>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</si>
  <si>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</si>
  <si>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</si>
  <si>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</si>
  <si>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</si>
  <si>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</si>
  <si>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</si>
  <si>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</si>
  <si>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</si>
  <si>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</si>
  <si>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</si>
  <si>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</si>
  <si>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</si>
  <si>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</si>
  <si>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</si>
  <si>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</si>
  <si>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</si>
  <si>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</si>
  <si>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</si>
  <si>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</si>
  <si>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</si>
  <si>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</si>
  <si>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</si>
  <si>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</si>
  <si>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</si>
  <si>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</si>
  <si>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</si>
  <si>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</si>
  <si>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</si>
  <si>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</si>
  <si>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</si>
  <si>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</si>
  <si>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</si>
  <si>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</si>
  <si>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</si>
  <si>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</si>
  <si>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</si>
  <si>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</si>
  <si>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</si>
  <si>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</si>
  <si>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</si>
  <si>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</si>
  <si>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</si>
  <si>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</si>
  <si>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</si>
  <si>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</si>
  <si>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</si>
  <si>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</si>
  <si>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</si>
  <si>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</si>
  <si>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</si>
  <si>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</si>
  <si>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</si>
  <si>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</si>
  <si>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</si>
  <si>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</si>
  <si>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</si>
  <si>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</si>
  <si>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</si>
  <si>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</si>
  <si>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</si>
  <si>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</si>
  <si>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</si>
  <si>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</si>
  <si>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</si>
  <si>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</si>
  <si>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</si>
  <si>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</si>
  <si>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</si>
  <si>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</si>
  <si>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</si>
  <si>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</si>
  <si>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</si>
  <si>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</si>
  <si>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</si>
  <si>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</si>
  <si>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</si>
  <si>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</si>
  <si>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</si>
  <si>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</si>
  <si>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</si>
  <si>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</si>
  <si>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</si>
  <si>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</si>
  <si>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</si>
  <si>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</si>
  <si>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</si>
  <si>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</si>
  <si>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</si>
  <si>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</si>
  <si>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</si>
  <si>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</si>
  <si>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</si>
  <si>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</si>
  <si>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</si>
  <si>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</si>
  <si>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</si>
  <si>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</si>
  <si>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</si>
  <si>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</si>
  <si>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</si>
  <si>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</si>
  <si>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</si>
  <si>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</si>
  <si>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</si>
  <si>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</si>
  <si>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</si>
  <si>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</si>
  <si>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</si>
  <si>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</si>
  <si>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</si>
  <si>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</si>
  <si>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</si>
  <si>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</si>
  <si>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</si>
  <si>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</si>
  <si>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</si>
  <si>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</si>
  <si>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</si>
  <si>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</si>
  <si>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</si>
  <si>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</si>
  <si>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</si>
  <si>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</si>
  <si>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</si>
  <si>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</si>
  <si>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</si>
  <si>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</si>
  <si>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</si>
  <si>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</si>
  <si>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</si>
  <si>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</si>
  <si>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</si>
  <si>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</si>
  <si>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</si>
  <si>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</si>
  <si>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</si>
  <si>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</si>
  <si>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</si>
  <si>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</si>
  <si>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</si>
  <si>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</si>
  <si>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</si>
  <si>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</si>
  <si>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</si>
  <si>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</si>
  <si>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</si>
  <si>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</si>
  <si>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</si>
  <si>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</si>
  <si>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</si>
  <si>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</si>
  <si>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</si>
  <si>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</si>
  <si>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</si>
  <si>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</si>
  <si>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</si>
  <si>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</si>
  <si>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</si>
  <si>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</si>
  <si>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</si>
  <si>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</si>
  <si>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</si>
  <si>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</si>
  <si>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</si>
  <si>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</si>
  <si>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</si>
  <si>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</si>
  <si>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</si>
  <si>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</si>
  <si>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</si>
  <si>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</si>
  <si>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</si>
  <si>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</si>
  <si>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</si>
  <si>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</si>
  <si>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</si>
  <si>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</si>
  <si>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</si>
  <si>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</si>
  <si>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</si>
  <si>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</si>
  <si>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</si>
  <si>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</si>
  <si>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</si>
  <si>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</si>
  <si>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</si>
  <si>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</si>
  <si>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</si>
  <si>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</si>
  <si>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</si>
  <si>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</si>
  <si>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</si>
  <si>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</si>
  <si>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</si>
  <si>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</si>
  <si>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</si>
  <si>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</si>
  <si>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</si>
  <si>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</si>
  <si>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</si>
  <si>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</si>
  <si>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</si>
  <si>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</si>
  <si>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</si>
  <si>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</si>
  <si>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</si>
  <si>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</si>
  <si>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</si>
  <si>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</si>
  <si>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</si>
  <si>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</si>
  <si>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</si>
  <si>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</si>
  <si>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</si>
  <si>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</si>
  <si>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</si>
  <si>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</si>
  <si>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</si>
  <si>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</si>
  <si>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</si>
  <si>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</si>
  <si>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</si>
  <si>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</si>
  <si>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</si>
  <si>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</si>
  <si>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</si>
  <si>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</si>
  <si>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</si>
  <si>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</si>
  <si>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</si>
  <si>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</si>
  <si>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</si>
  <si>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</si>
  <si>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</si>
  <si>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</si>
  <si>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</si>
  <si>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</si>
  <si>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</si>
  <si>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</si>
  <si>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</si>
  <si>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</si>
  <si>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</si>
  <si>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</si>
  <si>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</si>
  <si>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</si>
  <si>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</si>
  <si>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</si>
  <si>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</si>
  <si>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</si>
  <si>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</si>
  <si>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</si>
  <si>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</si>
  <si>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</si>
  <si>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</si>
  <si>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</si>
  <si>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</si>
  <si>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</si>
  <si>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</si>
  <si>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</si>
  <si>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</si>
  <si>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</si>
  <si>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</si>
  <si>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</si>
  <si>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</si>
  <si>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</si>
  <si>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</si>
  <si>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</si>
  <si>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</si>
  <si>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</si>
  <si>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</si>
  <si>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</si>
  <si>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</si>
  <si>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</si>
  <si>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</si>
  <si>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</si>
  <si>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</si>
  <si>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</si>
  <si>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</si>
  <si>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</si>
  <si>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</si>
  <si>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</si>
  <si>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</si>
  <si>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</si>
  <si>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</si>
  <si>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</si>
  <si>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</si>
  <si>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</si>
  <si>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</si>
  <si>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</si>
  <si>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</si>
  <si>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</si>
  <si>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</si>
  <si>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</si>
  <si>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</si>
  <si>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</si>
  <si>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</si>
  <si>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</si>
  <si>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</si>
  <si>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</si>
  <si>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</si>
  <si>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</si>
  <si>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</si>
  <si>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</si>
  <si>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</si>
  <si>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</si>
  <si>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</si>
  <si>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</si>
  <si>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</si>
  <si>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</si>
  <si>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</si>
  <si>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</si>
  <si>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</si>
  <si>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</si>
  <si>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</si>
  <si>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</si>
  <si>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</si>
  <si>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</si>
  <si>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</si>
  <si>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</si>
  <si>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</si>
  <si>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</si>
  <si>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</si>
  <si>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</si>
  <si>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</si>
  <si>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</si>
  <si>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</si>
  <si>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</si>
  <si>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</si>
  <si>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</si>
  <si>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</si>
  <si>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</si>
  <si>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</si>
  <si>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</si>
  <si>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</si>
  <si>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</si>
  <si>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</si>
  <si>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</si>
  <si>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</si>
  <si>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</si>
  <si>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</si>
  <si>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</si>
  <si>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</si>
  <si>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</si>
  <si>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</si>
  <si>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</si>
  <si>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</si>
  <si>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</si>
  <si>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</si>
  <si>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</si>
  <si>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</si>
  <si>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</si>
  <si>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</si>
  <si>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</si>
  <si>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</si>
  <si>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</si>
  <si>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</si>
  <si>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</si>
  <si>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</si>
  <si>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</si>
  <si>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</si>
  <si>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</si>
  <si>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</si>
  <si>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</si>
  <si>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</si>
  <si>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</si>
  <si>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</si>
  <si>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</si>
  <si>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</si>
  <si>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</si>
  <si>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</si>
  <si>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</si>
  <si>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</si>
  <si>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</si>
  <si>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</si>
  <si>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</si>
  <si>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</si>
  <si>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</si>
  <si>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</si>
  <si>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</si>
  <si>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</si>
  <si>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</si>
  <si>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</si>
  <si>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</si>
  <si>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</si>
  <si>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</si>
  <si>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</si>
  <si>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</si>
  <si>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</si>
  <si>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</si>
  <si>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</si>
  <si>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</si>
  <si>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</si>
  <si>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</si>
  <si>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</si>
  <si>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</si>
  <si>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</si>
  <si>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</si>
  <si>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</si>
  <si>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</si>
  <si>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</si>
  <si>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</si>
  <si>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</si>
  <si>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</si>
  <si>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</si>
  <si>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</si>
  <si>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</si>
  <si>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</si>
  <si>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</si>
  <si>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</si>
  <si>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</si>
  <si>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</si>
  <si>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</si>
  <si>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</si>
  <si>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</si>
  <si>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</si>
  <si>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</si>
  <si>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</si>
  <si>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</si>
  <si>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</si>
  <si>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</si>
  <si>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</si>
  <si>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</si>
  <si>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</si>
  <si>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</si>
  <si>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</si>
  <si>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</si>
  <si>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</si>
  <si>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</si>
  <si>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</si>
  <si>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</si>
  <si>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</si>
  <si>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</si>
  <si>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</si>
  <si>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</si>
  <si>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</si>
  <si>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</si>
  <si>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</si>
  <si>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</si>
  <si>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</si>
  <si>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</si>
  <si>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</si>
  <si>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</si>
  <si>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</si>
  <si>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</si>
  <si>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</si>
  <si>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</si>
  <si>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</si>
  <si>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</si>
  <si>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</si>
  <si>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</si>
  <si>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</si>
  <si>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</si>
  <si>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</si>
  <si>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</si>
  <si>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</si>
  <si>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</si>
  <si>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</si>
  <si>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</si>
  <si>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</si>
  <si>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</si>
  <si>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</si>
  <si>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</si>
  <si>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</si>
  <si>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</si>
  <si>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</si>
  <si>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</si>
  <si>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</si>
  <si>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</si>
  <si>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</si>
  <si>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</si>
  <si>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</si>
  <si>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</si>
  <si>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</si>
  <si>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</si>
  <si>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</si>
  <si>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</si>
  <si>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</si>
  <si>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</si>
  <si>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</si>
  <si>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</si>
  <si>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</si>
  <si>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</si>
  <si>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</si>
  <si>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</si>
  <si>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</si>
  <si>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</si>
  <si>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</si>
  <si>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</si>
  <si>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</si>
  <si>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</si>
  <si>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</si>
  <si>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</si>
  <si>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</si>
  <si>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</si>
  <si>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</si>
  <si>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</si>
  <si>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</si>
  <si>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</si>
  <si>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</si>
  <si>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</si>
  <si>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</si>
  <si>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</si>
  <si>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</si>
  <si>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</si>
  <si>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</si>
  <si>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</si>
  <si>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</si>
  <si>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</si>
  <si>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</si>
  <si>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</si>
  <si>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</si>
  <si>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</si>
  <si>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</si>
  <si>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</si>
  <si>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</si>
  <si>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</si>
  <si>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</si>
  <si>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</si>
  <si>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</si>
  <si>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</si>
  <si>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</si>
  <si>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</si>
  <si>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</si>
  <si>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</si>
  <si>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</si>
  <si>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</si>
  <si>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</si>
  <si>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</si>
  <si>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</si>
  <si>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</si>
  <si>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</si>
  <si>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</si>
  <si>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</si>
  <si>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</si>
  <si>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</si>
  <si>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</si>
  <si>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</si>
  <si>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</si>
  <si>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</si>
  <si>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</si>
  <si>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</si>
  <si>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</si>
  <si>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</si>
  <si>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</si>
  <si>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</si>
  <si>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</si>
  <si>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</si>
  <si>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</si>
  <si>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</si>
  <si>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</si>
  <si>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</si>
  <si>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</si>
  <si>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</si>
  <si>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</si>
  <si>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</si>
  <si>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</si>
  <si>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</si>
  <si>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</si>
  <si>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</si>
  <si>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</si>
  <si>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</si>
  <si>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</si>
  <si>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</si>
  <si>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</si>
  <si>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</si>
  <si>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</si>
  <si>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</si>
  <si>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</si>
  <si>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</si>
  <si>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</si>
  <si>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</si>
  <si>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</si>
  <si>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</si>
  <si>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</si>
  <si>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</si>
  <si>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</si>
  <si>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</si>
  <si>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</si>
  <si>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</si>
  <si>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</si>
  <si>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</si>
  <si>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</si>
  <si>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</si>
  <si>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</si>
  <si>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</si>
  <si>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</si>
  <si>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</si>
  <si>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</si>
  <si>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</si>
  <si>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</si>
  <si>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</si>
  <si>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</si>
  <si>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</si>
  <si>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</si>
  <si>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</si>
  <si>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</si>
  <si>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</si>
  <si>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</si>
  <si>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</si>
  <si>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</si>
  <si>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</si>
  <si>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</si>
  <si>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</si>
  <si>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</si>
  <si>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</si>
  <si>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</si>
  <si>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</si>
  <si>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</si>
  <si>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</si>
  <si>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</si>
  <si>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</si>
  <si>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</si>
  <si>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</si>
  <si>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</si>
  <si>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</si>
  <si>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</si>
  <si>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</si>
  <si>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</si>
  <si>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</si>
  <si>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</si>
  <si>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</si>
  <si>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</si>
  <si>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</si>
  <si>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</si>
  <si>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</si>
  <si>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</si>
  <si>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</si>
  <si>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</si>
  <si>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</si>
  <si>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</si>
  <si>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</si>
  <si>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</si>
  <si>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</si>
  <si>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</si>
  <si>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</si>
  <si>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</si>
  <si>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</si>
  <si>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</si>
  <si>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</si>
  <si>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</si>
  <si>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</si>
  <si>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</si>
  <si>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</si>
  <si>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</si>
  <si>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</si>
  <si>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</si>
  <si>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</si>
  <si>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</si>
  <si>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</si>
  <si>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</si>
  <si>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</si>
  <si>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</si>
  <si>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</si>
  <si>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</si>
  <si>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</si>
  <si>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</si>
  <si>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</si>
  <si>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</si>
  <si>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</si>
  <si>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</si>
  <si>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</si>
  <si>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</si>
  <si>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</si>
  <si>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</si>
  <si>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</si>
  <si>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</si>
  <si>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</si>
  <si>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</si>
  <si>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</si>
  <si>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</si>
  <si>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</si>
  <si>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</si>
  <si>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</si>
  <si>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</si>
  <si>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</si>
  <si>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</si>
  <si>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</si>
  <si>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</si>
  <si>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</si>
  <si>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</si>
  <si>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</si>
  <si>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</si>
  <si>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</si>
  <si>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</si>
  <si>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</si>
  <si>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</si>
  <si>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</si>
  <si>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</si>
  <si>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</si>
  <si>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</si>
  <si>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</si>
  <si>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</si>
  <si>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</si>
  <si>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</si>
  <si>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</si>
  <si>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</si>
  <si>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</si>
  <si>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</si>
  <si>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</si>
  <si>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</si>
  <si>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</si>
  <si>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</si>
  <si>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</si>
  <si>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</si>
  <si>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</si>
  <si>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</si>
  <si>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</si>
  <si>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</si>
  <si>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</si>
  <si>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</si>
  <si>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</si>
  <si>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</si>
  <si>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</si>
  <si>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</si>
  <si>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</si>
  <si>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</si>
  <si>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</si>
  <si>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</si>
  <si>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</si>
  <si>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</si>
  <si>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</si>
  <si>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</si>
  <si>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</si>
  <si>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</si>
  <si>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</si>
  <si>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</si>
  <si>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</si>
  <si>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</si>
  <si>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</si>
  <si>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</si>
  <si>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</si>
  <si>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</si>
  <si>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</si>
  <si>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</si>
  <si>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</si>
  <si>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</si>
  <si>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</si>
  <si>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</si>
  <si>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</si>
  <si>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</si>
  <si>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</si>
  <si>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</si>
  <si>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</si>
  <si>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</si>
  <si>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</si>
  <si>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</si>
  <si>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</si>
  <si>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</si>
  <si>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</si>
  <si>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</si>
  <si>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</si>
  <si>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</si>
  <si>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</si>
  <si>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</si>
  <si>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</si>
  <si>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</si>
  <si>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</si>
  <si>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</si>
  <si>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</si>
  <si>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</si>
  <si>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</si>
  <si>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</si>
  <si>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</si>
  <si>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</si>
  <si>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</si>
  <si>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</si>
  <si>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</si>
  <si>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</si>
  <si>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</si>
  <si>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</si>
  <si>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</si>
  <si>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</si>
  <si>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</si>
  <si>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</si>
  <si>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</si>
  <si>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</si>
  <si>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</si>
  <si>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</si>
  <si>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</si>
  <si>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</si>
  <si>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</si>
  <si>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</si>
  <si>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</si>
  <si>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</si>
  <si>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</si>
  <si>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</si>
  <si>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</si>
  <si>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</si>
  <si>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</si>
  <si>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</si>
  <si>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</si>
  <si>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</si>
  <si>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</si>
  <si>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</si>
  <si>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</si>
  <si>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</si>
  <si>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</si>
  <si>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</si>
  <si>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</si>
  <si>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</si>
  <si>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</si>
  <si>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</si>
  <si>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</si>
  <si>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</si>
  <si>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</si>
  <si>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</si>
  <si>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</si>
  <si>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</si>
  <si>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</si>
  <si>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</si>
  <si>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</si>
  <si>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</si>
  <si>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</si>
  <si>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</si>
  <si>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</si>
  <si>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</si>
  <si>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</si>
  <si>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</si>
  <si>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</si>
  <si>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</si>
  <si>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</si>
  <si>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</si>
  <si>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</si>
  <si>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</si>
  <si>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</si>
  <si>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</si>
  <si>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</si>
  <si>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</si>
  <si>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</si>
  <si>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</si>
  <si>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</si>
  <si>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</si>
  <si>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</si>
  <si>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</si>
  <si>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</si>
  <si>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</si>
  <si>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</si>
  <si>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</si>
  <si>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</si>
  <si>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</si>
  <si>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</si>
  <si>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</si>
  <si>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</si>
  <si>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</si>
  <si>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</si>
  <si>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</si>
  <si>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</si>
  <si>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</si>
  <si>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</si>
  <si>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</si>
  <si>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</si>
  <si>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</si>
  <si>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</si>
  <si>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</si>
  <si>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</si>
  <si>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</si>
  <si>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</si>
  <si>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</si>
  <si>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</si>
  <si>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</si>
  <si>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</si>
  <si>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</si>
  <si>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</si>
  <si>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</si>
  <si>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</si>
  <si>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</si>
  <si>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</si>
  <si>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</si>
  <si>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</si>
  <si>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</si>
  <si>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</si>
  <si>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</si>
  <si>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</si>
  <si>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</si>
  <si>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</si>
  <si>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</si>
  <si>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</si>
  <si>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</si>
  <si>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</si>
  <si>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</si>
  <si>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</si>
  <si>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</si>
  <si>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</si>
  <si>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</si>
  <si>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</si>
  <si>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</si>
  <si>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</si>
  <si>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</si>
  <si>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</si>
  <si>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</si>
  <si>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</si>
  <si>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</si>
  <si>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</si>
  <si>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</si>
  <si>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</si>
  <si>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</si>
  <si>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</si>
  <si>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</si>
  <si>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</si>
  <si>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</si>
  <si>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</si>
  <si>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</si>
  <si>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</si>
  <si>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</si>
  <si>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</si>
  <si>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</si>
  <si>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</si>
  <si>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</si>
  <si>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</si>
  <si>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</si>
  <si>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</si>
  <si>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</si>
  <si>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</si>
  <si>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</si>
  <si>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</si>
  <si>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</si>
  <si>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</si>
  <si>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</si>
  <si>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</si>
  <si>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</si>
  <si>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</si>
  <si>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</si>
  <si>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</si>
  <si>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</si>
  <si>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</si>
  <si>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</si>
  <si>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</si>
  <si>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</si>
  <si>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</si>
  <si>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</si>
  <si>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</si>
  <si>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</si>
  <si>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</si>
  <si>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</si>
  <si>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</si>
  <si>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</si>
  <si>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</si>
  <si>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</si>
  <si>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</si>
  <si>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</si>
  <si>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</si>
  <si>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</si>
  <si>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</si>
  <si>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</si>
  <si>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</si>
  <si>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</si>
  <si>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</si>
  <si>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</si>
  <si>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</si>
  <si>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</si>
  <si>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</si>
  <si>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</si>
  <si>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</si>
  <si>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</si>
  <si>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</si>
  <si>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</si>
  <si>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</si>
  <si>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</si>
  <si>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</si>
  <si>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</si>
  <si>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</si>
  <si>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</si>
  <si>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</si>
  <si>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</si>
  <si>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</si>
  <si>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</si>
  <si>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</si>
  <si>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</si>
  <si>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</si>
  <si>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</si>
  <si>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</si>
  <si>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</si>
  <si>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</si>
  <si>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</si>
  <si>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</si>
  <si>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</si>
  <si>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</si>
  <si>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</si>
  <si>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</si>
  <si>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</si>
  <si>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</si>
  <si>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</si>
  <si>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</si>
  <si>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</si>
  <si>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</si>
  <si>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</si>
  <si>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</si>
  <si>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</si>
  <si>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</si>
  <si>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</si>
  <si>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PEMASANGAN TIANG</t>
  </si>
  <si>
    <t>PEKERJAAN PEMASANGAN KONDUKTOR</t>
  </si>
  <si>
    <t>PEMASANGAN KONSTRUKSI</t>
  </si>
  <si>
    <t>PEMASANGAN APP</t>
  </si>
  <si>
    <t xml:space="preserve"> </t>
  </si>
  <si>
    <t>Isolator Tumpu ( Line Post ) 20 KV</t>
  </si>
  <si>
    <t>Isolator Tumpu ( Pin Post ) 20 KV</t>
  </si>
  <si>
    <t>IV</t>
  </si>
  <si>
    <t>ASMAN PERENCANAAN</t>
  </si>
  <si>
    <t>VALENTHINA EKA SABTI WONOHUSODO</t>
  </si>
  <si>
    <t>Isolator Tarik ( Porcelain ) 20 KV + Primary Dead End Clamp 70-150 mm²</t>
  </si>
  <si>
    <t>NFA2X-T 2 x 70 + N 50 mm²</t>
  </si>
  <si>
    <t>Sepatu Kabel AL/CU Ring-70 mm²</t>
  </si>
  <si>
    <t xml:space="preserve">UNIT 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</si>
  <si>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  <r>
      <rPr>
        <sz val="9"/>
        <rFont val="Calibri"/>
        <family val="2"/>
        <scheme val="minor"/>
      </rPr>
      <t>https://goo.gl/maps/BBmyPAdWKc4wmTC86</t>
    </r>
  </si>
  <si>
    <t>Spv. Rensis</t>
  </si>
  <si>
    <t>Man. Perencanaan</t>
  </si>
  <si>
    <t>Manager</t>
  </si>
  <si>
    <t>PETA LOKASI</t>
  </si>
  <si>
    <t xml:space="preserve">SINGLE LINE DIAGRAM LOKASI </t>
  </si>
  <si>
    <t>PEKERJAAN BONGKAR</t>
  </si>
  <si>
    <t>Demak, 16 Oktober 2023</t>
  </si>
  <si>
    <t>LVTC 3X70+70</t>
  </si>
  <si>
    <t>MTR</t>
  </si>
  <si>
    <t>CJ6-T</t>
  </si>
  <si>
    <t>C9-200</t>
  </si>
  <si>
    <t>CE1-2</t>
  </si>
  <si>
    <t>F1-2</t>
  </si>
  <si>
    <t>CM2-12</t>
  </si>
  <si>
    <t>CM2-12A</t>
  </si>
  <si>
    <t>BTG</t>
  </si>
  <si>
    <t>CM2-11</t>
  </si>
  <si>
    <t>DS HARJOWINANGUN</t>
  </si>
  <si>
    <t>B2</t>
  </si>
  <si>
    <t>PWI10</t>
  </si>
  <si>
    <t>APP 10,6KVA</t>
  </si>
  <si>
    <t>C12-200</t>
  </si>
  <si>
    <t>-7.033955, 110.728640</t>
  </si>
  <si>
    <t>PB IKA BINTA ADRIYANI 10,6KVA</t>
  </si>
  <si>
    <t>IKA BINTA ADRIYANI</t>
  </si>
  <si>
    <t>Daya 10.600 VA</t>
  </si>
  <si>
    <t>K2-621/362/5/A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</si>
</sst>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sz val="11"/>
      <color rgb="FF000000"/>
      <name val="Calibri"/>
      <family val="2"/>
    </font>
    <font>
      <sz val="9"/>
      <color theme="1"/>
      <name val="Calibri"/>
      <family val="2"/>
    </font>
    <font>
      <sz val="9"/>
      <color rgb="FFFF0000"/>
      <name val="Calibri"/>
      <family val="2"/>
    </font>
    <font>
      <b/>
      <sz val="11"/>
      <color rgb="FF000000"/>
      <name val="Calibri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</borders>
  <cellStyleXfs count="2679">
    <xf numFmtId="0" fontId="0" fillId="0" borderId="0"/>
    <xf numFmtId="172" fontId="39" fillId="0" borderId="0">
      <alignment horizontal="centerContinuous"/>
    </xf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61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4" fontId="33" fillId="0" borderId="0" applyFill="0" applyBorder="0" applyAlignment="0"/>
    <xf numFmtId="174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167" fontId="102" fillId="0" borderId="0" applyFont="0" applyFill="0" applyBorder="0" applyAlignment="0" applyProtection="0"/>
    <xf numFmtId="0" fontId="62" fillId="0" borderId="0"/>
    <xf numFmtId="0" fontId="62" fillId="0" borderId="0"/>
    <xf numFmtId="0" fontId="62" fillId="0" borderId="0"/>
    <xf numFmtId="167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79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80" fontId="33" fillId="0" borderId="0" applyFont="0" applyFill="0" applyBorder="0" applyAlignment="0" applyProtection="0"/>
    <xf numFmtId="180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1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8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33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4" fillId="0" borderId="0" applyFont="0" applyFill="0" applyBorder="0" applyAlignment="0" applyProtection="0"/>
    <xf numFmtId="185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206" fontId="19" fillId="0" borderId="0" applyFont="0" applyFill="0" applyBorder="0" applyAlignment="0" applyProtection="0"/>
    <xf numFmtId="205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3" fontId="67" fillId="0" borderId="0" applyFont="0" applyFill="0" applyBorder="0" applyAlignment="0" applyProtection="0"/>
    <xf numFmtId="0" fontId="68" fillId="0" borderId="0" applyNumberFormat="0" applyAlignment="0">
      <alignment horizontal="left"/>
    </xf>
    <xf numFmtId="0" fontId="62" fillId="0" borderId="0"/>
    <xf numFmtId="0" fontId="62" fillId="0" borderId="0"/>
    <xf numFmtId="186" fontId="33" fillId="0" borderId="3"/>
    <xf numFmtId="186" fontId="19" fillId="0" borderId="3"/>
    <xf numFmtId="164" fontId="20" fillId="0" borderId="0" applyFont="0" applyFill="0" applyBorder="0" applyAlignment="0" applyProtection="0"/>
    <xf numFmtId="164" fontId="45" fillId="0" borderId="0" applyFont="0" applyFill="0" applyBorder="0" applyAlignment="0" applyProtection="0"/>
    <xf numFmtId="173" fontId="33" fillId="0" borderId="0" applyFont="0" applyFill="0" applyBorder="0" applyAlignment="0" applyProtection="0"/>
    <xf numFmtId="17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66" fontId="33" fillId="0" borderId="0" applyFont="0" applyFill="0" applyBorder="0" applyAlignment="0" applyProtection="0"/>
    <xf numFmtId="166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67" fillId="0" borderId="0" applyFont="0" applyFill="0" applyBorder="0" applyAlignment="0" applyProtection="0"/>
    <xf numFmtId="188" fontId="69" fillId="0" borderId="0">
      <protection locked="0"/>
    </xf>
    <xf numFmtId="14" fontId="61" fillId="0" borderId="0" applyFill="0" applyBorder="0" applyAlignment="0"/>
    <xf numFmtId="189" fontId="70" fillId="0" borderId="0">
      <protection locked="0"/>
    </xf>
    <xf numFmtId="0" fontId="71" fillId="0" borderId="0"/>
    <xf numFmtId="0" fontId="71" fillId="0" borderId="4"/>
    <xf numFmtId="0" fontId="71" fillId="0" borderId="4"/>
    <xf numFmtId="0" fontId="71" fillId="0" borderId="4"/>
    <xf numFmtId="0" fontId="71" fillId="0" borderId="4"/>
    <xf numFmtId="0" fontId="72" fillId="22" borderId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3" fillId="0" borderId="0" applyNumberFormat="0" applyAlignment="0">
      <alignment horizontal="left"/>
    </xf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74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5" fillId="0" borderId="0">
      <protection locked="0"/>
    </xf>
    <xf numFmtId="190" fontId="69" fillId="0" borderId="0">
      <protection locked="0"/>
    </xf>
    <xf numFmtId="0" fontId="76" fillId="0" borderId="5"/>
    <xf numFmtId="0" fontId="76" fillId="0" borderId="5"/>
    <xf numFmtId="0" fontId="76" fillId="0" borderId="5"/>
    <xf numFmtId="0" fontId="76" fillId="0" borderId="5"/>
    <xf numFmtId="0" fontId="76" fillId="0" borderId="4"/>
    <xf numFmtId="0" fontId="76" fillId="0" borderId="4"/>
    <xf numFmtId="0" fontId="76" fillId="23" borderId="4"/>
    <xf numFmtId="0" fontId="76" fillId="23" borderId="4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77" fillId="0" borderId="0" applyNumberFormat="0"/>
    <xf numFmtId="38" fontId="38" fillId="24" borderId="0" applyNumberFormat="0" applyBorder="0" applyAlignment="0" applyProtection="0"/>
    <xf numFmtId="0" fontId="78" fillId="0" borderId="6" applyNumberFormat="0" applyAlignment="0" applyProtection="0">
      <alignment horizontal="left" vertical="center"/>
    </xf>
    <xf numFmtId="0" fontId="78" fillId="0" borderId="7">
      <alignment horizontal="left" vertical="center"/>
    </xf>
    <xf numFmtId="0" fontId="78" fillId="0" borderId="7">
      <alignment horizontal="left" vertical="center"/>
    </xf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91" fontId="74" fillId="0" borderId="0">
      <protection locked="0"/>
    </xf>
    <xf numFmtId="191" fontId="74" fillId="0" borderId="0"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30" fillId="7" borderId="1" applyNumberFormat="0" applyAlignment="0" applyProtection="0"/>
    <xf numFmtId="10" fontId="38" fillId="25" borderId="3" applyNumberFormat="0" applyBorder="0" applyAlignment="0" applyProtection="0"/>
    <xf numFmtId="10" fontId="38" fillId="25" borderId="3" applyNumberFormat="0" applyBorder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192" fontId="33" fillId="0" borderId="0" applyFont="0" applyFill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37" fontId="79" fillId="0" borderId="0"/>
    <xf numFmtId="193" fontId="33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19" fillId="0" borderId="0"/>
    <xf numFmtId="193" fontId="33" fillId="0" borderId="0"/>
    <xf numFmtId="172" fontId="80" fillId="0" borderId="0"/>
    <xf numFmtId="172" fontId="81" fillId="0" borderId="0"/>
    <xf numFmtId="172" fontId="81" fillId="0" borderId="0"/>
    <xf numFmtId="0" fontId="63" fillId="0" borderId="0"/>
    <xf numFmtId="0" fontId="109" fillId="0" borderId="0"/>
    <xf numFmtId="0" fontId="33" fillId="0" borderId="0"/>
    <xf numFmtId="0" fontId="19" fillId="0" borderId="0"/>
    <xf numFmtId="0" fontId="66" fillId="0" borderId="0"/>
    <xf numFmtId="0" fontId="33" fillId="0" borderId="0"/>
    <xf numFmtId="12" fontId="33" fillId="0" borderId="0"/>
    <xf numFmtId="12" fontId="1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82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110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66" fillId="0" borderId="0"/>
    <xf numFmtId="0" fontId="33" fillId="0" borderId="0"/>
    <xf numFmtId="0" fontId="10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33" fillId="0" borderId="0"/>
    <xf numFmtId="0" fontId="33" fillId="0" borderId="0"/>
    <xf numFmtId="0" fontId="64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20" fillId="0" borderId="0"/>
    <xf numFmtId="0" fontId="20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61" fillId="0" borderId="0">
      <alignment vertical="top"/>
    </xf>
    <xf numFmtId="0" fontId="20" fillId="0" borderId="0"/>
    <xf numFmtId="194" fontId="40" fillId="0" borderId="0"/>
    <xf numFmtId="0" fontId="109" fillId="0" borderId="0"/>
    <xf numFmtId="0" fontId="10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0" fontId="33" fillId="0" borderId="0" applyNumberFormat="0" applyFont="0" applyFill="0" applyAlignment="0" applyProtection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 applyNumberFormat="0" applyFont="0" applyFill="0" applyAlignment="0" applyProtection="0"/>
    <xf numFmtId="0" fontId="81" fillId="0" borderId="0"/>
    <xf numFmtId="0" fontId="81" fillId="0" borderId="0"/>
    <xf numFmtId="0" fontId="19" fillId="0" borderId="0" applyNumberFormat="0" applyFont="0" applyFill="0" applyAlignment="0" applyProtection="0"/>
    <xf numFmtId="0" fontId="33" fillId="0" borderId="0"/>
    <xf numFmtId="0" fontId="109" fillId="0" borderId="0"/>
    <xf numFmtId="182" fontId="81" fillId="0" borderId="0"/>
    <xf numFmtId="0" fontId="81" fillId="0" borderId="0"/>
    <xf numFmtId="195" fontId="81" fillId="0" borderId="0"/>
    <xf numFmtId="196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5" fontId="81" fillId="0" borderId="0"/>
    <xf numFmtId="0" fontId="81" fillId="0" borderId="0"/>
    <xf numFmtId="0" fontId="33" fillId="0" borderId="0"/>
    <xf numFmtId="0" fontId="19" fillId="0" borderId="0"/>
    <xf numFmtId="182" fontId="8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 applyNumberFormat="0" applyFont="0" applyFill="0" applyAlignment="0" applyProtection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198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7" fontId="81" fillId="0" borderId="0"/>
    <xf numFmtId="199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2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3" fillId="0" borderId="0"/>
    <xf numFmtId="0" fontId="19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194" fontId="40" fillId="0" borderId="0"/>
    <xf numFmtId="0" fontId="19" fillId="0" borderId="0"/>
    <xf numFmtId="0" fontId="19" fillId="0" borderId="0" applyProtection="0"/>
    <xf numFmtId="0" fontId="109" fillId="0" borderId="0"/>
    <xf numFmtId="0" fontId="109" fillId="0" borderId="0"/>
    <xf numFmtId="0" fontId="109" fillId="0" borderId="0"/>
    <xf numFmtId="0" fontId="19" fillId="0" borderId="0"/>
    <xf numFmtId="0" fontId="19" fillId="0" borderId="0" applyProtection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33" fillId="0" borderId="0"/>
    <xf numFmtId="0" fontId="19" fillId="0" borderId="0"/>
    <xf numFmtId="0" fontId="10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11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20" fillId="0" borderId="0"/>
    <xf numFmtId="0" fontId="110" fillId="0" borderId="0"/>
    <xf numFmtId="0" fontId="64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9" fillId="0" borderId="0"/>
    <xf numFmtId="194" fontId="40" fillId="0" borderId="0"/>
    <xf numFmtId="194" fontId="40" fillId="0" borderId="0"/>
    <xf numFmtId="0" fontId="11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176" fontId="33" fillId="0" borderId="0" applyFont="0" applyFill="0" applyBorder="0" applyAlignment="0" applyProtection="0"/>
    <xf numFmtId="176" fontId="19" fillId="0" borderId="0" applyFont="0" applyFill="0" applyBorder="0" applyAlignment="0" applyProtection="0"/>
    <xf numFmtId="200" fontId="33" fillId="0" borderId="0" applyFont="0" applyFill="0" applyBorder="0" applyAlignment="0" applyProtection="0"/>
    <xf numFmtId="200" fontId="19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1" fillId="0" borderId="0"/>
    <xf numFmtId="201" fontId="84" fillId="0" borderId="0" applyNumberFormat="0" applyFill="0" applyBorder="0" applyAlignment="0" applyProtection="0">
      <alignment horizontal="left"/>
    </xf>
    <xf numFmtId="0" fontId="85" fillId="0" borderId="14"/>
    <xf numFmtId="0" fontId="85" fillId="0" borderId="14"/>
    <xf numFmtId="0" fontId="86" fillId="0" borderId="15"/>
    <xf numFmtId="0" fontId="86" fillId="0" borderId="15"/>
    <xf numFmtId="40" fontId="87" fillId="0" borderId="0" applyBorder="0">
      <alignment horizontal="right"/>
    </xf>
    <xf numFmtId="49" fontId="61" fillId="0" borderId="0" applyFill="0" applyBorder="0" applyAlignment="0"/>
    <xf numFmtId="202" fontId="33" fillId="0" borderId="0" applyFill="0" applyBorder="0" applyAlignment="0"/>
    <xf numFmtId="202" fontId="19" fillId="0" borderId="0" applyFill="0" applyBorder="0" applyAlignment="0"/>
    <xf numFmtId="203" fontId="33" fillId="0" borderId="0" applyFill="0" applyBorder="0" applyAlignment="0"/>
    <xf numFmtId="203" fontId="19" fillId="0" borderId="0" applyFill="0" applyBorder="0" applyAlignment="0"/>
    <xf numFmtId="204" fontId="88" fillId="0" borderId="16" applyFont="0" applyBorder="0" applyAlignment="0">
      <alignment horizontal="right"/>
    </xf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3" fillId="0" borderId="0"/>
    <xf numFmtId="0" fontId="7" fillId="0" borderId="0"/>
    <xf numFmtId="9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0" fontId="6" fillId="0" borderId="0"/>
    <xf numFmtId="41" fontId="19" fillId="0" borderId="0" applyFont="0" applyFill="0" applyBorder="0" applyAlignment="0" applyProtection="0"/>
    <xf numFmtId="9" fontId="156" fillId="0" borderId="0" applyFont="0" applyFill="0" applyBorder="0" applyAlignment="0" applyProtection="0"/>
    <xf numFmtId="41" fontId="168" fillId="0" borderId="0" applyFont="0" applyFill="0" applyBorder="0" applyAlignment="0" applyProtection="0"/>
    <xf numFmtId="0" fontId="19" fillId="0" borderId="0"/>
    <xf numFmtId="0" fontId="109" fillId="0" borderId="0"/>
  </cellStyleXfs>
  <cellXfs count="732">
    <xf numFmtId="0" fontId="0" fillId="0" borderId="0" xfId="0"/>
    <xf numFmtId="0" fontId="42" fillId="0" borderId="0" xfId="1448" applyFont="1" applyAlignment="1">
      <alignment horizontal="center" wrapText="1"/>
    </xf>
    <xf numFmtId="0" fontId="41" fillId="0" borderId="0" xfId="1448" applyFont="1" applyAlignment="1">
      <alignment horizontal="left" vertical="center" wrapText="1"/>
    </xf>
    <xf numFmtId="0" fontId="51" fillId="0" borderId="0" xfId="1448" applyFont="1" applyAlignment="1">
      <alignment horizontal="center" wrapText="1"/>
    </xf>
    <xf numFmtId="3" fontId="42" fillId="0" borderId="0" xfId="1448" applyNumberFormat="1" applyFont="1" applyAlignment="1">
      <alignment horizontal="center" vertical="center" wrapText="1"/>
    </xf>
    <xf numFmtId="0" fontId="51" fillId="0" borderId="0" xfId="1448" applyFont="1" applyAlignment="1">
      <alignment wrapText="1"/>
    </xf>
    <xf numFmtId="0" fontId="52" fillId="0" borderId="0" xfId="1448" applyFont="1" applyAlignment="1">
      <alignment wrapText="1"/>
    </xf>
    <xf numFmtId="0" fontId="41" fillId="0" borderId="0" xfId="1448" applyFont="1" applyAlignment="1">
      <alignment horizontal="center" wrapText="1"/>
    </xf>
    <xf numFmtId="0" fontId="41" fillId="0" borderId="0" xfId="1448" applyFont="1" applyAlignment="1">
      <alignment horizontal="center" vertical="center" wrapText="1"/>
    </xf>
    <xf numFmtId="3" fontId="41" fillId="0" borderId="0" xfId="1448" applyNumberFormat="1" applyFont="1" applyAlignment="1">
      <alignment horizontal="center" vertical="center" wrapText="1"/>
    </xf>
    <xf numFmtId="0" fontId="41" fillId="0" borderId="18" xfId="1448" applyFont="1" applyBorder="1" applyAlignment="1">
      <alignment horizontal="center" vertical="center" wrapText="1"/>
    </xf>
    <xf numFmtId="0" fontId="42" fillId="0" borderId="0" xfId="1448" applyFont="1" applyAlignment="1">
      <alignment horizontal="center" vertical="center" wrapText="1"/>
    </xf>
    <xf numFmtId="0" fontId="51" fillId="0" borderId="0" xfId="1448" applyFont="1" applyAlignment="1">
      <alignment horizontal="center" vertical="center" wrapText="1"/>
    </xf>
    <xf numFmtId="0" fontId="54" fillId="0" borderId="18" xfId="1448" applyFont="1" applyBorder="1" applyAlignment="1">
      <alignment horizontal="center" wrapText="1"/>
    </xf>
    <xf numFmtId="0" fontId="55" fillId="0" borderId="0" xfId="1448" applyFont="1" applyAlignment="1">
      <alignment wrapText="1"/>
    </xf>
    <xf numFmtId="0" fontId="42" fillId="0" borderId="18" xfId="1448" applyFont="1" applyBorder="1" applyAlignment="1">
      <alignment horizontal="center" vertical="center" wrapText="1"/>
    </xf>
    <xf numFmtId="165" fontId="42" fillId="0" borderId="0" xfId="527" applyNumberFormat="1" applyFont="1" applyFill="1" applyBorder="1" applyAlignment="1">
      <alignment horizontal="center" wrapText="1"/>
    </xf>
    <xf numFmtId="0" fontId="42" fillId="0" borderId="18" xfId="1448" quotePrefix="1" applyFont="1" applyBorder="1" applyAlignment="1">
      <alignment horizontal="center" vertical="center" wrapText="1"/>
    </xf>
    <xf numFmtId="18" fontId="42" fillId="0" borderId="18" xfId="1448" quotePrefix="1" applyNumberFormat="1" applyFont="1" applyBorder="1" applyAlignment="1">
      <alignment horizontal="center" vertical="center" wrapText="1"/>
    </xf>
    <xf numFmtId="0" fontId="51" fillId="0" borderId="0" xfId="1448" applyFont="1" applyAlignment="1">
      <alignment vertical="top" wrapText="1"/>
    </xf>
    <xf numFmtId="165" fontId="42" fillId="0" borderId="18" xfId="1448" applyNumberFormat="1" applyFont="1" applyBorder="1" applyAlignment="1">
      <alignment horizontal="center" vertical="center" wrapText="1"/>
    </xf>
    <xf numFmtId="17" fontId="42" fillId="0" borderId="18" xfId="1448" quotePrefix="1" applyNumberFormat="1" applyFont="1" applyBorder="1" applyAlignment="1">
      <alignment horizontal="center" vertical="center" wrapText="1"/>
    </xf>
    <xf numFmtId="165" fontId="42" fillId="0" borderId="0" xfId="1448" applyNumberFormat="1" applyFont="1" applyAlignment="1">
      <alignment horizontal="center" wrapText="1"/>
    </xf>
    <xf numFmtId="0" fontId="109" fillId="0" borderId="0" xfId="1614" applyAlignment="1">
      <alignment horizontal="center"/>
    </xf>
    <xf numFmtId="0" fontId="46" fillId="0" borderId="0" xfId="1614" applyFont="1" applyAlignment="1">
      <alignment horizontal="center" vertical="center"/>
    </xf>
    <xf numFmtId="0" fontId="41" fillId="0" borderId="0" xfId="1614" applyFont="1" applyAlignment="1">
      <alignment vertical="center"/>
    </xf>
    <xf numFmtId="0" fontId="109" fillId="0" borderId="0" xfId="1614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/>
    </xf>
    <xf numFmtId="167" fontId="50" fillId="0" borderId="0" xfId="1652" applyNumberFormat="1" applyFont="1"/>
    <xf numFmtId="0" fontId="109" fillId="0" borderId="19" xfId="1614" applyBorder="1" applyAlignment="1">
      <alignment horizontal="center"/>
    </xf>
    <xf numFmtId="0" fontId="50" fillId="0" borderId="0" xfId="1614" applyFont="1" applyAlignment="1">
      <alignment horizontal="center"/>
    </xf>
    <xf numFmtId="0" fontId="50" fillId="0" borderId="0" xfId="1614" applyFont="1" applyAlignment="1">
      <alignment horizontal="center" vertical="center" wrapText="1"/>
    </xf>
    <xf numFmtId="3" fontId="42" fillId="0" borderId="0" xfId="1614" applyNumberFormat="1" applyFont="1" applyAlignment="1">
      <alignment vertical="center"/>
    </xf>
    <xf numFmtId="0" fontId="18" fillId="0" borderId="0" xfId="1614" applyFont="1" applyAlignment="1">
      <alignment horizontal="center"/>
    </xf>
    <xf numFmtId="0" fontId="42" fillId="0" borderId="20" xfId="1614" applyFont="1" applyBorder="1" applyAlignment="1">
      <alignment horizontal="center" vertical="center"/>
    </xf>
    <xf numFmtId="0" fontId="42" fillId="0" borderId="21" xfId="1614" applyFont="1" applyBorder="1" applyAlignment="1">
      <alignment horizontal="left" vertical="center" wrapText="1"/>
    </xf>
    <xf numFmtId="0" fontId="42" fillId="0" borderId="21" xfId="1614" applyFont="1" applyBorder="1" applyAlignment="1">
      <alignment horizontal="center" vertical="center" wrapText="1"/>
    </xf>
    <xf numFmtId="0" fontId="44" fillId="0" borderId="21" xfId="1614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2" fillId="0" borderId="22" xfId="1614" applyNumberFormat="1" applyFont="1" applyBorder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3" fontId="59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/>
    </xf>
    <xf numFmtId="0" fontId="47" fillId="0" borderId="23" xfId="1614" applyFont="1" applyBorder="1" applyAlignment="1">
      <alignment horizontal="center" vertical="center"/>
    </xf>
    <xf numFmtId="0" fontId="47" fillId="0" borderId="24" xfId="1614" applyFont="1" applyBorder="1" applyAlignment="1">
      <alignment horizontal="left" vertical="center"/>
    </xf>
    <xf numFmtId="0" fontId="47" fillId="0" borderId="24" xfId="1614" applyFont="1" applyBorder="1" applyAlignment="1">
      <alignment vertical="center"/>
    </xf>
    <xf numFmtId="0" fontId="18" fillId="0" borderId="24" xfId="1614" applyFont="1" applyBorder="1" applyAlignment="1">
      <alignment horizontal="center" vertical="center"/>
    </xf>
    <xf numFmtId="3" fontId="42" fillId="0" borderId="24" xfId="1614" applyNumberFormat="1" applyFont="1" applyBorder="1" applyAlignment="1">
      <alignment horizontal="center" vertical="center"/>
    </xf>
    <xf numFmtId="3" fontId="42" fillId="0" borderId="25" xfId="1614" applyNumberFormat="1" applyFont="1" applyBorder="1" applyAlignment="1">
      <alignment horizontal="center" vertical="center"/>
    </xf>
    <xf numFmtId="0" fontId="109" fillId="0" borderId="26" xfId="1614" applyBorder="1" applyAlignment="1">
      <alignment horizontal="center" vertical="center"/>
    </xf>
    <xf numFmtId="37" fontId="109" fillId="0" borderId="27" xfId="1614" applyNumberFormat="1" applyBorder="1" applyAlignment="1">
      <alignment horizontal="center"/>
    </xf>
    <xf numFmtId="0" fontId="109" fillId="0" borderId="28" xfId="1614" applyBorder="1" applyAlignment="1">
      <alignment horizontal="center" vertical="center"/>
    </xf>
    <xf numFmtId="37" fontId="18" fillId="0" borderId="0" xfId="1614" applyNumberFormat="1" applyFont="1" applyAlignment="1">
      <alignment horizontal="center"/>
    </xf>
    <xf numFmtId="37" fontId="60" fillId="0" borderId="0" xfId="1614" applyNumberFormat="1" applyFont="1" applyAlignment="1">
      <alignment horizontal="center"/>
    </xf>
    <xf numFmtId="37" fontId="50" fillId="0" borderId="29" xfId="1614" applyNumberFormat="1" applyFont="1" applyBorder="1" applyAlignment="1">
      <alignment horizontal="center"/>
    </xf>
    <xf numFmtId="37" fontId="109" fillId="0" borderId="29" xfId="1614" applyNumberFormat="1" applyBorder="1" applyAlignment="1">
      <alignment horizontal="center"/>
    </xf>
    <xf numFmtId="37" fontId="60" fillId="0" borderId="30" xfId="1614" applyNumberFormat="1" applyFont="1" applyBorder="1" applyAlignment="1">
      <alignment horizontal="center"/>
    </xf>
    <xf numFmtId="0" fontId="49" fillId="0" borderId="0" xfId="1614" applyFont="1" applyAlignment="1">
      <alignment horizontal="center" vertical="center"/>
    </xf>
    <xf numFmtId="0" fontId="109" fillId="0" borderId="19" xfId="1614" applyBorder="1"/>
    <xf numFmtId="0" fontId="109" fillId="0" borderId="19" xfId="1614" applyBorder="1" applyAlignment="1">
      <alignment horizontal="right"/>
    </xf>
    <xf numFmtId="0" fontId="109" fillId="0" borderId="31" xfId="1614" applyBorder="1" applyAlignment="1">
      <alignment horizontal="right"/>
    </xf>
    <xf numFmtId="0" fontId="47" fillId="0" borderId="0" xfId="1614" applyFont="1" applyAlignment="1">
      <alignment horizontal="center" vertical="center"/>
    </xf>
    <xf numFmtId="0" fontId="47" fillId="0" borderId="0" xfId="1614" applyFont="1" applyAlignment="1">
      <alignment horizontal="left" vertical="center"/>
    </xf>
    <xf numFmtId="0" fontId="47" fillId="0" borderId="0" xfId="1614" applyFont="1" applyAlignment="1">
      <alignment vertical="center"/>
    </xf>
    <xf numFmtId="0" fontId="18" fillId="0" borderId="0" xfId="1614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109" fillId="0" borderId="0" xfId="1652" applyAlignment="1">
      <alignment horizontal="right"/>
    </xf>
    <xf numFmtId="0" fontId="46" fillId="0" borderId="0" xfId="1614" applyFont="1" applyAlignment="1">
      <alignment vertical="center"/>
    </xf>
    <xf numFmtId="0" fontId="46" fillId="0" borderId="0" xfId="1614" applyFont="1" applyAlignment="1">
      <alignment horizontal="center"/>
    </xf>
    <xf numFmtId="0" fontId="89" fillId="0" borderId="0" xfId="1614" applyFont="1" applyAlignment="1">
      <alignment horizontal="center" vertical="center" wrapText="1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37" fontId="50" fillId="0" borderId="27" xfId="1614" applyNumberFormat="1" applyFont="1" applyBorder="1" applyAlignment="1">
      <alignment horizontal="center"/>
    </xf>
    <xf numFmtId="37" fontId="60" fillId="0" borderId="32" xfId="1614" applyNumberFormat="1" applyFont="1" applyBorder="1" applyAlignment="1">
      <alignment horizontal="center"/>
    </xf>
    <xf numFmtId="0" fontId="18" fillId="0" borderId="21" xfId="1652" applyFont="1" applyBorder="1" applyAlignment="1">
      <alignment horizontal="center" vertical="center"/>
    </xf>
    <xf numFmtId="0" fontId="41" fillId="0" borderId="0" xfId="1448" applyFont="1" applyAlignment="1">
      <alignment horizontal="left" vertical="center"/>
    </xf>
    <xf numFmtId="0" fontId="51" fillId="0" borderId="0" xfId="1448" applyFont="1" applyAlignment="1">
      <alignment horizontal="left" wrapText="1"/>
    </xf>
    <xf numFmtId="3" fontId="58" fillId="0" borderId="0" xfId="1614" applyNumberFormat="1" applyFont="1" applyAlignment="1">
      <alignment horizontal="center"/>
    </xf>
    <xf numFmtId="0" fontId="50" fillId="0" borderId="0" xfId="1614" applyFont="1"/>
    <xf numFmtId="0" fontId="42" fillId="0" borderId="21" xfId="1448" applyFont="1" applyBorder="1" applyAlignment="1">
      <alignment horizontal="center" vertical="center"/>
    </xf>
    <xf numFmtId="0" fontId="42" fillId="0" borderId="21" xfId="1448" applyFont="1" applyBorder="1" applyAlignment="1">
      <alignment horizontal="left" wrapText="1"/>
    </xf>
    <xf numFmtId="0" fontId="51" fillId="0" borderId="21" xfId="1448" applyFont="1" applyBorder="1" applyAlignment="1">
      <alignment horizontal="center" wrapText="1"/>
    </xf>
    <xf numFmtId="0" fontId="42" fillId="0" borderId="21" xfId="1448" applyFont="1" applyBorder="1" applyAlignment="1">
      <alignment horizontal="center" vertical="center" wrapText="1"/>
    </xf>
    <xf numFmtId="3" fontId="42" fillId="0" borderId="21" xfId="1448" applyNumberFormat="1" applyFont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60" fillId="0" borderId="34" xfId="1614" applyFont="1" applyBorder="1" applyAlignment="1">
      <alignment vertical="center"/>
    </xf>
    <xf numFmtId="169" fontId="42" fillId="0" borderId="0" xfId="714" applyFont="1" applyFill="1" applyAlignment="1">
      <alignment horizontal="center" wrapText="1"/>
    </xf>
    <xf numFmtId="169" fontId="41" fillId="0" borderId="0" xfId="714" applyFont="1" applyFill="1" applyAlignment="1">
      <alignment horizontal="center" wrapText="1"/>
    </xf>
    <xf numFmtId="4" fontId="91" fillId="0" borderId="3" xfId="1448" applyNumberFormat="1" applyFont="1" applyBorder="1" applyAlignment="1">
      <alignment horizontal="center" vertical="center" wrapText="1"/>
    </xf>
    <xf numFmtId="0" fontId="42" fillId="0" borderId="0" xfId="1448" applyFont="1" applyAlignment="1">
      <alignment vertical="center" wrapText="1"/>
    </xf>
    <xf numFmtId="169" fontId="42" fillId="0" borderId="21" xfId="715" applyNumberFormat="1" applyFont="1" applyFill="1" applyBorder="1" applyAlignment="1">
      <alignment horizontal="center" vertical="center" wrapText="1"/>
    </xf>
    <xf numFmtId="169" fontId="42" fillId="0" borderId="21" xfId="714" applyFont="1" applyFill="1" applyBorder="1" applyAlignment="1">
      <alignment horizontal="center" vertical="center" wrapText="1"/>
    </xf>
    <xf numFmtId="169" fontId="42" fillId="0" borderId="33" xfId="714" applyFont="1" applyFill="1" applyBorder="1" applyAlignment="1">
      <alignment horizontal="center" vertical="center" wrapText="1"/>
    </xf>
    <xf numFmtId="167" fontId="41" fillId="0" borderId="0" xfId="1614" applyNumberFormat="1" applyFont="1" applyAlignment="1">
      <alignment horizontal="left" vertical="center"/>
    </xf>
    <xf numFmtId="37" fontId="109" fillId="0" borderId="0" xfId="1614" applyNumberFormat="1" applyAlignment="1">
      <alignment horizontal="center"/>
    </xf>
    <xf numFmtId="0" fontId="16" fillId="0" borderId="20" xfId="1652" applyFont="1" applyBorder="1" applyAlignment="1">
      <alignment horizontal="center" vertical="center"/>
    </xf>
    <xf numFmtId="0" fontId="16" fillId="0" borderId="21" xfId="1652" applyFont="1" applyBorder="1" applyAlignment="1">
      <alignment horizontal="center" vertical="center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0" fontId="92" fillId="0" borderId="21" xfId="1614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3" fontId="41" fillId="0" borderId="0" xfId="1614" applyNumberFormat="1" applyFont="1" applyAlignment="1">
      <alignment horizontal="left" vertical="center"/>
    </xf>
    <xf numFmtId="3" fontId="41" fillId="0" borderId="3" xfId="1448" applyNumberFormat="1" applyFont="1" applyBorder="1" applyAlignment="1">
      <alignment horizontal="center" vertical="center" wrapText="1"/>
    </xf>
    <xf numFmtId="0" fontId="42" fillId="0" borderId="21" xfId="1451" applyFont="1" applyBorder="1" applyAlignment="1">
      <alignment horizontal="left" vertical="center" wrapText="1"/>
    </xf>
    <xf numFmtId="0" fontId="54" fillId="0" borderId="18" xfId="1448" quotePrefix="1" applyFont="1" applyBorder="1" applyAlignment="1">
      <alignment horizontal="center" vertical="center" wrapText="1"/>
    </xf>
    <xf numFmtId="0" fontId="46" fillId="0" borderId="0" xfId="1505" applyFont="1"/>
    <xf numFmtId="0" fontId="58" fillId="0" borderId="0" xfId="1615" applyFont="1" applyAlignment="1">
      <alignment horizontal="center"/>
    </xf>
    <xf numFmtId="0" fontId="46" fillId="0" borderId="0" xfId="1615" applyFont="1" applyAlignment="1">
      <alignment horizontal="center" vertical="center"/>
    </xf>
    <xf numFmtId="0" fontId="41" fillId="0" borderId="0" xfId="1615" applyFont="1" applyAlignment="1">
      <alignment horizontal="left" vertical="center"/>
    </xf>
    <xf numFmtId="0" fontId="41" fillId="0" borderId="0" xfId="1615" applyFont="1" applyAlignment="1">
      <alignment vertical="center"/>
    </xf>
    <xf numFmtId="0" fontId="109" fillId="0" borderId="0" xfId="1615" applyAlignment="1">
      <alignment horizontal="center" vertical="center"/>
    </xf>
    <xf numFmtId="3" fontId="43" fillId="0" borderId="0" xfId="1615" applyNumberFormat="1" applyFont="1" applyAlignment="1">
      <alignment horizontal="center" vertical="center"/>
    </xf>
    <xf numFmtId="0" fontId="109" fillId="0" borderId="0" xfId="1615" applyAlignment="1">
      <alignment horizontal="center"/>
    </xf>
    <xf numFmtId="167" fontId="41" fillId="0" borderId="0" xfId="1615" applyNumberFormat="1" applyFont="1" applyAlignment="1">
      <alignment horizontal="left" vertical="center"/>
    </xf>
    <xf numFmtId="167" fontId="50" fillId="0" borderId="0" xfId="1653" applyNumberFormat="1" applyFont="1" applyAlignment="1">
      <alignment horizontal="left" vertical="center"/>
    </xf>
    <xf numFmtId="0" fontId="94" fillId="0" borderId="0" xfId="1653" applyFont="1" applyAlignment="1">
      <alignment horizontal="center" vertical="center"/>
    </xf>
    <xf numFmtId="0" fontId="42" fillId="0" borderId="35" xfId="1615" applyFont="1" applyBorder="1" applyAlignment="1">
      <alignment horizontal="center" vertical="center"/>
    </xf>
    <xf numFmtId="0" fontId="42" fillId="0" borderId="35" xfId="1615" applyFont="1" applyBorder="1" applyAlignment="1">
      <alignment horizontal="left" vertical="center" wrapText="1"/>
    </xf>
    <xf numFmtId="0" fontId="42" fillId="0" borderId="35" xfId="1615" applyFont="1" applyBorder="1" applyAlignment="1">
      <alignment horizontal="center" vertical="center" wrapText="1"/>
    </xf>
    <xf numFmtId="0" fontId="44" fillId="0" borderId="35" xfId="1615" applyFont="1" applyBorder="1" applyAlignment="1">
      <alignment horizontal="center" vertical="center"/>
    </xf>
    <xf numFmtId="0" fontId="11" fillId="0" borderId="35" xfId="1653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0" fontId="11" fillId="0" borderId="0" xfId="1615" applyFont="1" applyAlignment="1">
      <alignment horizontal="center"/>
    </xf>
    <xf numFmtId="0" fontId="50" fillId="0" borderId="21" xfId="1653" applyFont="1" applyBorder="1" applyAlignment="1">
      <alignment horizontal="center" vertical="center"/>
    </xf>
    <xf numFmtId="0" fontId="50" fillId="0" borderId="21" xfId="1653" applyFont="1" applyBorder="1" applyAlignment="1">
      <alignment vertical="center" wrapText="1"/>
    </xf>
    <xf numFmtId="0" fontId="42" fillId="0" borderId="21" xfId="1615" applyFont="1" applyBorder="1" applyAlignment="1">
      <alignment horizontal="center" vertical="center" wrapText="1"/>
    </xf>
    <xf numFmtId="0" fontId="44" fillId="0" borderId="21" xfId="1615" applyFont="1" applyBorder="1" applyAlignment="1">
      <alignment horizontal="center" vertical="center"/>
    </xf>
    <xf numFmtId="0" fontId="11" fillId="0" borderId="21" xfId="1653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0" fontId="59" fillId="0" borderId="0" xfId="1615" applyFont="1" applyAlignment="1">
      <alignment horizontal="center"/>
    </xf>
    <xf numFmtId="3" fontId="11" fillId="0" borderId="21" xfId="1653" applyNumberFormat="1" applyFont="1" applyBorder="1" applyAlignment="1">
      <alignment horizontal="center" vertical="center"/>
    </xf>
    <xf numFmtId="0" fontId="46" fillId="0" borderId="0" xfId="1615" applyFont="1" applyAlignment="1">
      <alignment vertical="center"/>
    </xf>
    <xf numFmtId="0" fontId="46" fillId="0" borderId="33" xfId="1615" applyFont="1" applyBorder="1" applyAlignment="1">
      <alignment horizontal="center" vertical="center"/>
    </xf>
    <xf numFmtId="0" fontId="46" fillId="0" borderId="33" xfId="1615" applyFont="1" applyBorder="1" applyAlignment="1">
      <alignment vertical="center"/>
    </xf>
    <xf numFmtId="0" fontId="109" fillId="0" borderId="33" xfId="1615" applyBorder="1" applyAlignment="1">
      <alignment horizontal="center" vertical="center"/>
    </xf>
    <xf numFmtId="3" fontId="43" fillId="0" borderId="33" xfId="1615" applyNumberFormat="1" applyFont="1" applyBorder="1" applyAlignment="1">
      <alignment horizontal="center" vertical="center"/>
    </xf>
    <xf numFmtId="0" fontId="50" fillId="0" borderId="0" xfId="1614" applyFont="1" applyAlignment="1">
      <alignment horizontal="center" vertical="center"/>
    </xf>
    <xf numFmtId="0" fontId="93" fillId="0" borderId="0" xfId="1448" applyFont="1" applyAlignment="1">
      <alignment horizontal="center" wrapText="1"/>
    </xf>
    <xf numFmtId="0" fontId="48" fillId="0" borderId="0" xfId="1614" applyFont="1" applyAlignment="1">
      <alignment vertical="center"/>
    </xf>
    <xf numFmtId="0" fontId="58" fillId="0" borderId="0" xfId="1614" applyFont="1" applyAlignment="1">
      <alignment horizontal="center" vertical="center"/>
    </xf>
    <xf numFmtId="0" fontId="58" fillId="0" borderId="0" xfId="1614" applyFont="1" applyAlignment="1">
      <alignment vertical="center"/>
    </xf>
    <xf numFmtId="3" fontId="98" fillId="0" borderId="0" xfId="1614" applyNumberFormat="1" applyFont="1" applyAlignment="1">
      <alignment horizontal="center" vertical="center"/>
    </xf>
    <xf numFmtId="0" fontId="98" fillId="0" borderId="0" xfId="1614" applyFont="1" applyAlignment="1">
      <alignment horizontal="center" vertical="center"/>
    </xf>
    <xf numFmtId="0" fontId="17" fillId="0" borderId="0" xfId="1614" applyFont="1" applyAlignment="1">
      <alignment horizontal="center"/>
    </xf>
    <xf numFmtId="0" fontId="89" fillId="0" borderId="0" xfId="1614" applyFont="1" applyAlignment="1">
      <alignment horizontal="center" vertical="center"/>
    </xf>
    <xf numFmtId="0" fontId="89" fillId="0" borderId="0" xfId="1614" applyFont="1" applyAlignment="1">
      <alignment vertical="center"/>
    </xf>
    <xf numFmtId="207" fontId="42" fillId="0" borderId="21" xfId="2549" applyNumberFormat="1" applyFont="1" applyFill="1" applyBorder="1" applyAlignment="1">
      <alignment horizontal="center" vertical="center" wrapText="1"/>
    </xf>
    <xf numFmtId="0" fontId="92" fillId="0" borderId="0" xfId="1448" applyFont="1" applyAlignment="1">
      <alignment horizontal="center" wrapText="1"/>
    </xf>
    <xf numFmtId="0" fontId="93" fillId="0" borderId="0" xfId="1448" applyFont="1" applyAlignment="1">
      <alignment wrapText="1"/>
    </xf>
    <xf numFmtId="0" fontId="100" fillId="0" borderId="0" xfId="1448" applyFont="1" applyAlignment="1">
      <alignment horizontal="center" wrapText="1"/>
    </xf>
    <xf numFmtId="0" fontId="99" fillId="0" borderId="0" xfId="1448" applyFont="1" applyAlignment="1">
      <alignment horizontal="center" wrapText="1"/>
    </xf>
    <xf numFmtId="0" fontId="99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/>
    </xf>
    <xf numFmtId="0" fontId="92" fillId="0" borderId="0" xfId="1448" applyFont="1" applyAlignment="1">
      <alignment horizontal="center" vertical="center"/>
    </xf>
    <xf numFmtId="0" fontId="92" fillId="0" borderId="0" xfId="1448" applyFont="1" applyAlignment="1">
      <alignment vertical="center" wrapText="1"/>
    </xf>
    <xf numFmtId="0" fontId="92" fillId="0" borderId="0" xfId="527" applyNumberFormat="1" applyFont="1" applyFill="1" applyBorder="1" applyAlignment="1">
      <alignment horizontal="center" wrapText="1"/>
    </xf>
    <xf numFmtId="165" fontId="93" fillId="0" borderId="0" xfId="1448" applyNumberFormat="1" applyFont="1" applyAlignment="1">
      <alignment wrapText="1"/>
    </xf>
    <xf numFmtId="165" fontId="93" fillId="0" borderId="0" xfId="527" applyNumberFormat="1" applyFont="1" applyFill="1" applyAlignment="1">
      <alignment wrapText="1"/>
    </xf>
    <xf numFmtId="0" fontId="93" fillId="0" borderId="0" xfId="1448" applyFont="1" applyAlignment="1">
      <alignment vertical="top" wrapText="1"/>
    </xf>
    <xf numFmtId="0" fontId="92" fillId="0" borderId="0" xfId="527" applyNumberFormat="1" applyFont="1" applyFill="1" applyAlignment="1">
      <alignment horizontal="center" wrapText="1"/>
    </xf>
    <xf numFmtId="0" fontId="93" fillId="0" borderId="0" xfId="527" applyNumberFormat="1" applyFont="1" applyFill="1" applyAlignment="1">
      <alignment horizontal="center" wrapText="1"/>
    </xf>
    <xf numFmtId="169" fontId="42" fillId="0" borderId="21" xfId="717" applyNumberFormat="1" applyFont="1" applyFill="1" applyBorder="1" applyAlignment="1" applyProtection="1">
      <alignment horizontal="center" vertical="center" wrapText="1"/>
    </xf>
    <xf numFmtId="165" fontId="42" fillId="0" borderId="21" xfId="1451" applyNumberFormat="1" applyFont="1" applyBorder="1" applyAlignment="1">
      <alignment horizontal="center" vertical="center" wrapText="1"/>
    </xf>
    <xf numFmtId="169" fontId="54" fillId="0" borderId="21" xfId="717" applyNumberFormat="1" applyFont="1" applyFill="1" applyBorder="1" applyAlignment="1" applyProtection="1">
      <alignment horizontal="center" vertical="center" wrapText="1"/>
    </xf>
    <xf numFmtId="0" fontId="42" fillId="0" borderId="21" xfId="1451" applyFont="1" applyBorder="1" applyAlignment="1">
      <alignment horizontal="center" vertical="center" wrapText="1"/>
    </xf>
    <xf numFmtId="169" fontId="42" fillId="0" borderId="21" xfId="728" applyFont="1" applyFill="1" applyBorder="1" applyAlignment="1" applyProtection="1">
      <alignment horizontal="center" vertical="center" wrapText="1"/>
    </xf>
    <xf numFmtId="3" fontId="42" fillId="0" borderId="21" xfId="1450" applyNumberFormat="1" applyFont="1" applyBorder="1" applyAlignment="1">
      <alignment horizontal="center" vertical="center" wrapText="1"/>
    </xf>
    <xf numFmtId="169" fontId="42" fillId="0" borderId="21" xfId="728" applyFont="1" applyFill="1" applyBorder="1" applyAlignment="1">
      <alignment horizontal="center" vertical="center" wrapText="1"/>
    </xf>
    <xf numFmtId="0" fontId="41" fillId="0" borderId="3" xfId="1448" applyFont="1" applyBorder="1" applyAlignment="1">
      <alignment horizontal="center" vertical="center"/>
    </xf>
    <xf numFmtId="0" fontId="41" fillId="0" borderId="3" xfId="1448" applyFont="1" applyBorder="1" applyAlignment="1">
      <alignment horizontal="left" vertical="center" wrapText="1"/>
    </xf>
    <xf numFmtId="0" fontId="41" fillId="0" borderId="3" xfId="1448" applyFont="1" applyBorder="1" applyAlignment="1">
      <alignment horizontal="center" vertical="center" wrapText="1"/>
    </xf>
    <xf numFmtId="169" fontId="41" fillId="0" borderId="3" xfId="715" applyNumberFormat="1" applyFont="1" applyFill="1" applyBorder="1" applyAlignment="1">
      <alignment horizontal="center" vertical="center" wrapText="1"/>
    </xf>
    <xf numFmtId="3" fontId="127" fillId="32" borderId="3" xfId="1448" applyNumberFormat="1" applyFont="1" applyFill="1" applyBorder="1" applyAlignment="1">
      <alignment horizontal="center" vertical="center" wrapText="1"/>
    </xf>
    <xf numFmtId="0" fontId="42" fillId="0" borderId="21" xfId="1451" applyFont="1" applyBorder="1" applyAlignment="1">
      <alignment horizontal="center" vertical="center"/>
    </xf>
    <xf numFmtId="0" fontId="132" fillId="0" borderId="21" xfId="1451" applyFont="1" applyBorder="1" applyAlignment="1">
      <alignment horizontal="left" vertical="center" wrapText="1"/>
    </xf>
    <xf numFmtId="0" fontId="42" fillId="33" borderId="21" xfId="1451" applyFont="1" applyFill="1" applyBorder="1" applyAlignment="1">
      <alignment horizontal="left" vertical="center" wrapText="1"/>
    </xf>
    <xf numFmtId="0" fontId="42" fillId="0" borderId="21" xfId="1451" applyFont="1" applyBorder="1" applyAlignment="1">
      <alignment horizontal="left" wrapText="1"/>
    </xf>
    <xf numFmtId="0" fontId="42" fillId="0" borderId="21" xfId="1450" applyFont="1" applyBorder="1" applyAlignment="1">
      <alignment horizontal="center" vertical="center"/>
    </xf>
    <xf numFmtId="0" fontId="42" fillId="0" borderId="21" xfId="1450" applyFont="1" applyBorder="1" applyAlignment="1">
      <alignment horizontal="left" wrapText="1"/>
    </xf>
    <xf numFmtId="0" fontId="112" fillId="0" borderId="21" xfId="1615" applyFont="1" applyBorder="1" applyAlignment="1">
      <alignment vertical="top" wrapText="1"/>
    </xf>
    <xf numFmtId="167" fontId="126" fillId="0" borderId="0" xfId="523" applyFont="1" applyFill="1" applyAlignment="1">
      <alignment horizontal="left" wrapText="1"/>
    </xf>
    <xf numFmtId="0" fontId="6" fillId="0" borderId="0" xfId="2673" applyAlignment="1">
      <alignment vertical="center" wrapText="1"/>
    </xf>
    <xf numFmtId="0" fontId="6" fillId="0" borderId="0" xfId="2673" applyAlignment="1">
      <alignment horizontal="center" vertical="center" wrapText="1"/>
    </xf>
    <xf numFmtId="0" fontId="6" fillId="0" borderId="28" xfId="2673" applyBorder="1" applyAlignment="1">
      <alignment vertical="center" wrapText="1"/>
    </xf>
    <xf numFmtId="0" fontId="130" fillId="0" borderId="0" xfId="2673" applyFont="1" applyAlignment="1">
      <alignment vertical="center" wrapText="1"/>
    </xf>
    <xf numFmtId="0" fontId="95" fillId="0" borderId="0" xfId="2673" applyFont="1" applyAlignment="1">
      <alignment vertical="center" wrapText="1"/>
    </xf>
    <xf numFmtId="2" fontId="103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0" fillId="0" borderId="28" xfId="2673" applyFont="1" applyBorder="1" applyAlignment="1">
      <alignment vertical="center" wrapText="1"/>
    </xf>
    <xf numFmtId="0" fontId="8" fillId="0" borderId="21" xfId="1615" applyFont="1" applyBorder="1" applyAlignment="1">
      <alignment horizontal="center" vertical="center"/>
    </xf>
    <xf numFmtId="0" fontId="118" fillId="33" borderId="0" xfId="1451" applyFont="1" applyFill="1"/>
    <xf numFmtId="0" fontId="118" fillId="33" borderId="26" xfId="1451" applyFont="1" applyFill="1" applyBorder="1"/>
    <xf numFmtId="0" fontId="118" fillId="33" borderId="36" xfId="1451" applyFont="1" applyFill="1" applyBorder="1"/>
    <xf numFmtId="0" fontId="118" fillId="33" borderId="48" xfId="1451" applyFont="1" applyFill="1" applyBorder="1"/>
    <xf numFmtId="0" fontId="118" fillId="33" borderId="28" xfId="1451" applyFont="1" applyFill="1" applyBorder="1"/>
    <xf numFmtId="0" fontId="118" fillId="33" borderId="37" xfId="1451" applyFont="1" applyFill="1" applyBorder="1"/>
    <xf numFmtId="0" fontId="119" fillId="33" borderId="0" xfId="1451" applyFont="1" applyFill="1" applyAlignment="1">
      <alignment vertical="center"/>
    </xf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horizontal="center" vertical="center"/>
    </xf>
    <xf numFmtId="0" fontId="122" fillId="33" borderId="0" xfId="1451" applyFont="1" applyFill="1"/>
    <xf numFmtId="0" fontId="123" fillId="33" borderId="0" xfId="1451" applyFont="1" applyFill="1"/>
    <xf numFmtId="0" fontId="114" fillId="33" borderId="0" xfId="1451" applyFont="1" applyFill="1" applyAlignment="1">
      <alignment vertical="center"/>
    </xf>
    <xf numFmtId="0" fontId="114" fillId="33" borderId="37" xfId="1451" applyFont="1" applyFill="1" applyBorder="1" applyAlignment="1">
      <alignment vertical="center"/>
    </xf>
    <xf numFmtId="0" fontId="123" fillId="33" borderId="0" xfId="1451" applyFont="1" applyFill="1" applyAlignment="1">
      <alignment horizontal="center"/>
    </xf>
    <xf numFmtId="0" fontId="114" fillId="33" borderId="0" xfId="1451" applyFont="1" applyFill="1" applyAlignment="1">
      <alignment horizontal="center" vertical="center"/>
    </xf>
    <xf numFmtId="0" fontId="114" fillId="33" borderId="37" xfId="1451" applyFont="1" applyFill="1" applyBorder="1" applyAlignment="1">
      <alignment horizontal="center" vertical="center"/>
    </xf>
    <xf numFmtId="0" fontId="124" fillId="33" borderId="0" xfId="1451" applyFont="1" applyFill="1" applyAlignment="1">
      <alignment vertical="center"/>
    </xf>
    <xf numFmtId="0" fontId="124" fillId="33" borderId="37" xfId="1451" applyFont="1" applyFill="1" applyBorder="1" applyAlignment="1">
      <alignment vertical="center"/>
    </xf>
    <xf numFmtId="0" fontId="118" fillId="33" borderId="34" xfId="1451" applyFont="1" applyFill="1" applyBorder="1"/>
    <xf numFmtId="0" fontId="118" fillId="33" borderId="19" xfId="1451" applyFont="1" applyFill="1" applyBorder="1"/>
    <xf numFmtId="0" fontId="114" fillId="33" borderId="19" xfId="1451" applyFont="1" applyFill="1" applyBorder="1" applyAlignment="1">
      <alignment vertical="center"/>
    </xf>
    <xf numFmtId="0" fontId="114" fillId="33" borderId="19" xfId="1451" applyFont="1" applyFill="1" applyBorder="1" applyAlignment="1">
      <alignment horizontal="center" vertical="center"/>
    </xf>
    <xf numFmtId="0" fontId="114" fillId="33" borderId="31" xfId="1451" applyFont="1" applyFill="1" applyBorder="1" applyAlignment="1">
      <alignment vertical="center"/>
    </xf>
    <xf numFmtId="0" fontId="118" fillId="33" borderId="31" xfId="1451" applyFont="1" applyFill="1" applyBorder="1"/>
    <xf numFmtId="0" fontId="143" fillId="0" borderId="7" xfId="2673" applyFont="1" applyBorder="1" applyAlignment="1">
      <alignment horizontal="center" vertical="center" wrapText="1"/>
    </xf>
    <xf numFmtId="0" fontId="95" fillId="0" borderId="0" xfId="2673" applyFont="1" applyAlignment="1">
      <alignment horizontal="left" vertical="center" wrapText="1"/>
    </xf>
    <xf numFmtId="0" fontId="51" fillId="0" borderId="21" xfId="1450" applyFont="1" applyBorder="1" applyAlignment="1">
      <alignment horizontal="center" wrapText="1"/>
    </xf>
    <xf numFmtId="0" fontId="42" fillId="0" borderId="21" xfId="1450" applyFont="1" applyBorder="1" applyAlignment="1">
      <alignment horizontal="center" vertical="center" wrapText="1"/>
    </xf>
    <xf numFmtId="3" fontId="42" fillId="0" borderId="21" xfId="1451" applyNumberFormat="1" applyFont="1" applyBorder="1" applyAlignment="1">
      <alignment horizontal="center" vertical="center" wrapText="1"/>
    </xf>
    <xf numFmtId="165" fontId="42" fillId="0" borderId="21" xfId="1450" applyNumberFormat="1" applyFont="1" applyBorder="1" applyAlignment="1">
      <alignment horizontal="center" vertical="center" wrapText="1"/>
    </xf>
    <xf numFmtId="3" fontId="42" fillId="0" borderId="0" xfId="1451" applyNumberFormat="1" applyFont="1" applyAlignment="1">
      <alignment horizontal="center" vertical="center" wrapText="1"/>
    </xf>
    <xf numFmtId="0" fontId="19" fillId="0" borderId="0" xfId="1649"/>
    <xf numFmtId="3" fontId="132" fillId="0" borderId="21" xfId="1451" applyNumberFormat="1" applyFont="1" applyBorder="1" applyAlignment="1">
      <alignment horizontal="center" vertical="center" wrapText="1"/>
    </xf>
    <xf numFmtId="3" fontId="8" fillId="0" borderId="21" xfId="1615" applyNumberFormat="1" applyFont="1" applyBorder="1" applyAlignment="1">
      <alignment horizontal="center" vertical="center"/>
    </xf>
    <xf numFmtId="0" fontId="7" fillId="0" borderId="0" xfId="2670" applyAlignment="1">
      <alignment horizontal="center" vertical="center"/>
    </xf>
    <xf numFmtId="0" fontId="139" fillId="36" borderId="0" xfId="2670" applyFont="1" applyFill="1" applyAlignment="1">
      <alignment horizontal="left" vertical="center"/>
    </xf>
    <xf numFmtId="0" fontId="139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left" vertical="center"/>
    </xf>
    <xf numFmtId="0" fontId="141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right" vertical="center"/>
    </xf>
    <xf numFmtId="9" fontId="142" fillId="36" borderId="0" xfId="2671" applyFont="1" applyFill="1" applyBorder="1" applyAlignment="1" applyProtection="1">
      <alignment horizontal="right" vertical="center"/>
    </xf>
    <xf numFmtId="167" fontId="141" fillId="36" borderId="0" xfId="2672" applyFont="1" applyFill="1" applyBorder="1" applyAlignment="1" applyProtection="1">
      <alignment horizontal="right" vertical="center"/>
    </xf>
    <xf numFmtId="167" fontId="142" fillId="36" borderId="0" xfId="2672" applyFont="1" applyFill="1" applyBorder="1" applyAlignment="1" applyProtection="1">
      <alignment horizontal="right" vertical="center"/>
    </xf>
    <xf numFmtId="10" fontId="142" fillId="36" borderId="0" xfId="2671" applyNumberFormat="1" applyFont="1" applyFill="1" applyBorder="1" applyAlignment="1" applyProtection="1">
      <alignment horizontal="right" vertical="center"/>
    </xf>
    <xf numFmtId="169" fontId="141" fillId="36" borderId="0" xfId="2672" applyNumberFormat="1" applyFont="1" applyFill="1" applyBorder="1" applyAlignment="1" applyProtection="1">
      <alignment horizontal="right" vertical="center"/>
    </xf>
    <xf numFmtId="0" fontId="135" fillId="0" borderId="0" xfId="2670" applyFont="1" applyAlignment="1">
      <alignment horizontal="left" vertical="center"/>
    </xf>
    <xf numFmtId="0" fontId="138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0" fillId="0" borderId="0" xfId="1538"/>
    <xf numFmtId="167" fontId="110" fillId="0" borderId="0" xfId="1538" applyNumberFormat="1"/>
    <xf numFmtId="0" fontId="59" fillId="0" borderId="0" xfId="1538" applyFont="1"/>
    <xf numFmtId="0" fontId="125" fillId="0" borderId="0" xfId="1538" applyFont="1"/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vertical="center"/>
    </xf>
    <xf numFmtId="0" fontId="110" fillId="38" borderId="0" xfId="1538" applyFill="1"/>
    <xf numFmtId="0" fontId="59" fillId="38" borderId="0" xfId="1538" applyFont="1" applyFill="1"/>
    <xf numFmtId="0" fontId="101" fillId="0" borderId="0" xfId="1538" applyFont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/>
    </xf>
    <xf numFmtId="0" fontId="110" fillId="0" borderId="0" xfId="1538" applyAlignment="1">
      <alignment horizontal="center" vertical="center"/>
    </xf>
    <xf numFmtId="1" fontId="110" fillId="0" borderId="0" xfId="1538" applyNumberFormat="1"/>
    <xf numFmtId="0" fontId="110" fillId="0" borderId="3" xfId="1538" applyBorder="1"/>
    <xf numFmtId="167" fontId="0" fillId="0" borderId="3" xfId="1026" applyFont="1" applyFill="1" applyBorder="1" applyProtection="1"/>
    <xf numFmtId="167" fontId="110" fillId="0" borderId="3" xfId="1538" applyNumberFormat="1" applyBorder="1"/>
    <xf numFmtId="167" fontId="136" fillId="0" borderId="3" xfId="1026" applyFont="1" applyBorder="1" applyProtection="1"/>
    <xf numFmtId="167" fontId="0" fillId="0" borderId="3" xfId="1026" applyFont="1" applyBorder="1" applyProtection="1"/>
    <xf numFmtId="167" fontId="125" fillId="0" borderId="3" xfId="1538" applyNumberFormat="1" applyFont="1" applyBorder="1"/>
    <xf numFmtId="0" fontId="59" fillId="0" borderId="3" xfId="1538" applyFont="1" applyBorder="1"/>
    <xf numFmtId="165" fontId="110" fillId="0" borderId="3" xfId="1538" applyNumberFormat="1" applyBorder="1"/>
    <xf numFmtId="167" fontId="102" fillId="0" borderId="3" xfId="1026" applyFont="1" applyFill="1" applyBorder="1" applyProtection="1"/>
    <xf numFmtId="0" fontId="47" fillId="0" borderId="0" xfId="1538" applyFont="1"/>
    <xf numFmtId="0" fontId="47" fillId="0" borderId="3" xfId="1538" applyFont="1" applyBorder="1" applyAlignment="1">
      <alignment horizontal="center"/>
    </xf>
    <xf numFmtId="167" fontId="47" fillId="0" borderId="3" xfId="1538" applyNumberFormat="1" applyFont="1" applyBorder="1"/>
    <xf numFmtId="0" fontId="110" fillId="29" borderId="0" xfId="1538" applyFill="1"/>
    <xf numFmtId="0" fontId="47" fillId="0" borderId="0" xfId="1538" applyFont="1" applyAlignment="1">
      <alignment horizontal="center"/>
    </xf>
    <xf numFmtId="167" fontId="47" fillId="0" borderId="0" xfId="1538" applyNumberFormat="1" applyFont="1"/>
    <xf numFmtId="0" fontId="110" fillId="29" borderId="3" xfId="1538" applyFill="1" applyBorder="1"/>
    <xf numFmtId="169" fontId="110" fillId="29" borderId="3" xfId="1538" applyNumberFormat="1" applyFill="1" applyBorder="1" applyAlignment="1">
      <alignment horizontal="right"/>
    </xf>
    <xf numFmtId="43" fontId="110" fillId="0" borderId="0" xfId="1538" applyNumberFormat="1"/>
    <xf numFmtId="167" fontId="110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0" fillId="29" borderId="3" xfId="1538" applyNumberFormat="1" applyFill="1" applyBorder="1"/>
    <xf numFmtId="10" fontId="110" fillId="29" borderId="3" xfId="1538" applyNumberFormat="1" applyFill="1" applyBorder="1"/>
    <xf numFmtId="0" fontId="144" fillId="0" borderId="0" xfId="1614" applyFont="1" applyAlignment="1">
      <alignment horizontal="center"/>
    </xf>
    <xf numFmtId="0" fontId="145" fillId="0" borderId="0" xfId="1614" applyFont="1" applyAlignment="1">
      <alignment horizontal="center" vertical="center"/>
    </xf>
    <xf numFmtId="0" fontId="146" fillId="0" borderId="0" xfId="1614" applyFont="1" applyAlignment="1">
      <alignment horizontal="left" vertical="center"/>
    </xf>
    <xf numFmtId="0" fontId="146" fillId="0" borderId="0" xfId="1614" applyFont="1" applyAlignment="1">
      <alignment vertical="center"/>
    </xf>
    <xf numFmtId="0" fontId="147" fillId="0" borderId="0" xfId="1614" applyFont="1" applyAlignment="1">
      <alignment horizontal="center" vertical="center"/>
    </xf>
    <xf numFmtId="3" fontId="145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 vertical="center"/>
    </xf>
    <xf numFmtId="0" fontId="147" fillId="0" borderId="0" xfId="1614" applyFont="1" applyAlignment="1">
      <alignment horizontal="center"/>
    </xf>
    <xf numFmtId="0" fontId="145" fillId="0" borderId="0" xfId="1614" applyFont="1" applyAlignment="1">
      <alignment horizontal="center"/>
    </xf>
    <xf numFmtId="3" fontId="144" fillId="0" borderId="0" xfId="1614" applyNumberFormat="1" applyFont="1" applyAlignment="1">
      <alignment horizontal="center"/>
    </xf>
    <xf numFmtId="0" fontId="149" fillId="0" borderId="0" xfId="1614" applyFont="1"/>
    <xf numFmtId="167" fontId="149" fillId="0" borderId="0" xfId="1652" applyNumberFormat="1" applyFont="1"/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horizontal="center" vertical="center"/>
    </xf>
    <xf numFmtId="3" fontId="146" fillId="0" borderId="0" xfId="1614" applyNumberFormat="1" applyFont="1" applyAlignment="1">
      <alignment horizontal="left" vertical="center"/>
    </xf>
    <xf numFmtId="0" fontId="149" fillId="0" borderId="0" xfId="1614" applyFont="1" applyAlignment="1">
      <alignment horizontal="center"/>
    </xf>
    <xf numFmtId="0" fontId="146" fillId="0" borderId="0" xfId="1614" applyFont="1" applyAlignment="1">
      <alignment horizontal="center"/>
    </xf>
    <xf numFmtId="0" fontId="149" fillId="0" borderId="0" xfId="1614" applyFont="1" applyAlignment="1">
      <alignment horizontal="center" vertical="center" wrapText="1"/>
    </xf>
    <xf numFmtId="0" fontId="146" fillId="0" borderId="0" xfId="1614" applyFont="1" applyAlignment="1">
      <alignment horizontal="center" vertical="center" wrapText="1"/>
    </xf>
    <xf numFmtId="3" fontId="145" fillId="0" borderId="0" xfId="1614" applyNumberFormat="1" applyFont="1" applyAlignment="1">
      <alignment vertical="center"/>
    </xf>
    <xf numFmtId="0" fontId="146" fillId="0" borderId="20" xfId="1615" applyFont="1" applyBorder="1" applyAlignment="1">
      <alignment horizontal="center" vertical="center"/>
    </xf>
    <xf numFmtId="0" fontId="146" fillId="0" borderId="21" xfId="1615" applyFont="1" applyBorder="1" applyAlignment="1">
      <alignment horizontal="left" vertical="center" wrapText="1"/>
    </xf>
    <xf numFmtId="0" fontId="145" fillId="0" borderId="21" xfId="1614" applyFont="1" applyBorder="1" applyAlignment="1">
      <alignment horizontal="center" vertical="center" wrapText="1"/>
    </xf>
    <xf numFmtId="0" fontId="152" fillId="0" borderId="21" xfId="1614" applyFont="1" applyBorder="1" applyAlignment="1">
      <alignment horizontal="center" vertical="center"/>
    </xf>
    <xf numFmtId="3" fontId="152" fillId="0" borderId="21" xfId="1614" applyNumberFormat="1" applyFont="1" applyBorder="1" applyAlignment="1">
      <alignment horizontal="center" vertical="center"/>
    </xf>
    <xf numFmtId="3" fontId="145" fillId="0" borderId="21" xfId="1614" applyNumberFormat="1" applyFont="1" applyBorder="1" applyAlignment="1">
      <alignment horizontal="center" vertical="center"/>
    </xf>
    <xf numFmtId="3" fontId="145" fillId="0" borderId="22" xfId="1614" applyNumberFormat="1" applyFont="1" applyBorder="1" applyAlignment="1">
      <alignment horizontal="center" vertical="center"/>
    </xf>
    <xf numFmtId="3" fontId="145" fillId="0" borderId="0" xfId="1614" applyNumberFormat="1" applyFont="1" applyAlignment="1">
      <alignment horizontal="center"/>
    </xf>
    <xf numFmtId="3" fontId="144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46" fillId="0" borderId="20" xfId="1653" applyFont="1" applyBorder="1" applyAlignment="1">
      <alignment horizontal="center" vertical="center"/>
    </xf>
    <xf numFmtId="0" fontId="146" fillId="0" borderId="21" xfId="1451" applyFont="1" applyBorder="1" applyAlignment="1">
      <alignment horizontal="left" vertical="center" wrapText="1"/>
    </xf>
    <xf numFmtId="0" fontId="147" fillId="0" borderId="21" xfId="1653" applyFont="1" applyBorder="1" applyAlignment="1">
      <alignment horizontal="center" vertical="center"/>
    </xf>
    <xf numFmtId="3" fontId="148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/>
    </xf>
    <xf numFmtId="0" fontId="147" fillId="0" borderId="20" xfId="1653" applyFont="1" applyBorder="1" applyAlignment="1">
      <alignment horizontal="center" vertical="center"/>
    </xf>
    <xf numFmtId="0" fontId="147" fillId="0" borderId="21" xfId="1653" applyFont="1" applyBorder="1" applyAlignment="1">
      <alignment vertical="center" wrapText="1"/>
    </xf>
    <xf numFmtId="0" fontId="145" fillId="0" borderId="20" xfId="1652" applyFont="1" applyBorder="1" applyAlignment="1">
      <alignment horizontal="center" vertical="center"/>
    </xf>
    <xf numFmtId="0" fontId="149" fillId="0" borderId="20" xfId="1652" applyFont="1" applyBorder="1" applyAlignment="1">
      <alignment horizontal="center" vertical="center"/>
    </xf>
    <xf numFmtId="0" fontId="149" fillId="0" borderId="21" xfId="1652" applyFont="1" applyBorder="1" applyAlignment="1">
      <alignment vertical="center" wrapText="1"/>
    </xf>
    <xf numFmtId="0" fontId="152" fillId="0" borderId="21" xfId="1652" applyFont="1" applyBorder="1" applyAlignment="1">
      <alignment horizontal="center" vertical="center"/>
    </xf>
    <xf numFmtId="0" fontId="152" fillId="0" borderId="49" xfId="1652" applyFont="1" applyBorder="1" applyAlignment="1">
      <alignment horizontal="center" vertical="center"/>
    </xf>
    <xf numFmtId="0" fontId="152" fillId="0" borderId="3" xfId="1652" applyFont="1" applyBorder="1" applyAlignment="1">
      <alignment vertical="center" wrapText="1"/>
    </xf>
    <xf numFmtId="0" fontId="145" fillId="0" borderId="3" xfId="1614" applyFont="1" applyBorder="1" applyAlignment="1">
      <alignment horizontal="center" vertical="center" wrapText="1"/>
    </xf>
    <xf numFmtId="0" fontId="152" fillId="0" borderId="3" xfId="1614" applyFont="1" applyBorder="1" applyAlignment="1">
      <alignment horizontal="center" vertical="center"/>
    </xf>
    <xf numFmtId="0" fontId="152" fillId="0" borderId="3" xfId="1652" applyFont="1" applyBorder="1" applyAlignment="1">
      <alignment horizontal="center" vertical="center"/>
    </xf>
    <xf numFmtId="207" fontId="152" fillId="0" borderId="3" xfId="1614" applyNumberFormat="1" applyFont="1" applyBorder="1" applyAlignment="1">
      <alignment horizontal="center" vertical="center"/>
    </xf>
    <xf numFmtId="3" fontId="145" fillId="0" borderId="3" xfId="1614" applyNumberFormat="1" applyFont="1" applyBorder="1" applyAlignment="1">
      <alignment horizontal="center" vertical="center"/>
    </xf>
    <xf numFmtId="0" fontId="152" fillId="0" borderId="20" xfId="1652" applyFont="1" applyBorder="1" applyAlignment="1">
      <alignment horizontal="center" vertical="center"/>
    </xf>
    <xf numFmtId="0" fontId="152" fillId="0" borderId="21" xfId="1652" applyFont="1" applyBorder="1" applyAlignment="1">
      <alignment vertical="center" wrapText="1"/>
    </xf>
    <xf numFmtId="0" fontId="145" fillId="0" borderId="23" xfId="1614" applyFont="1" applyBorder="1" applyAlignment="1">
      <alignment horizontal="center" vertical="center"/>
    </xf>
    <xf numFmtId="0" fontId="145" fillId="0" borderId="24" xfId="1614" applyFont="1" applyBorder="1" applyAlignment="1">
      <alignment horizontal="left" vertical="center"/>
    </xf>
    <xf numFmtId="0" fontId="145" fillId="0" borderId="24" xfId="1614" applyFont="1" applyBorder="1" applyAlignment="1">
      <alignment vertical="center"/>
    </xf>
    <xf numFmtId="0" fontId="152" fillId="0" borderId="24" xfId="1614" applyFont="1" applyBorder="1" applyAlignment="1">
      <alignment horizontal="center" vertical="center"/>
    </xf>
    <xf numFmtId="3" fontId="145" fillId="0" borderId="24" xfId="1614" applyNumberFormat="1" applyFont="1" applyBorder="1" applyAlignment="1">
      <alignment horizontal="center" vertical="center"/>
    </xf>
    <xf numFmtId="3" fontId="145" fillId="0" borderId="25" xfId="1614" applyNumberFormat="1" applyFont="1" applyBorder="1" applyAlignment="1">
      <alignment horizontal="center" vertical="center"/>
    </xf>
    <xf numFmtId="0" fontId="147" fillId="0" borderId="26" xfId="1614" applyFont="1" applyBorder="1" applyAlignment="1">
      <alignment horizontal="center" vertical="center"/>
    </xf>
    <xf numFmtId="37" fontId="149" fillId="0" borderId="27" xfId="1614" applyNumberFormat="1" applyFont="1" applyBorder="1" applyAlignment="1">
      <alignment horizontal="center"/>
    </xf>
    <xf numFmtId="37" fontId="147" fillId="0" borderId="27" xfId="1614" applyNumberFormat="1" applyFont="1" applyBorder="1" applyAlignment="1">
      <alignment horizontal="center"/>
    </xf>
    <xf numFmtId="0" fontId="147" fillId="0" borderId="28" xfId="1614" applyFont="1" applyBorder="1" applyAlignment="1">
      <alignment horizontal="center" vertical="center"/>
    </xf>
    <xf numFmtId="37" fontId="149" fillId="0" borderId="29" xfId="1614" applyNumberFormat="1" applyFont="1" applyBorder="1" applyAlignment="1">
      <alignment horizontal="center"/>
    </xf>
    <xf numFmtId="37" fontId="147" fillId="0" borderId="29" xfId="1614" applyNumberFormat="1" applyFont="1" applyBorder="1" applyAlignment="1">
      <alignment horizontal="center"/>
    </xf>
    <xf numFmtId="37" fontId="153" fillId="0" borderId="30" xfId="1614" applyNumberFormat="1" applyFont="1" applyBorder="1" applyAlignment="1">
      <alignment horizontal="center"/>
    </xf>
    <xf numFmtId="37" fontId="153" fillId="0" borderId="32" xfId="1614" applyNumberFormat="1" applyFont="1" applyBorder="1" applyAlignment="1">
      <alignment horizontal="center"/>
    </xf>
    <xf numFmtId="0" fontId="153" fillId="0" borderId="34" xfId="1614" applyFont="1" applyBorder="1" applyAlignment="1">
      <alignment vertical="center"/>
    </xf>
    <xf numFmtId="0" fontId="147" fillId="0" borderId="19" xfId="1614" applyFont="1" applyBorder="1"/>
    <xf numFmtId="0" fontId="147" fillId="0" borderId="19" xfId="1614" applyFont="1" applyBorder="1" applyAlignment="1">
      <alignment horizontal="center"/>
    </xf>
    <xf numFmtId="0" fontId="147" fillId="0" borderId="19" xfId="1614" applyFont="1" applyBorder="1" applyAlignment="1">
      <alignment horizontal="right"/>
    </xf>
    <xf numFmtId="0" fontId="147" fillId="0" borderId="31" xfId="1614" applyFont="1" applyBorder="1" applyAlignment="1">
      <alignment horizontal="right"/>
    </xf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165" fontId="152" fillId="0" borderId="0" xfId="1652" applyNumberFormat="1" applyFont="1" applyAlignment="1">
      <alignment vertical="center"/>
    </xf>
    <xf numFmtId="0" fontId="147" fillId="0" borderId="0" xfId="1652" applyFont="1" applyAlignment="1">
      <alignment horizontal="right"/>
    </xf>
    <xf numFmtId="0" fontId="154" fillId="0" borderId="0" xfId="1644" applyFont="1" applyAlignment="1">
      <alignment horizontal="center" vertical="center"/>
    </xf>
    <xf numFmtId="0" fontId="152" fillId="0" borderId="0" xfId="1652" applyFont="1" applyAlignment="1">
      <alignment vertical="center"/>
    </xf>
    <xf numFmtId="0" fontId="155" fillId="39" borderId="71" xfId="2670" applyFont="1" applyFill="1" applyBorder="1" applyAlignment="1">
      <alignment horizontal="left" vertical="center"/>
    </xf>
    <xf numFmtId="0" fontId="155" fillId="39" borderId="72" xfId="2670" applyFont="1" applyFill="1" applyBorder="1" applyAlignment="1">
      <alignment horizontal="center" vertical="center"/>
    </xf>
    <xf numFmtId="0" fontId="155" fillId="39" borderId="74" xfId="2670" applyFont="1" applyFill="1" applyBorder="1" applyAlignment="1">
      <alignment horizontal="left" vertical="center"/>
    </xf>
    <xf numFmtId="0" fontId="155" fillId="39" borderId="70" xfId="2670" applyFont="1" applyFill="1" applyBorder="1" applyAlignment="1">
      <alignment horizontal="center" vertical="center"/>
    </xf>
    <xf numFmtId="0" fontId="155" fillId="39" borderId="76" xfId="2670" applyFont="1" applyFill="1" applyBorder="1" applyAlignment="1">
      <alignment horizontal="left" vertical="center"/>
    </xf>
    <xf numFmtId="0" fontId="155" fillId="39" borderId="77" xfId="2670" applyFont="1" applyFill="1" applyBorder="1" applyAlignment="1">
      <alignment horizontal="center" vertical="center"/>
    </xf>
    <xf numFmtId="167" fontId="137" fillId="40" borderId="73" xfId="2672" applyFont="1" applyFill="1" applyBorder="1" applyAlignment="1" applyProtection="1">
      <alignment horizontal="right" vertical="center" wrapText="1"/>
      <protection locked="0"/>
    </xf>
    <xf numFmtId="167" fontId="137" fillId="40" borderId="75" xfId="2672" applyFont="1" applyFill="1" applyBorder="1" applyAlignment="1" applyProtection="1">
      <alignment horizontal="right" vertical="center"/>
      <protection locked="0"/>
    </xf>
    <xf numFmtId="169" fontId="137" fillId="40" borderId="75" xfId="2672" applyNumberFormat="1" applyFont="1" applyFill="1" applyBorder="1" applyAlignment="1" applyProtection="1">
      <alignment horizontal="right" vertical="center"/>
      <protection locked="0"/>
    </xf>
    <xf numFmtId="169" fontId="137" fillId="40" borderId="78" xfId="2672" applyNumberFormat="1" applyFont="1" applyFill="1" applyBorder="1" applyAlignment="1" applyProtection="1">
      <alignment horizontal="right" vertical="center"/>
      <protection locked="0"/>
    </xf>
    <xf numFmtId="1" fontId="105" fillId="0" borderId="0" xfId="2673" applyNumberFormat="1" applyFont="1" applyAlignment="1">
      <alignment horizontal="center" vertical="center" wrapText="1"/>
    </xf>
    <xf numFmtId="1" fontId="103" fillId="0" borderId="0" xfId="2673" applyNumberFormat="1" applyFont="1" applyAlignment="1">
      <alignment horizontal="center" vertical="center" wrapText="1"/>
    </xf>
    <xf numFmtId="0" fontId="104" fillId="0" borderId="61" xfId="2673" applyFont="1" applyBorder="1" applyAlignment="1">
      <alignment horizontal="center" vertical="center" wrapText="1"/>
    </xf>
    <xf numFmtId="0" fontId="158" fillId="0" borderId="0" xfId="2673" applyFont="1" applyAlignment="1">
      <alignment horizontal="center" vertical="center" wrapText="1"/>
    </xf>
    <xf numFmtId="0" fontId="159" fillId="0" borderId="0" xfId="2673" applyFont="1" applyAlignment="1">
      <alignment vertical="center" wrapText="1"/>
    </xf>
    <xf numFmtId="0" fontId="160" fillId="0" borderId="0" xfId="2673" applyFont="1" applyAlignment="1">
      <alignment vertical="center" wrapText="1"/>
    </xf>
    <xf numFmtId="0" fontId="143" fillId="35" borderId="82" xfId="2673" applyFont="1" applyFill="1" applyBorder="1" applyAlignment="1">
      <alignment vertical="center" wrapText="1"/>
    </xf>
    <xf numFmtId="0" fontId="143" fillId="43" borderId="82" xfId="2673" applyFont="1" applyFill="1" applyBorder="1" applyAlignment="1">
      <alignment vertical="center" wrapText="1"/>
    </xf>
    <xf numFmtId="0" fontId="157" fillId="0" borderId="0" xfId="2673" applyFont="1" applyAlignment="1">
      <alignment vertical="center" wrapText="1"/>
    </xf>
    <xf numFmtId="0" fontId="163" fillId="0" borderId="0" xfId="2673" applyFont="1" applyAlignment="1">
      <alignment horizontal="center" vertical="center" wrapText="1"/>
    </xf>
    <xf numFmtId="1" fontId="164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31" fillId="35" borderId="32" xfId="2673" applyFont="1" applyFill="1" applyBorder="1" applyAlignment="1">
      <alignment vertical="center" wrapText="1"/>
    </xf>
    <xf numFmtId="0" fontId="131" fillId="43" borderId="32" xfId="2673" applyFont="1" applyFill="1" applyBorder="1" applyAlignment="1">
      <alignment vertical="center" wrapText="1"/>
    </xf>
    <xf numFmtId="0" fontId="131" fillId="0" borderId="0" xfId="2673" applyFont="1" applyAlignment="1">
      <alignment vertical="center" wrapText="1"/>
    </xf>
    <xf numFmtId="2" fontId="131" fillId="0" borderId="0" xfId="2673" applyNumberFormat="1" applyFont="1" applyAlignment="1">
      <alignment horizontal="center" vertical="center" wrapText="1"/>
    </xf>
    <xf numFmtId="0" fontId="104" fillId="0" borderId="3" xfId="2673" applyFont="1" applyBorder="1" applyAlignment="1">
      <alignment horizontal="center" vertical="center" wrapText="1"/>
    </xf>
    <xf numFmtId="0" fontId="143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6" fillId="0" borderId="0" xfId="2673" applyNumberFormat="1" applyAlignment="1">
      <alignment vertical="center" wrapText="1"/>
    </xf>
    <xf numFmtId="1" fontId="6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1" fillId="0" borderId="0" xfId="2675" applyFont="1" applyFill="1" applyBorder="1" applyAlignment="1">
      <alignment horizontal="center" vertical="center" wrapText="1"/>
    </xf>
    <xf numFmtId="1" fontId="131" fillId="0" borderId="50" xfId="2673" applyNumberFormat="1" applyFont="1" applyBorder="1" applyAlignment="1">
      <alignment vertical="center" wrapText="1"/>
    </xf>
    <xf numFmtId="0" fontId="165" fillId="0" borderId="0" xfId="2673" applyFont="1" applyAlignment="1">
      <alignment vertical="center" wrapText="1"/>
    </xf>
    <xf numFmtId="0" fontId="165" fillId="0" borderId="0" xfId="2673" applyFont="1" applyAlignment="1">
      <alignment horizontal="center" vertical="center" wrapText="1"/>
    </xf>
    <xf numFmtId="2" fontId="165" fillId="0" borderId="0" xfId="2673" applyNumberFormat="1" applyFont="1" applyAlignment="1">
      <alignment horizontal="center" vertical="center" wrapText="1"/>
    </xf>
    <xf numFmtId="1" fontId="165" fillId="0" borderId="0" xfId="2673" applyNumberFormat="1" applyFont="1" applyAlignment="1">
      <alignment horizontal="center" vertical="center" wrapText="1"/>
    </xf>
    <xf numFmtId="0" fontId="166" fillId="0" borderId="0" xfId="2673" applyFont="1" applyAlignment="1">
      <alignment vertical="center" wrapText="1"/>
    </xf>
    <xf numFmtId="0" fontId="143" fillId="35" borderId="51" xfId="2673" applyFont="1" applyFill="1" applyBorder="1" applyAlignment="1">
      <alignment vertical="center" wrapText="1"/>
    </xf>
    <xf numFmtId="0" fontId="143" fillId="0" borderId="53" xfId="2673" applyFont="1" applyBorder="1" applyAlignment="1">
      <alignment horizontal="center" vertical="center" wrapText="1"/>
    </xf>
    <xf numFmtId="0" fontId="143" fillId="35" borderId="49" xfId="2673" applyFont="1" applyFill="1" applyBorder="1" applyAlignment="1">
      <alignment vertical="center" wrapText="1"/>
    </xf>
    <xf numFmtId="1" fontId="131" fillId="0" borderId="58" xfId="2673" applyNumberFormat="1" applyFont="1" applyBorder="1" applyAlignment="1">
      <alignment vertical="center" wrapText="1"/>
    </xf>
    <xf numFmtId="0" fontId="131" fillId="35" borderId="49" xfId="2673" applyFont="1" applyFill="1" applyBorder="1" applyAlignment="1">
      <alignment vertical="center" wrapText="1"/>
    </xf>
    <xf numFmtId="0" fontId="131" fillId="35" borderId="86" xfId="2673" applyFont="1" applyFill="1" applyBorder="1" applyAlignment="1">
      <alignment vertical="center" wrapText="1"/>
    </xf>
    <xf numFmtId="0" fontId="104" fillId="0" borderId="63" xfId="2673" applyFont="1" applyBorder="1" applyAlignment="1">
      <alignment horizontal="center" vertical="center" wrapText="1"/>
    </xf>
    <xf numFmtId="0" fontId="143" fillId="0" borderId="51" xfId="2673" applyFont="1" applyBorder="1" applyAlignment="1">
      <alignment vertical="center" wrapText="1"/>
    </xf>
    <xf numFmtId="0" fontId="143" fillId="0" borderId="49" xfId="2673" applyFont="1" applyBorder="1" applyAlignment="1">
      <alignment vertical="center" wrapText="1"/>
    </xf>
    <xf numFmtId="0" fontId="131" fillId="0" borderId="49" xfId="2673" applyFont="1" applyBorder="1" applyAlignment="1">
      <alignment vertical="center" wrapText="1"/>
    </xf>
    <xf numFmtId="0" fontId="131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8" fillId="0" borderId="0" xfId="2676" applyFont="1" applyAlignment="1">
      <alignment horizontal="center" vertical="center"/>
    </xf>
    <xf numFmtId="0" fontId="5" fillId="0" borderId="0" xfId="2670" applyFont="1" applyAlignment="1">
      <alignment horizontal="center" vertical="center"/>
    </xf>
    <xf numFmtId="0" fontId="125" fillId="0" borderId="0" xfId="2670" applyFont="1" applyAlignment="1">
      <alignment horizontal="left" vertical="center"/>
    </xf>
    <xf numFmtId="0" fontId="5" fillId="0" borderId="21" xfId="1653" applyFont="1" applyBorder="1" applyAlignment="1">
      <alignment horizontal="left" vertical="center" wrapText="1"/>
    </xf>
    <xf numFmtId="207" fontId="42" fillId="0" borderId="21" xfId="2549" applyNumberFormat="1" applyFont="1" applyBorder="1" applyAlignment="1">
      <alignment horizontal="center" vertical="center" wrapText="1"/>
    </xf>
    <xf numFmtId="0" fontId="42" fillId="0" borderId="21" xfId="2677" applyFont="1" applyBorder="1" applyAlignment="1">
      <alignment horizontal="left" vertical="center" wrapText="1"/>
    </xf>
    <xf numFmtId="169" fontId="141" fillId="47" borderId="0" xfId="2672" applyNumberFormat="1" applyFont="1" applyFill="1" applyBorder="1" applyAlignment="1" applyProtection="1">
      <alignment horizontal="right" vertical="center"/>
    </xf>
    <xf numFmtId="0" fontId="145" fillId="0" borderId="21" xfId="1615" applyFont="1" applyBorder="1" applyAlignment="1">
      <alignment horizontal="left" vertical="center" wrapText="1"/>
    </xf>
    <xf numFmtId="0" fontId="151" fillId="0" borderId="20" xfId="1653" applyFont="1" applyBorder="1" applyAlignment="1">
      <alignment horizontal="center" vertical="center"/>
    </xf>
    <xf numFmtId="0" fontId="152" fillId="0" borderId="21" xfId="1615" applyFont="1" applyBorder="1" applyAlignment="1">
      <alignment horizontal="center" vertical="center"/>
    </xf>
    <xf numFmtId="0" fontId="145" fillId="0" borderId="20" xfId="1615" applyFont="1" applyBorder="1" applyAlignment="1">
      <alignment horizontal="center" vertical="center"/>
    </xf>
    <xf numFmtId="0" fontId="151" fillId="0" borderId="21" xfId="1653" applyFont="1" applyBorder="1" applyAlignment="1">
      <alignment vertical="center" wrapText="1"/>
    </xf>
    <xf numFmtId="9" fontId="117" fillId="33" borderId="0" xfId="2542" applyFont="1" applyFill="1" applyAlignment="1">
      <alignment horizontal="center"/>
    </xf>
    <xf numFmtId="9" fontId="113" fillId="33" borderId="0" xfId="2542" applyFont="1" applyFill="1" applyBorder="1" applyAlignment="1">
      <alignment horizontal="center" vertical="center"/>
    </xf>
    <xf numFmtId="0" fontId="113" fillId="33" borderId="0" xfId="0" applyFont="1" applyFill="1" applyAlignment="1">
      <alignment horizontal="center"/>
    </xf>
    <xf numFmtId="0" fontId="113" fillId="33" borderId="36" xfId="0" applyFont="1" applyFill="1" applyBorder="1" applyAlignment="1">
      <alignment horizontal="center"/>
    </xf>
    <xf numFmtId="0" fontId="113" fillId="33" borderId="28" xfId="0" applyFont="1" applyFill="1" applyBorder="1" applyAlignment="1">
      <alignment horizontal="center"/>
    </xf>
    <xf numFmtId="0" fontId="113" fillId="33" borderId="0" xfId="0" quotePrefix="1" applyFont="1" applyFill="1" applyAlignment="1">
      <alignment horizontal="center"/>
    </xf>
    <xf numFmtId="0" fontId="114" fillId="33" borderId="18" xfId="0" applyFont="1" applyFill="1" applyBorder="1" applyAlignment="1">
      <alignment horizontal="left"/>
    </xf>
    <xf numFmtId="0" fontId="113" fillId="33" borderId="37" xfId="0" applyFont="1" applyFill="1" applyBorder="1" applyAlignment="1">
      <alignment horizontal="center"/>
    </xf>
    <xf numFmtId="0" fontId="113" fillId="33" borderId="3" xfId="0" applyFont="1" applyFill="1" applyBorder="1" applyAlignment="1">
      <alignment horizontal="center"/>
    </xf>
    <xf numFmtId="0" fontId="113" fillId="33" borderId="39" xfId="0" applyFont="1" applyFill="1" applyBorder="1" applyAlignment="1">
      <alignment horizontal="center"/>
    </xf>
    <xf numFmtId="0" fontId="133" fillId="33" borderId="0" xfId="0" applyFont="1" applyFill="1" applyAlignment="1">
      <alignment horizontal="center"/>
    </xf>
    <xf numFmtId="0" fontId="115" fillId="33" borderId="28" xfId="0" applyFont="1" applyFill="1" applyBorder="1" applyAlignment="1">
      <alignment horizontal="center"/>
    </xf>
    <xf numFmtId="0" fontId="115" fillId="33" borderId="0" xfId="0" applyFont="1" applyFill="1" applyAlignment="1">
      <alignment horizontal="center"/>
    </xf>
    <xf numFmtId="0" fontId="113" fillId="33" borderId="38" xfId="0" applyFont="1" applyFill="1" applyBorder="1" applyAlignment="1">
      <alignment horizontal="center"/>
    </xf>
    <xf numFmtId="0" fontId="114" fillId="33" borderId="0" xfId="0" applyFont="1" applyFill="1" applyAlignment="1">
      <alignment horizontal="left"/>
    </xf>
    <xf numFmtId="0" fontId="114" fillId="33" borderId="0" xfId="0" applyFont="1" applyFill="1" applyAlignment="1">
      <alignment horizontal="center"/>
    </xf>
    <xf numFmtId="0" fontId="90" fillId="33" borderId="40" xfId="0" applyFont="1" applyFill="1" applyBorder="1" applyAlignment="1">
      <alignment horizontal="center" vertical="center"/>
    </xf>
    <xf numFmtId="0" fontId="90" fillId="33" borderId="47" xfId="0" applyFont="1" applyFill="1" applyBorder="1" applyAlignment="1">
      <alignment horizontal="center" vertical="center"/>
    </xf>
    <xf numFmtId="0" fontId="113" fillId="33" borderId="3" xfId="0" applyFont="1" applyFill="1" applyBorder="1" applyAlignment="1">
      <alignment horizontal="center" vertical="center"/>
    </xf>
    <xf numFmtId="0" fontId="113" fillId="33" borderId="39" xfId="0" applyFont="1" applyFill="1" applyBorder="1" applyAlignment="1">
      <alignment horizontal="center" vertical="center"/>
    </xf>
    <xf numFmtId="0" fontId="90" fillId="33" borderId="59" xfId="0" applyFont="1" applyFill="1" applyBorder="1" applyAlignment="1">
      <alignment horizontal="left" vertical="center"/>
    </xf>
    <xf numFmtId="0" fontId="90" fillId="33" borderId="60" xfId="0" applyFont="1" applyFill="1" applyBorder="1" applyAlignment="1">
      <alignment horizontal="left" vertical="center"/>
    </xf>
    <xf numFmtId="0" fontId="116" fillId="33" borderId="0" xfId="0" applyFont="1" applyFill="1" applyAlignment="1">
      <alignment horizontal="center"/>
    </xf>
    <xf numFmtId="0" fontId="90" fillId="33" borderId="69" xfId="0" applyFont="1" applyFill="1" applyBorder="1" applyAlignment="1">
      <alignment horizontal="left" vertical="center"/>
    </xf>
    <xf numFmtId="0" fontId="113" fillId="33" borderId="39" xfId="0" applyFont="1" applyFill="1" applyBorder="1" applyAlignment="1">
      <alignment horizontal="center" vertical="top" wrapText="1"/>
    </xf>
    <xf numFmtId="0" fontId="113" fillId="33" borderId="3" xfId="0" applyFont="1" applyFill="1" applyBorder="1" applyAlignment="1">
      <alignment vertical="top" wrapText="1"/>
    </xf>
    <xf numFmtId="0" fontId="113" fillId="33" borderId="39" xfId="0" applyFont="1" applyFill="1" applyBorder="1" applyAlignment="1">
      <alignment vertical="top" wrapText="1"/>
    </xf>
    <xf numFmtId="0" fontId="113" fillId="33" borderId="42" xfId="0" applyFont="1" applyFill="1" applyBorder="1" applyAlignment="1">
      <alignment horizontal="center"/>
    </xf>
    <xf numFmtId="0" fontId="117" fillId="33" borderId="28" xfId="0" applyFont="1" applyFill="1" applyBorder="1" applyAlignment="1">
      <alignment horizontal="center"/>
    </xf>
    <xf numFmtId="0" fontId="117" fillId="33" borderId="0" xfId="0" applyFont="1" applyFill="1" applyAlignment="1">
      <alignment horizontal="center"/>
    </xf>
    <xf numFmtId="20" fontId="113" fillId="33" borderId="39" xfId="0" applyNumberFormat="1" applyFont="1" applyFill="1" applyBorder="1" applyAlignment="1">
      <alignment horizontal="center"/>
    </xf>
    <xf numFmtId="0" fontId="113" fillId="33" borderId="0" xfId="0" applyFont="1" applyFill="1" applyAlignment="1">
      <alignment horizontal="left"/>
    </xf>
    <xf numFmtId="0" fontId="113" fillId="33" borderId="42" xfId="0" applyFont="1" applyFill="1" applyBorder="1" applyAlignment="1">
      <alignment horizontal="center" vertical="center" wrapText="1"/>
    </xf>
    <xf numFmtId="0" fontId="113" fillId="33" borderId="0" xfId="0" applyFont="1" applyFill="1" applyAlignment="1">
      <alignment horizontal="center" vertical="center"/>
    </xf>
    <xf numFmtId="0" fontId="117" fillId="33" borderId="0" xfId="0" applyFont="1" applyFill="1" applyAlignment="1">
      <alignment horizontal="center" vertical="center"/>
    </xf>
    <xf numFmtId="0" fontId="117" fillId="33" borderId="34" xfId="0" applyFont="1" applyFill="1" applyBorder="1" applyAlignment="1">
      <alignment horizontal="center"/>
    </xf>
    <xf numFmtId="0" fontId="117" fillId="33" borderId="19" xfId="0" applyFont="1" applyFill="1" applyBorder="1" applyAlignment="1">
      <alignment horizontal="center"/>
    </xf>
    <xf numFmtId="0" fontId="113" fillId="33" borderId="19" xfId="0" applyFont="1" applyFill="1" applyBorder="1" applyAlignment="1">
      <alignment horizontal="center"/>
    </xf>
    <xf numFmtId="0" fontId="113" fillId="33" borderId="46" xfId="0" applyFont="1" applyFill="1" applyBorder="1" applyAlignment="1">
      <alignment horizontal="center"/>
    </xf>
    <xf numFmtId="0" fontId="118" fillId="0" borderId="0" xfId="1451" applyFont="1"/>
    <xf numFmtId="0" fontId="118" fillId="0" borderId="26" xfId="1451" applyFont="1" applyBorder="1"/>
    <xf numFmtId="0" fontId="118" fillId="0" borderId="36" xfId="1451" applyFont="1" applyBorder="1"/>
    <xf numFmtId="0" fontId="118" fillId="0" borderId="48" xfId="1451" applyFont="1" applyBorder="1"/>
    <xf numFmtId="0" fontId="118" fillId="0" borderId="37" xfId="1451" applyFont="1" applyBorder="1"/>
    <xf numFmtId="0" fontId="118" fillId="0" borderId="28" xfId="1451" applyFont="1" applyBorder="1"/>
    <xf numFmtId="0" fontId="119" fillId="0" borderId="0" xfId="1451" applyFont="1" applyAlignment="1">
      <alignment vertical="center"/>
    </xf>
    <xf numFmtId="0" fontId="170" fillId="0" borderId="0" xfId="1451" applyFont="1"/>
    <xf numFmtId="0" fontId="120" fillId="0" borderId="0" xfId="1451" applyFont="1" applyAlignment="1">
      <alignment vertical="center"/>
    </xf>
    <xf numFmtId="0" fontId="121" fillId="0" borderId="0" xfId="1451" applyFont="1" applyAlignment="1">
      <alignment horizontal="center" vertical="center"/>
    </xf>
    <xf numFmtId="0" fontId="122" fillId="0" borderId="0" xfId="1451" applyFont="1"/>
    <xf numFmtId="0" fontId="123" fillId="0" borderId="0" xfId="1451" applyFont="1"/>
    <xf numFmtId="0" fontId="114" fillId="0" borderId="0" xfId="1451" applyFont="1" applyAlignment="1">
      <alignment vertical="center"/>
    </xf>
    <xf numFmtId="0" fontId="114" fillId="0" borderId="37" xfId="1451" applyFont="1" applyBorder="1" applyAlignment="1">
      <alignment vertical="center"/>
    </xf>
    <xf numFmtId="0" fontId="123" fillId="0" borderId="0" xfId="1451" applyFont="1" applyAlignment="1">
      <alignment horizontal="center"/>
    </xf>
    <xf numFmtId="0" fontId="114" fillId="0" borderId="0" xfId="1451" applyFont="1" applyAlignment="1">
      <alignment horizontal="center" vertical="center"/>
    </xf>
    <xf numFmtId="0" fontId="114" fillId="0" borderId="37" xfId="1451" applyFont="1" applyBorder="1" applyAlignment="1">
      <alignment horizontal="center" vertical="center"/>
    </xf>
    <xf numFmtId="0" fontId="118" fillId="0" borderId="34" xfId="1451" applyFont="1" applyBorder="1"/>
    <xf numFmtId="0" fontId="118" fillId="0" borderId="19" xfId="1451" applyFont="1" applyBorder="1"/>
    <xf numFmtId="0" fontId="114" fillId="0" borderId="19" xfId="1451" applyFont="1" applyBorder="1" applyAlignment="1">
      <alignment vertical="center"/>
    </xf>
    <xf numFmtId="0" fontId="114" fillId="0" borderId="19" xfId="1451" applyFont="1" applyBorder="1" applyAlignment="1">
      <alignment horizontal="center" vertical="center"/>
    </xf>
    <xf numFmtId="0" fontId="114" fillId="0" borderId="31" xfId="1451" applyFont="1" applyBorder="1" applyAlignment="1">
      <alignment vertical="center"/>
    </xf>
    <xf numFmtId="0" fontId="118" fillId="0" borderId="31" xfId="1451" applyFont="1" applyBorder="1"/>
    <xf numFmtId="0" fontId="118" fillId="0" borderId="0" xfId="1451" applyFont="1" applyAlignment="1">
      <alignment horizontal="center" vertical="center"/>
    </xf>
    <xf numFmtId="0" fontId="118" fillId="0" borderId="0" xfId="1451" applyFont="1" applyAlignment="1">
      <alignment horizont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112" fillId="0" borderId="20" xfId="1652" applyFont="1" applyBorder="1" applyAlignment="1">
      <alignment horizontal="center" vertical="center"/>
    </xf>
    <xf numFmtId="0" fontId="125" fillId="0" borderId="20" xfId="1652" applyFont="1" applyBorder="1" applyAlignment="1">
      <alignment horizontal="center" vertical="center"/>
    </xf>
    <xf numFmtId="0" fontId="8" fillId="0" borderId="21" xfId="1614" applyFont="1" applyBorder="1" applyAlignment="1">
      <alignment horizontal="center" vertical="center"/>
    </xf>
    <xf numFmtId="0" fontId="4" fillId="0" borderId="21" xfId="1652" applyFont="1" applyBorder="1" applyAlignment="1">
      <alignment horizontal="center" vertical="center"/>
    </xf>
    <xf numFmtId="3" fontId="8" fillId="0" borderId="21" xfId="1599" applyNumberFormat="1" applyFont="1" applyBorder="1" applyAlignment="1">
      <alignment horizontal="center" vertical="center"/>
    </xf>
    <xf numFmtId="0" fontId="125" fillId="0" borderId="21" xfId="1652" applyFont="1" applyBorder="1" applyAlignment="1">
      <alignment horizontal="center" vertical="center"/>
    </xf>
    <xf numFmtId="0" fontId="151" fillId="0" borderId="21" xfId="1652" applyFont="1" applyBorder="1" applyAlignment="1">
      <alignment horizontal="center" vertical="center"/>
    </xf>
    <xf numFmtId="0" fontId="147" fillId="48" borderId="21" xfId="1653" applyFont="1" applyFill="1" applyBorder="1" applyAlignment="1">
      <alignment vertical="center" wrapText="1"/>
    </xf>
    <xf numFmtId="0" fontId="42" fillId="48" borderId="21" xfId="1451" applyFont="1" applyFill="1" applyBorder="1" applyAlignment="1">
      <alignment horizontal="left" vertical="center" wrapText="1"/>
    </xf>
    <xf numFmtId="0" fontId="171" fillId="0" borderId="21" xfId="0" applyFont="1" applyBorder="1" applyAlignment="1">
      <alignment wrapText="1"/>
    </xf>
    <xf numFmtId="0" fontId="171" fillId="0" borderId="20" xfId="0" applyFont="1" applyBorder="1" applyAlignment="1">
      <alignment wrapText="1"/>
    </xf>
    <xf numFmtId="0" fontId="113" fillId="33" borderId="26" xfId="0" applyFont="1" applyFill="1" applyBorder="1" applyAlignment="1">
      <alignment horizontal="center"/>
    </xf>
    <xf numFmtId="0" fontId="90" fillId="33" borderId="94" xfId="0" applyFont="1" applyFill="1" applyBorder="1" applyAlignment="1">
      <alignment horizontal="left" vertical="center"/>
    </xf>
    <xf numFmtId="0" fontId="90" fillId="33" borderId="40" xfId="0" applyFont="1" applyFill="1" applyBorder="1" applyAlignment="1">
      <alignment horizontal="left" vertical="center"/>
    </xf>
    <xf numFmtId="0" fontId="173" fillId="33" borderId="59" xfId="0" applyFont="1" applyFill="1" applyBorder="1" applyAlignment="1">
      <alignment horizontal="left" vertical="center"/>
    </xf>
    <xf numFmtId="0" fontId="173" fillId="33" borderId="69" xfId="0" applyFont="1" applyFill="1" applyBorder="1" applyAlignment="1">
      <alignment horizontal="left" vertical="center"/>
    </xf>
    <xf numFmtId="0" fontId="90" fillId="33" borderId="95" xfId="0" applyFont="1" applyFill="1" applyBorder="1" applyAlignment="1">
      <alignment horizontal="center" vertical="center"/>
    </xf>
    <xf numFmtId="0" fontId="173" fillId="33" borderId="96" xfId="0" applyFont="1" applyFill="1" applyBorder="1" applyAlignment="1">
      <alignment horizontal="left" vertical="center"/>
    </xf>
    <xf numFmtId="0" fontId="173" fillId="33" borderId="97" xfId="0" applyFont="1" applyFill="1" applyBorder="1" applyAlignment="1">
      <alignment horizontal="left" vertical="center"/>
    </xf>
    <xf numFmtId="0" fontId="173" fillId="33" borderId="98" xfId="0" applyFont="1" applyFill="1" applyBorder="1" applyAlignment="1">
      <alignment horizontal="center" vertical="center"/>
    </xf>
    <xf numFmtId="0" fontId="113" fillId="33" borderId="7" xfId="0" applyFont="1" applyFill="1" applyBorder="1" applyAlignment="1">
      <alignment horizontal="center" vertical="top" wrapText="1"/>
    </xf>
    <xf numFmtId="0" fontId="113" fillId="33" borderId="41" xfId="0" applyFont="1" applyFill="1" applyBorder="1" applyAlignment="1">
      <alignment horizontal="center" vertical="top" wrapText="1"/>
    </xf>
    <xf numFmtId="0" fontId="117" fillId="33" borderId="101" xfId="0" applyFont="1" applyFill="1" applyBorder="1" applyAlignment="1">
      <alignment horizontal="center" vertical="top" wrapText="1"/>
    </xf>
    <xf numFmtId="0" fontId="117" fillId="33" borderId="102" xfId="0" applyFont="1" applyFill="1" applyBorder="1" applyAlignment="1">
      <alignment horizontal="center" vertical="top" wrapText="1"/>
    </xf>
    <xf numFmtId="0" fontId="118" fillId="33" borderId="0" xfId="1451" applyFont="1" applyFill="1" applyAlignment="1">
      <alignment horizontal="center" vertical="center"/>
    </xf>
    <xf numFmtId="0" fontId="118" fillId="33" borderId="0" xfId="1451" applyFont="1" applyFill="1" applyAlignment="1">
      <alignment horizontal="center"/>
    </xf>
    <xf numFmtId="0" fontId="152" fillId="33" borderId="21" xfId="1615" applyFont="1" applyFill="1" applyBorder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125" fillId="0" borderId="21" xfId="1652" applyFont="1" applyBorder="1" applyAlignment="1">
      <alignment horizontal="left" vertical="center" wrapText="1"/>
    </xf>
    <xf numFmtId="0" fontId="3" fillId="0" borderId="21" xfId="1652" applyFont="1" applyBorder="1" applyAlignment="1">
      <alignment horizontal="center" vertical="center"/>
    </xf>
    <xf numFmtId="0" fontId="8" fillId="0" borderId="21" xfId="2678" applyFont="1" applyBorder="1" applyAlignment="1">
      <alignment horizontal="center" vertical="center"/>
    </xf>
    <xf numFmtId="0" fontId="171" fillId="0" borderId="20" xfId="0" applyFont="1" applyBorder="1" applyAlignment="1">
      <alignment horizontal="center" wrapText="1"/>
    </xf>
    <xf numFmtId="0" fontId="174" fillId="0" borderId="20" xfId="0" applyFont="1" applyBorder="1" applyAlignment="1">
      <alignment horizontal="center" wrapText="1"/>
    </xf>
    <xf numFmtId="0" fontId="174" fillId="0" borderId="21" xfId="0" applyFont="1" applyBorder="1" applyAlignment="1">
      <alignment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42" fillId="0" borderId="21" xfId="1450" applyFont="1" applyBorder="1" applyAlignment="1">
      <alignment vertical="center" wrapText="1"/>
    </xf>
    <xf numFmtId="0" fontId="2" fillId="0" borderId="21" xfId="1652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3" fontId="41" fillId="31" borderId="38" xfId="1615" applyNumberFormat="1" applyFont="1" applyFill="1" applyBorder="1" applyAlignment="1">
      <alignment horizontal="center" vertical="center"/>
    </xf>
    <xf numFmtId="3" fontId="41" fillId="31" borderId="65" xfId="1615" applyNumberFormat="1" applyFont="1" applyFill="1" applyBorder="1" applyAlignment="1">
      <alignment horizontal="center" vertical="center"/>
    </xf>
    <xf numFmtId="3" fontId="41" fillId="31" borderId="18" xfId="1615" applyNumberFormat="1" applyFont="1" applyFill="1" applyBorder="1" applyAlignment="1">
      <alignment horizontal="center" vertical="center"/>
    </xf>
    <xf numFmtId="3" fontId="41" fillId="31" borderId="42" xfId="1615" applyNumberFormat="1" applyFont="1" applyFill="1" applyBorder="1" applyAlignment="1">
      <alignment horizontal="center" vertical="center"/>
    </xf>
    <xf numFmtId="3" fontId="41" fillId="31" borderId="43" xfId="1615" applyNumberFormat="1" applyFont="1" applyFill="1" applyBorder="1" applyAlignment="1">
      <alignment horizontal="center" vertical="center"/>
    </xf>
    <xf numFmtId="3" fontId="41" fillId="31" borderId="66" xfId="1615" applyNumberFormat="1" applyFont="1" applyFill="1" applyBorder="1" applyAlignment="1">
      <alignment horizontal="center" vertical="center"/>
    </xf>
    <xf numFmtId="3" fontId="41" fillId="31" borderId="3" xfId="1615" applyNumberFormat="1" applyFont="1" applyFill="1" applyBorder="1" applyAlignment="1">
      <alignment horizontal="center" vertical="center"/>
    </xf>
    <xf numFmtId="0" fontId="94" fillId="0" borderId="0" xfId="1653" applyFont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 wrapText="1"/>
    </xf>
    <xf numFmtId="37" fontId="60" fillId="0" borderId="19" xfId="1614" applyNumberFormat="1" applyFont="1" applyBorder="1" applyAlignment="1">
      <alignment horizontal="center"/>
    </xf>
    <xf numFmtId="0" fontId="45" fillId="0" borderId="0" xfId="1652" applyFont="1" applyAlignment="1">
      <alignment horizontal="center" vertical="center"/>
    </xf>
    <xf numFmtId="0" fontId="109" fillId="0" borderId="0" xfId="1652" applyAlignment="1">
      <alignment horizontal="center" vertical="center"/>
    </xf>
    <xf numFmtId="0" fontId="60" fillId="0" borderId="26" xfId="1614" applyFont="1" applyBorder="1" applyAlignment="1">
      <alignment horizontal="left" vertical="center"/>
    </xf>
    <xf numFmtId="0" fontId="60" fillId="0" borderId="36" xfId="1614" applyFont="1" applyBorder="1" applyAlignment="1">
      <alignment horizontal="left" vertical="center"/>
    </xf>
    <xf numFmtId="0" fontId="60" fillId="0" borderId="48" xfId="1614" applyFont="1" applyBorder="1" applyAlignment="1">
      <alignment horizontal="left" vertical="center"/>
    </xf>
    <xf numFmtId="0" fontId="60" fillId="0" borderId="28" xfId="1614" applyFont="1" applyBorder="1" applyAlignment="1">
      <alignment horizontal="left" vertical="center"/>
    </xf>
    <xf numFmtId="0" fontId="60" fillId="0" borderId="0" xfId="1614" applyFont="1" applyAlignment="1">
      <alignment horizontal="left" vertical="center"/>
    </xf>
    <xf numFmtId="0" fontId="60" fillId="0" borderId="37" xfId="1614" applyFont="1" applyBorder="1" applyAlignment="1">
      <alignment horizontal="left" vertical="center"/>
    </xf>
    <xf numFmtId="0" fontId="50" fillId="0" borderId="0" xfId="1614" applyFont="1" applyAlignment="1">
      <alignment horizontal="left" vertical="top" wrapText="1"/>
    </xf>
    <xf numFmtId="37" fontId="109" fillId="0" borderId="36" xfId="1614" applyNumberFormat="1" applyBorder="1" applyAlignment="1">
      <alignment horizontal="center"/>
    </xf>
    <xf numFmtId="37" fontId="109" fillId="0" borderId="0" xfId="1614" applyNumberFormat="1" applyAlignment="1">
      <alignment horizontal="center"/>
    </xf>
    <xf numFmtId="0" fontId="50" fillId="0" borderId="3" xfId="1614" applyFont="1" applyBorder="1" applyAlignment="1">
      <alignment horizontal="center" vertical="center"/>
    </xf>
    <xf numFmtId="0" fontId="50" fillId="0" borderId="39" xfId="1614" applyFont="1" applyBorder="1" applyAlignment="1">
      <alignment horizontal="center" vertical="center"/>
    </xf>
    <xf numFmtId="0" fontId="50" fillId="0" borderId="35" xfId="1652" applyFont="1" applyBorder="1" applyAlignment="1">
      <alignment horizontal="center" vertical="center" wrapText="1"/>
    </xf>
    <xf numFmtId="0" fontId="50" fillId="0" borderId="33" xfId="1652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48" fillId="0" borderId="51" xfId="1614" applyFont="1" applyBorder="1" applyAlignment="1">
      <alignment horizontal="center" vertical="center"/>
    </xf>
    <xf numFmtId="0" fontId="48" fillId="0" borderId="49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/>
    </xf>
    <xf numFmtId="0" fontId="48" fillId="0" borderId="21" xfId="1614" applyFont="1" applyBorder="1" applyAlignment="1">
      <alignment horizontal="center" vertical="center"/>
    </xf>
    <xf numFmtId="0" fontId="48" fillId="0" borderId="33" xfId="1614" applyFont="1" applyBorder="1" applyAlignment="1">
      <alignment horizontal="center" vertical="center"/>
    </xf>
    <xf numFmtId="0" fontId="50" fillId="0" borderId="53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 wrapText="1"/>
    </xf>
    <xf numFmtId="0" fontId="48" fillId="0" borderId="33" xfId="1614" applyFont="1" applyBorder="1" applyAlignment="1">
      <alignment horizontal="center" vertical="center" wrapText="1"/>
    </xf>
    <xf numFmtId="0" fontId="50" fillId="0" borderId="54" xfId="1614" applyFont="1" applyBorder="1" applyAlignment="1">
      <alignment horizontal="center" vertical="center"/>
    </xf>
    <xf numFmtId="169" fontId="41" fillId="0" borderId="3" xfId="714" applyFont="1" applyFill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41" fillId="0" borderId="3" xfId="1448" applyFont="1" applyBorder="1" applyAlignment="1">
      <alignment horizontal="center" vertical="center" wrapText="1"/>
    </xf>
    <xf numFmtId="0" fontId="53" fillId="0" borderId="3" xfId="1448" applyFont="1" applyBorder="1" applyAlignment="1">
      <alignment horizontal="center" vertical="center" wrapText="1"/>
    </xf>
    <xf numFmtId="0" fontId="6" fillId="0" borderId="84" xfId="2673" applyBorder="1" applyAlignment="1">
      <alignment horizontal="center" vertical="center" wrapText="1"/>
    </xf>
    <xf numFmtId="0" fontId="6" fillId="0" borderId="6" xfId="2673" applyBorder="1" applyAlignment="1">
      <alignment horizontal="center" vertical="center" wrapText="1"/>
    </xf>
    <xf numFmtId="0" fontId="6" fillId="0" borderId="85" xfId="2673" applyBorder="1" applyAlignment="1">
      <alignment horizontal="center" vertical="center" wrapText="1"/>
    </xf>
    <xf numFmtId="9" fontId="165" fillId="0" borderId="0" xfId="2675" applyFont="1" applyFill="1" applyBorder="1" applyAlignment="1">
      <alignment horizontal="center" vertical="center" wrapText="1"/>
    </xf>
    <xf numFmtId="0" fontId="162" fillId="37" borderId="0" xfId="2673" applyFont="1" applyFill="1" applyAlignment="1">
      <alignment horizontal="left" vertical="center" wrapText="1"/>
    </xf>
    <xf numFmtId="43" fontId="143" fillId="35" borderId="7" xfId="2673" applyNumberFormat="1" applyFont="1" applyFill="1" applyBorder="1" applyAlignment="1">
      <alignment horizontal="center" vertical="center" wrapText="1"/>
    </xf>
    <xf numFmtId="0" fontId="143" fillId="35" borderId="58" xfId="2673" applyFont="1" applyFill="1" applyBorder="1" applyAlignment="1">
      <alignment horizontal="center" vertical="center" wrapText="1"/>
    </xf>
    <xf numFmtId="2" fontId="131" fillId="35" borderId="61" xfId="2673" applyNumberFormat="1" applyFont="1" applyFill="1" applyBorder="1" applyAlignment="1">
      <alignment horizontal="center" vertical="center" wrapText="1"/>
    </xf>
    <xf numFmtId="2" fontId="131" fillId="35" borderId="83" xfId="2673" applyNumberFormat="1" applyFont="1" applyFill="1" applyBorder="1" applyAlignment="1">
      <alignment horizontal="center" vertical="center" wrapText="1"/>
    </xf>
    <xf numFmtId="0" fontId="158" fillId="41" borderId="79" xfId="2673" applyFont="1" applyFill="1" applyBorder="1" applyAlignment="1">
      <alignment horizontal="center" vertical="center" wrapText="1"/>
    </xf>
    <xf numFmtId="0" fontId="158" fillId="41" borderId="80" xfId="2673" applyFont="1" applyFill="1" applyBorder="1" applyAlignment="1">
      <alignment horizontal="center" vertical="center" wrapText="1"/>
    </xf>
    <xf numFmtId="0" fontId="158" fillId="41" borderId="81" xfId="2673" applyFont="1" applyFill="1" applyBorder="1" applyAlignment="1">
      <alignment horizontal="center" vertical="center" wrapText="1"/>
    </xf>
    <xf numFmtId="0" fontId="131" fillId="35" borderId="7" xfId="2673" applyFont="1" applyFill="1" applyBorder="1" applyAlignment="1">
      <alignment horizontal="center" vertical="center" wrapText="1"/>
    </xf>
    <xf numFmtId="0" fontId="131" fillId="35" borderId="58" xfId="2673" applyFont="1" applyFill="1" applyBorder="1" applyAlignment="1">
      <alignment horizontal="center" vertical="center" wrapText="1"/>
    </xf>
    <xf numFmtId="1" fontId="143" fillId="35" borderId="7" xfId="2673" applyNumberFormat="1" applyFont="1" applyFill="1" applyBorder="1" applyAlignment="1">
      <alignment horizontal="center" vertical="center" wrapText="1"/>
    </xf>
    <xf numFmtId="1" fontId="143" fillId="35" borderId="58" xfId="2673" applyNumberFormat="1" applyFont="1" applyFill="1" applyBorder="1" applyAlignment="1">
      <alignment horizontal="center" vertical="center" wrapText="1"/>
    </xf>
    <xf numFmtId="43" fontId="143" fillId="0" borderId="53" xfId="2673" applyNumberFormat="1" applyFont="1" applyBorder="1" applyAlignment="1">
      <alignment horizontal="center" vertical="center" wrapText="1"/>
    </xf>
    <xf numFmtId="0" fontId="143" fillId="0" borderId="54" xfId="2673" applyFont="1" applyBorder="1" applyAlignment="1">
      <alignment horizontal="center" vertical="center" wrapText="1"/>
    </xf>
    <xf numFmtId="9" fontId="131" fillId="0" borderId="63" xfId="2675" applyFont="1" applyFill="1" applyBorder="1" applyAlignment="1">
      <alignment horizontal="center" vertical="center" wrapText="1"/>
    </xf>
    <xf numFmtId="9" fontId="131" fillId="0" borderId="64" xfId="2675" applyFont="1" applyFill="1" applyBorder="1" applyAlignment="1">
      <alignment horizontal="center" vertical="center" wrapText="1"/>
    </xf>
    <xf numFmtId="1" fontId="143" fillId="0" borderId="3" xfId="2673" applyNumberFormat="1" applyFont="1" applyBorder="1" applyAlignment="1">
      <alignment horizontal="center" vertical="center" wrapText="1"/>
    </xf>
    <xf numFmtId="1" fontId="143" fillId="0" borderId="39" xfId="2673" applyNumberFormat="1" applyFont="1" applyBorder="1" applyAlignment="1">
      <alignment horizontal="center" vertical="center" wrapText="1"/>
    </xf>
    <xf numFmtId="2" fontId="131" fillId="0" borderId="3" xfId="2673" applyNumberFormat="1" applyFont="1" applyBorder="1" applyAlignment="1">
      <alignment horizontal="center" vertical="center" wrapText="1"/>
    </xf>
    <xf numFmtId="2" fontId="131" fillId="0" borderId="39" xfId="2673" applyNumberFormat="1" applyFont="1" applyBorder="1" applyAlignment="1">
      <alignment horizontal="center" vertical="center" wrapText="1"/>
    </xf>
    <xf numFmtId="9" fontId="131" fillId="35" borderId="63" xfId="2675" applyFont="1" applyFill="1" applyBorder="1" applyAlignment="1">
      <alignment horizontal="center" vertical="center" wrapText="1"/>
    </xf>
    <xf numFmtId="9" fontId="131" fillId="35" borderId="64" xfId="2675" applyFont="1" applyFill="1" applyBorder="1" applyAlignment="1">
      <alignment horizontal="center" vertical="center" wrapText="1"/>
    </xf>
    <xf numFmtId="2" fontId="131" fillId="35" borderId="3" xfId="2673" applyNumberFormat="1" applyFont="1" applyFill="1" applyBorder="1" applyAlignment="1">
      <alignment horizontal="center" vertical="center" wrapText="1"/>
    </xf>
    <xf numFmtId="2" fontId="131" fillId="35" borderId="39" xfId="2673" applyNumberFormat="1" applyFont="1" applyFill="1" applyBorder="1" applyAlignment="1">
      <alignment horizontal="center" vertical="center" wrapText="1"/>
    </xf>
    <xf numFmtId="0" fontId="161" fillId="0" borderId="50" xfId="2673" applyFont="1" applyBorder="1" applyAlignment="1">
      <alignment horizontal="center" vertical="center" wrapText="1"/>
    </xf>
    <xf numFmtId="0" fontId="161" fillId="0" borderId="58" xfId="2673" applyFont="1" applyBorder="1" applyAlignment="1">
      <alignment horizontal="center" vertical="center" wrapText="1"/>
    </xf>
    <xf numFmtId="0" fontId="161" fillId="44" borderId="3" xfId="2673" applyFont="1" applyFill="1" applyBorder="1" applyAlignment="1">
      <alignment horizontal="center" vertical="center" wrapText="1"/>
    </xf>
    <xf numFmtId="0" fontId="161" fillId="44" borderId="39" xfId="2673" applyFont="1" applyFill="1" applyBorder="1" applyAlignment="1">
      <alignment horizontal="center" vertical="center" wrapText="1"/>
    </xf>
    <xf numFmtId="1" fontId="131" fillId="0" borderId="3" xfId="2673" applyNumberFormat="1" applyFont="1" applyBorder="1" applyAlignment="1">
      <alignment horizontal="center" vertical="center" wrapText="1"/>
    </xf>
    <xf numFmtId="1" fontId="131" fillId="0" borderId="39" xfId="2673" applyNumberFormat="1" applyFont="1" applyBorder="1" applyAlignment="1">
      <alignment horizontal="center" vertical="center" wrapText="1"/>
    </xf>
    <xf numFmtId="2" fontId="131" fillId="45" borderId="3" xfId="2673" applyNumberFormat="1" applyFont="1" applyFill="1" applyBorder="1" applyAlignment="1">
      <alignment horizontal="center" vertical="center" wrapText="1"/>
    </xf>
    <xf numFmtId="2" fontId="131" fillId="45" borderId="39" xfId="2673" applyNumberFormat="1" applyFont="1" applyFill="1" applyBorder="1" applyAlignment="1">
      <alignment horizontal="center" vertical="center" wrapText="1"/>
    </xf>
    <xf numFmtId="0" fontId="158" fillId="42" borderId="79" xfId="2673" applyFont="1" applyFill="1" applyBorder="1" applyAlignment="1">
      <alignment horizontal="center" vertical="center" wrapText="1"/>
    </xf>
    <xf numFmtId="0" fontId="158" fillId="42" borderId="80" xfId="2673" applyFont="1" applyFill="1" applyBorder="1" applyAlignment="1">
      <alignment horizontal="center" vertical="center" wrapText="1"/>
    </xf>
    <xf numFmtId="0" fontId="158" fillId="42" borderId="81" xfId="2673" applyFont="1" applyFill="1" applyBorder="1" applyAlignment="1">
      <alignment horizontal="center" vertical="center" wrapText="1"/>
    </xf>
    <xf numFmtId="43" fontId="143" fillId="43" borderId="7" xfId="2673" applyNumberFormat="1" applyFont="1" applyFill="1" applyBorder="1" applyAlignment="1">
      <alignment horizontal="center" vertical="center" wrapText="1"/>
    </xf>
    <xf numFmtId="0" fontId="143" fillId="43" borderId="58" xfId="2673" applyFont="1" applyFill="1" applyBorder="1" applyAlignment="1">
      <alignment horizontal="center" vertical="center" wrapText="1"/>
    </xf>
    <xf numFmtId="1" fontId="131" fillId="43" borderId="7" xfId="2673" applyNumberFormat="1" applyFont="1" applyFill="1" applyBorder="1" applyAlignment="1">
      <alignment horizontal="center" vertical="center" wrapText="1"/>
    </xf>
    <xf numFmtId="1" fontId="131" fillId="43" borderId="58" xfId="2673" applyNumberFormat="1" applyFont="1" applyFill="1" applyBorder="1" applyAlignment="1">
      <alignment horizontal="center" vertical="center" wrapText="1"/>
    </xf>
    <xf numFmtId="0" fontId="131" fillId="43" borderId="7" xfId="2673" applyFont="1" applyFill="1" applyBorder="1" applyAlignment="1">
      <alignment horizontal="center" vertical="center" wrapText="1"/>
    </xf>
    <xf numFmtId="0" fontId="131" fillId="43" borderId="58" xfId="2673" applyFont="1" applyFill="1" applyBorder="1" applyAlignment="1">
      <alignment horizontal="center" vertical="center" wrapText="1"/>
    </xf>
    <xf numFmtId="2" fontId="131" fillId="43" borderId="61" xfId="2673" applyNumberFormat="1" applyFont="1" applyFill="1" applyBorder="1" applyAlignment="1">
      <alignment horizontal="center" vertical="center" wrapText="1"/>
    </xf>
    <xf numFmtId="2" fontId="131" fillId="43" borderId="83" xfId="2673" applyNumberFormat="1" applyFont="1" applyFill="1" applyBorder="1" applyAlignment="1">
      <alignment horizontal="center" vertical="center" wrapText="1"/>
    </xf>
    <xf numFmtId="0" fontId="7" fillId="34" borderId="67" xfId="2670" applyFill="1" applyBorder="1" applyAlignment="1">
      <alignment horizontal="center" vertical="center"/>
    </xf>
    <xf numFmtId="0" fontId="135" fillId="0" borderId="68" xfId="2670" applyFont="1" applyBorder="1" applyAlignment="1">
      <alignment horizontal="left" vertical="center"/>
    </xf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horizontal="center" vertical="center"/>
    </xf>
    <xf numFmtId="0" fontId="110" fillId="38" borderId="3" xfId="1538" applyFill="1" applyBorder="1" applyAlignment="1">
      <alignment horizontal="center" vertical="center" wrapText="1"/>
    </xf>
    <xf numFmtId="0" fontId="101" fillId="38" borderId="3" xfId="1538" applyFont="1" applyFill="1" applyBorder="1" applyAlignment="1">
      <alignment horizontal="center" vertical="center" wrapText="1"/>
    </xf>
    <xf numFmtId="0" fontId="47" fillId="0" borderId="3" xfId="1538" applyFont="1" applyBorder="1" applyAlignment="1">
      <alignment horizontal="center"/>
    </xf>
    <xf numFmtId="0" fontId="110" fillId="38" borderId="35" xfId="1538" applyFill="1" applyBorder="1" applyAlignment="1">
      <alignment horizontal="center" vertical="center" wrapText="1"/>
    </xf>
    <xf numFmtId="0" fontId="110" fillId="38" borderId="33" xfId="1538" applyFill="1" applyBorder="1" applyAlignment="1">
      <alignment horizontal="center" vertical="center" wrapText="1"/>
    </xf>
    <xf numFmtId="0" fontId="149" fillId="30" borderId="3" xfId="1614" applyFont="1" applyFill="1" applyBorder="1" applyAlignment="1">
      <alignment horizontal="center" vertical="center"/>
    </xf>
    <xf numFmtId="0" fontId="150" fillId="0" borderId="0" xfId="1652" applyFont="1" applyAlignment="1">
      <alignment horizontal="center" vertical="center"/>
    </xf>
    <xf numFmtId="37" fontId="147" fillId="0" borderId="36" xfId="1614" applyNumberFormat="1" applyFont="1" applyBorder="1" applyAlignment="1">
      <alignment horizontal="center"/>
    </xf>
    <xf numFmtId="0" fontId="151" fillId="35" borderId="51" xfId="1614" applyFont="1" applyFill="1" applyBorder="1" applyAlignment="1">
      <alignment horizontal="center" vertical="center"/>
    </xf>
    <xf numFmtId="0" fontId="151" fillId="35" borderId="49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/>
    </xf>
    <xf numFmtId="0" fontId="151" fillId="35" borderId="21" xfId="1614" applyFont="1" applyFill="1" applyBorder="1" applyAlignment="1">
      <alignment horizontal="center" vertical="center"/>
    </xf>
    <xf numFmtId="0" fontId="151" fillId="35" borderId="33" xfId="1614" applyFont="1" applyFill="1" applyBorder="1" applyAlignment="1">
      <alignment horizontal="center" vertical="center"/>
    </xf>
    <xf numFmtId="0" fontId="151" fillId="35" borderId="53" xfId="1614" applyFont="1" applyFill="1" applyBorder="1" applyAlignment="1">
      <alignment horizontal="center" vertical="center"/>
    </xf>
    <xf numFmtId="0" fontId="151" fillId="35" borderId="3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 wrapText="1"/>
    </xf>
    <xf numFmtId="0" fontId="151" fillId="35" borderId="21" xfId="1614" applyFont="1" applyFill="1" applyBorder="1" applyAlignment="1">
      <alignment horizontal="center" vertical="center" wrapText="1"/>
    </xf>
    <xf numFmtId="0" fontId="151" fillId="35" borderId="33" xfId="1614" applyFont="1" applyFill="1" applyBorder="1" applyAlignment="1">
      <alignment horizontal="center" vertical="center" wrapText="1"/>
    </xf>
    <xf numFmtId="0" fontId="151" fillId="35" borderId="35" xfId="1652" applyFont="1" applyFill="1" applyBorder="1" applyAlignment="1">
      <alignment horizontal="center" vertical="center" wrapText="1"/>
    </xf>
    <xf numFmtId="0" fontId="151" fillId="35" borderId="33" xfId="1652" applyFont="1" applyFill="1" applyBorder="1" applyAlignment="1">
      <alignment horizontal="center" vertical="center" wrapText="1"/>
    </xf>
    <xf numFmtId="0" fontId="146" fillId="0" borderId="0" xfId="1644" applyFont="1" applyAlignment="1">
      <alignment horizontal="center" vertical="center"/>
    </xf>
    <xf numFmtId="37" fontId="153" fillId="0" borderId="19" xfId="1614" applyNumberFormat="1" applyFont="1" applyBorder="1" applyAlignment="1">
      <alignment horizontal="center"/>
    </xf>
    <xf numFmtId="0" fontId="149" fillId="0" borderId="0" xfId="1614" quotePrefix="1" applyFont="1" applyAlignment="1">
      <alignment horizontal="left" vertical="top" wrapText="1"/>
    </xf>
    <xf numFmtId="0" fontId="149" fillId="0" borderId="0" xfId="1614" applyFont="1" applyAlignment="1">
      <alignment horizontal="left" vertical="top" wrapText="1"/>
    </xf>
    <xf numFmtId="37" fontId="147" fillId="0" borderId="0" xfId="1614" applyNumberFormat="1" applyFont="1" applyAlignment="1">
      <alignment horizontal="center"/>
    </xf>
    <xf numFmtId="0" fontId="167" fillId="0" borderId="26" xfId="1614" applyFont="1" applyBorder="1" applyAlignment="1">
      <alignment horizontal="left" vertical="center" wrapText="1"/>
    </xf>
    <xf numFmtId="0" fontId="167" fillId="0" borderId="36" xfId="1614" applyFont="1" applyBorder="1" applyAlignment="1">
      <alignment horizontal="left" vertical="center" wrapText="1"/>
    </xf>
    <xf numFmtId="0" fontId="167" fillId="0" borderId="48" xfId="1614" applyFont="1" applyBorder="1" applyAlignment="1">
      <alignment horizontal="left" vertical="center" wrapText="1"/>
    </xf>
    <xf numFmtId="0" fontId="167" fillId="0" borderId="28" xfId="1614" applyFont="1" applyBorder="1" applyAlignment="1">
      <alignment horizontal="left" vertical="center" wrapText="1"/>
    </xf>
    <xf numFmtId="0" fontId="167" fillId="0" borderId="0" xfId="1614" applyFont="1" applyAlignment="1">
      <alignment horizontal="left" vertical="center" wrapText="1"/>
    </xf>
    <xf numFmtId="0" fontId="167" fillId="0" borderId="37" xfId="1614" applyFont="1" applyBorder="1" applyAlignment="1">
      <alignment horizontal="left" vertical="center" wrapText="1"/>
    </xf>
    <xf numFmtId="0" fontId="152" fillId="0" borderId="0" xfId="1652" applyFont="1" applyAlignment="1">
      <alignment horizontal="center" vertical="center"/>
    </xf>
    <xf numFmtId="0" fontId="147" fillId="0" borderId="0" xfId="1652" applyFont="1" applyAlignment="1">
      <alignment horizontal="center" vertical="center"/>
    </xf>
    <xf numFmtId="0" fontId="151" fillId="35" borderId="54" xfId="1614" applyFont="1" applyFill="1" applyBorder="1" applyAlignment="1">
      <alignment horizontal="center" vertical="center"/>
    </xf>
    <xf numFmtId="0" fontId="151" fillId="35" borderId="39" xfId="1614" applyFont="1" applyFill="1" applyBorder="1" applyAlignment="1">
      <alignment horizontal="center" vertical="center"/>
    </xf>
    <xf numFmtId="0" fontId="113" fillId="33" borderId="50" xfId="0" applyFont="1" applyFill="1" applyBorder="1" applyAlignment="1">
      <alignment horizontal="center"/>
    </xf>
    <xf numFmtId="0" fontId="113" fillId="33" borderId="41" xfId="0" applyFont="1" applyFill="1" applyBorder="1" applyAlignment="1">
      <alignment horizontal="center"/>
    </xf>
    <xf numFmtId="0" fontId="113" fillId="33" borderId="3" xfId="0" applyFont="1" applyFill="1" applyBorder="1" applyAlignment="1">
      <alignment horizontal="center"/>
    </xf>
    <xf numFmtId="0" fontId="113" fillId="33" borderId="39" xfId="0" applyFont="1" applyFill="1" applyBorder="1" applyAlignment="1">
      <alignment horizontal="center"/>
    </xf>
    <xf numFmtId="0" fontId="113" fillId="33" borderId="87" xfId="0" applyFont="1" applyFill="1" applyBorder="1" applyAlignment="1">
      <alignment horizontal="center"/>
    </xf>
    <xf numFmtId="0" fontId="113" fillId="33" borderId="62" xfId="0" applyFont="1" applyFill="1" applyBorder="1" applyAlignment="1">
      <alignment horizontal="center"/>
    </xf>
    <xf numFmtId="0" fontId="113" fillId="33" borderId="63" xfId="0" applyFont="1" applyFill="1" applyBorder="1" applyAlignment="1">
      <alignment horizontal="center"/>
    </xf>
    <xf numFmtId="0" fontId="113" fillId="33" borderId="64" xfId="0" applyFont="1" applyFill="1" applyBorder="1" applyAlignment="1">
      <alignment horizontal="center"/>
    </xf>
    <xf numFmtId="0" fontId="113" fillId="33" borderId="56" xfId="0" applyFont="1" applyFill="1" applyBorder="1" applyAlignment="1">
      <alignment horizontal="center" vertical="center"/>
    </xf>
    <xf numFmtId="0" fontId="113" fillId="33" borderId="57" xfId="0" applyFont="1" applyFill="1" applyBorder="1" applyAlignment="1">
      <alignment horizontal="center" vertical="center"/>
    </xf>
    <xf numFmtId="0" fontId="118" fillId="33" borderId="0" xfId="0" applyFont="1" applyFill="1" applyAlignment="1">
      <alignment horizontal="center" vertical="center" wrapText="1"/>
    </xf>
    <xf numFmtId="0" fontId="118" fillId="33" borderId="37" xfId="0" applyFont="1" applyFill="1" applyBorder="1" applyAlignment="1">
      <alignment horizontal="center" vertical="center" wrapText="1"/>
    </xf>
    <xf numFmtId="0" fontId="118" fillId="33" borderId="44" xfId="0" applyFont="1" applyFill="1" applyBorder="1" applyAlignment="1">
      <alignment horizontal="center" vertical="center" wrapText="1"/>
    </xf>
    <xf numFmtId="0" fontId="118" fillId="33" borderId="45" xfId="0" applyFont="1" applyFill="1" applyBorder="1" applyAlignment="1">
      <alignment horizontal="center" vertical="center" wrapText="1"/>
    </xf>
    <xf numFmtId="0" fontId="113" fillId="33" borderId="7" xfId="0" applyFont="1" applyFill="1" applyBorder="1" applyAlignment="1">
      <alignment horizontal="center"/>
    </xf>
    <xf numFmtId="15" fontId="113" fillId="33" borderId="3" xfId="0" applyNumberFormat="1" applyFont="1" applyFill="1" applyBorder="1" applyAlignment="1">
      <alignment horizontal="center"/>
    </xf>
    <xf numFmtId="0" fontId="113" fillId="33" borderId="7" xfId="0" applyFont="1" applyFill="1" applyBorder="1" applyAlignment="1">
      <alignment vertical="top" wrapText="1"/>
    </xf>
    <xf numFmtId="0" fontId="113" fillId="33" borderId="41" xfId="0" applyFont="1" applyFill="1" applyBorder="1" applyAlignment="1">
      <alignment vertical="top" wrapText="1"/>
    </xf>
    <xf numFmtId="0" fontId="117" fillId="33" borderId="99" xfId="0" applyFont="1" applyFill="1" applyBorder="1" applyAlignment="1">
      <alignment horizontal="center" vertical="center" wrapText="1"/>
    </xf>
    <xf numFmtId="0" fontId="117" fillId="33" borderId="100" xfId="0" applyFont="1" applyFill="1" applyBorder="1" applyAlignment="1">
      <alignment horizontal="center" vertical="center" wrapText="1"/>
    </xf>
    <xf numFmtId="0" fontId="113" fillId="33" borderId="7" xfId="0" applyFont="1" applyFill="1" applyBorder="1" applyAlignment="1">
      <alignment horizontal="center" vertical="top" wrapText="1"/>
    </xf>
    <xf numFmtId="0" fontId="113" fillId="33" borderId="41" xfId="0" applyFont="1" applyFill="1" applyBorder="1" applyAlignment="1">
      <alignment horizontal="center" vertical="top" wrapText="1"/>
    </xf>
    <xf numFmtId="0" fontId="114" fillId="33" borderId="38" xfId="0" applyFont="1" applyFill="1" applyBorder="1" applyAlignment="1">
      <alignment horizontal="left" vertical="top" wrapText="1"/>
    </xf>
    <xf numFmtId="0" fontId="114" fillId="33" borderId="56" xfId="0" applyFont="1" applyFill="1" applyBorder="1" applyAlignment="1">
      <alignment horizontal="left" vertical="top" wrapText="1"/>
    </xf>
    <xf numFmtId="0" fontId="114" fillId="33" borderId="57" xfId="0" applyFont="1" applyFill="1" applyBorder="1" applyAlignment="1">
      <alignment horizontal="left" vertical="top" wrapText="1"/>
    </xf>
    <xf numFmtId="0" fontId="114" fillId="33" borderId="43" xfId="0" applyFont="1" applyFill="1" applyBorder="1" applyAlignment="1">
      <alignment horizontal="left" vertical="top" wrapText="1"/>
    </xf>
    <xf numFmtId="0" fontId="114" fillId="33" borderId="44" xfId="0" applyFont="1" applyFill="1" applyBorder="1" applyAlignment="1">
      <alignment horizontal="left" vertical="top" wrapText="1"/>
    </xf>
    <xf numFmtId="0" fontId="114" fillId="33" borderId="45" xfId="0" applyFont="1" applyFill="1" applyBorder="1" applyAlignment="1">
      <alignment horizontal="left" vertical="top" wrapText="1"/>
    </xf>
    <xf numFmtId="0" fontId="90" fillId="33" borderId="59" xfId="0" applyFont="1" applyFill="1" applyBorder="1" applyAlignment="1">
      <alignment horizontal="left" vertical="center"/>
    </xf>
    <xf numFmtId="0" fontId="90" fillId="33" borderId="60" xfId="0" applyFont="1" applyFill="1" applyBorder="1" applyAlignment="1">
      <alignment horizontal="left" vertical="center"/>
    </xf>
    <xf numFmtId="49" fontId="113" fillId="33" borderId="50" xfId="0" applyNumberFormat="1" applyFont="1" applyFill="1" applyBorder="1" applyAlignment="1">
      <alignment horizontal="left" vertical="center"/>
    </xf>
    <xf numFmtId="49" fontId="113" fillId="33" borderId="41" xfId="0" applyNumberFormat="1" applyFont="1" applyFill="1" applyBorder="1" applyAlignment="1">
      <alignment horizontal="left" vertical="center"/>
    </xf>
    <xf numFmtId="49" fontId="113" fillId="33" borderId="50" xfId="0" applyNumberFormat="1" applyFont="1" applyFill="1" applyBorder="1" applyAlignment="1">
      <alignment vertical="center"/>
    </xf>
    <xf numFmtId="49" fontId="113" fillId="33" borderId="41" xfId="0" applyNumberFormat="1" applyFont="1" applyFill="1" applyBorder="1" applyAlignment="1">
      <alignment vertical="center"/>
    </xf>
    <xf numFmtId="49" fontId="113" fillId="33" borderId="50" xfId="0" applyNumberFormat="1" applyFont="1" applyFill="1" applyBorder="1" applyAlignment="1">
      <alignment vertical="top" wrapText="1"/>
    </xf>
    <xf numFmtId="49" fontId="113" fillId="33" borderId="41" xfId="0" applyNumberFormat="1" applyFont="1" applyFill="1" applyBorder="1" applyAlignment="1">
      <alignment vertical="top" wrapText="1"/>
    </xf>
    <xf numFmtId="0" fontId="90" fillId="33" borderId="94" xfId="0" applyFont="1" applyFill="1" applyBorder="1" applyAlignment="1">
      <alignment horizontal="left" vertical="center"/>
    </xf>
    <xf numFmtId="0" fontId="90" fillId="33" borderId="40" xfId="0" applyFont="1" applyFill="1" applyBorder="1" applyAlignment="1">
      <alignment horizontal="left" vertical="center"/>
    </xf>
    <xf numFmtId="49" fontId="90" fillId="33" borderId="94" xfId="0" applyNumberFormat="1" applyFont="1" applyFill="1" applyBorder="1" applyAlignment="1">
      <alignment horizontal="left" vertical="center"/>
    </xf>
    <xf numFmtId="49" fontId="90" fillId="33" borderId="40" xfId="0" applyNumberFormat="1" applyFont="1" applyFill="1" applyBorder="1" applyAlignment="1">
      <alignment horizontal="left" vertical="center"/>
    </xf>
    <xf numFmtId="49" fontId="172" fillId="33" borderId="94" xfId="0" applyNumberFormat="1" applyFont="1" applyFill="1" applyBorder="1" applyAlignment="1">
      <alignment horizontal="left" vertical="center"/>
    </xf>
    <xf numFmtId="49" fontId="172" fillId="33" borderId="40" xfId="0" applyNumberFormat="1" applyFont="1" applyFill="1" applyBorder="1" applyAlignment="1">
      <alignment horizontal="left" vertical="center"/>
    </xf>
    <xf numFmtId="0" fontId="172" fillId="33" borderId="59" xfId="0" applyFont="1" applyFill="1" applyBorder="1" applyAlignment="1">
      <alignment horizontal="left" vertical="center"/>
    </xf>
    <xf numFmtId="0" fontId="172" fillId="33" borderId="60" xfId="0" applyFont="1" applyFill="1" applyBorder="1" applyAlignment="1">
      <alignment horizontal="left" vertical="center"/>
    </xf>
    <xf numFmtId="0" fontId="113" fillId="33" borderId="56" xfId="0" applyFont="1" applyFill="1" applyBorder="1" applyAlignment="1">
      <alignment horizontal="center"/>
    </xf>
    <xf numFmtId="0" fontId="113" fillId="33" borderId="57" xfId="0" applyFont="1" applyFill="1" applyBorder="1" applyAlignment="1">
      <alignment horizontal="center"/>
    </xf>
    <xf numFmtId="0" fontId="114" fillId="33" borderId="18" xfId="0" applyFont="1" applyFill="1" applyBorder="1" applyAlignment="1">
      <alignment horizontal="left"/>
    </xf>
    <xf numFmtId="0" fontId="114" fillId="33" borderId="0" xfId="0" applyFont="1" applyFill="1" applyAlignment="1">
      <alignment horizontal="left"/>
    </xf>
    <xf numFmtId="0" fontId="114" fillId="33" borderId="37" xfId="0" applyFont="1" applyFill="1" applyBorder="1" applyAlignment="1">
      <alignment horizontal="left"/>
    </xf>
    <xf numFmtId="0" fontId="129" fillId="33" borderId="50" xfId="0" applyFont="1" applyFill="1" applyBorder="1" applyAlignment="1">
      <alignment horizontal="center" vertical="center"/>
    </xf>
    <xf numFmtId="0" fontId="129" fillId="33" borderId="7" xfId="0" applyFont="1" applyFill="1" applyBorder="1" applyAlignment="1">
      <alignment horizontal="center" vertical="center"/>
    </xf>
    <xf numFmtId="0" fontId="129" fillId="33" borderId="41" xfId="0" applyFont="1" applyFill="1" applyBorder="1" applyAlignment="1">
      <alignment horizontal="center" vertical="center"/>
    </xf>
    <xf numFmtId="0" fontId="114" fillId="33" borderId="50" xfId="0" applyFont="1" applyFill="1" applyBorder="1" applyAlignment="1">
      <alignment horizontal="center" vertical="center"/>
    </xf>
    <xf numFmtId="0" fontId="114" fillId="33" borderId="7" xfId="0" applyFont="1" applyFill="1" applyBorder="1" applyAlignment="1">
      <alignment horizontal="center" vertical="center"/>
    </xf>
    <xf numFmtId="0" fontId="114" fillId="33" borderId="58" xfId="0" applyFont="1" applyFill="1" applyBorder="1" applyAlignment="1">
      <alignment horizontal="center" vertical="center"/>
    </xf>
    <xf numFmtId="0" fontId="128" fillId="35" borderId="55" xfId="0" applyFont="1" applyFill="1" applyBorder="1" applyAlignment="1">
      <alignment horizontal="center" vertical="center"/>
    </xf>
    <xf numFmtId="0" fontId="128" fillId="35" borderId="36" xfId="0" applyFont="1" applyFill="1" applyBorder="1" applyAlignment="1">
      <alignment horizontal="center" vertical="center"/>
    </xf>
    <xf numFmtId="0" fontId="128" fillId="35" borderId="48" xfId="0" applyFont="1" applyFill="1" applyBorder="1" applyAlignment="1">
      <alignment horizontal="center" vertical="center"/>
    </xf>
    <xf numFmtId="0" fontId="128" fillId="35" borderId="43" xfId="0" applyFont="1" applyFill="1" applyBorder="1" applyAlignment="1">
      <alignment horizontal="center" vertical="center"/>
    </xf>
    <xf numFmtId="0" fontId="128" fillId="35" borderId="44" xfId="0" applyFont="1" applyFill="1" applyBorder="1" applyAlignment="1">
      <alignment horizontal="center" vertical="center"/>
    </xf>
    <xf numFmtId="0" fontId="128" fillId="35" borderId="45" xfId="0" applyFont="1" applyFill="1" applyBorder="1" applyAlignment="1">
      <alignment horizontal="center" vertical="center"/>
    </xf>
    <xf numFmtId="0" fontId="169" fillId="0" borderId="88" xfId="1451" applyFont="1" applyBorder="1" applyAlignment="1">
      <alignment horizontal="center" vertical="center"/>
    </xf>
    <xf numFmtId="0" fontId="169" fillId="0" borderId="89" xfId="1451" applyFont="1" applyBorder="1" applyAlignment="1">
      <alignment horizontal="center" vertical="center"/>
    </xf>
    <xf numFmtId="0" fontId="169" fillId="0" borderId="90" xfId="1451" applyFont="1" applyBorder="1" applyAlignment="1">
      <alignment horizontal="center" vertical="center"/>
    </xf>
    <xf numFmtId="0" fontId="169" fillId="0" borderId="91" xfId="1451" applyFont="1" applyBorder="1" applyAlignment="1">
      <alignment horizontal="center" vertical="center"/>
    </xf>
    <xf numFmtId="0" fontId="169" fillId="0" borderId="92" xfId="1451" applyFont="1" applyBorder="1" applyAlignment="1">
      <alignment horizontal="center" vertical="center"/>
    </xf>
    <xf numFmtId="0" fontId="169" fillId="0" borderId="93" xfId="1451" applyFont="1" applyBorder="1" applyAlignment="1">
      <alignment horizontal="center" vertical="center"/>
    </xf>
    <xf numFmtId="0" fontId="120" fillId="33" borderId="88" xfId="1451" applyFont="1" applyFill="1" applyBorder="1" applyAlignment="1">
      <alignment horizontal="center" vertical="center"/>
    </xf>
    <xf numFmtId="0" fontId="120" fillId="33" borderId="89" xfId="1451" applyFont="1" applyFill="1" applyBorder="1" applyAlignment="1">
      <alignment horizontal="center" vertical="center"/>
    </xf>
    <xf numFmtId="0" fontId="120" fillId="33" borderId="90" xfId="1451" applyFont="1" applyFill="1" applyBorder="1" applyAlignment="1">
      <alignment horizontal="center" vertical="center"/>
    </xf>
    <xf numFmtId="0" fontId="120" fillId="33" borderId="91" xfId="1451" applyFont="1" applyFill="1" applyBorder="1" applyAlignment="1">
      <alignment horizontal="center" vertical="center"/>
    </xf>
    <xf numFmtId="0" fontId="120" fillId="33" borderId="92" xfId="1451" applyFont="1" applyFill="1" applyBorder="1" applyAlignment="1">
      <alignment horizontal="center" vertical="center"/>
    </xf>
    <xf numFmtId="0" fontId="120" fillId="33" borderId="93" xfId="1451" applyFont="1" applyFill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center" vertical="center"/>
    </xf>
  </cellXfs>
  <cellStyles count="267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08 2 2 2" xfId="2678" xr:uid="{D1AC51E7-134C-4681-9B76-00FE8BBD5CFB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4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externalLink" Target="externalLinks/externalLink94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theme" Target="theme/theme1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tyles" Target="style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sharedStrings" Target="sharedStrings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111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0.65159751380741149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48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49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20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398928</xdr:colOff>
      <xdr:row>110</xdr:row>
      <xdr:rowOff>68515</xdr:rowOff>
    </xdr:from>
    <xdr:to>
      <xdr:col>12</xdr:col>
      <xdr:colOff>189677</xdr:colOff>
      <xdr:row>113</xdr:row>
      <xdr:rowOff>164433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A5A168-2929-45ED-94FB-1254906C8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184780">
          <a:off x="11730316" y="35541856"/>
          <a:ext cx="1045808" cy="63380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21852</xdr:colOff>
      <xdr:row>35</xdr:row>
      <xdr:rowOff>133655</xdr:rowOff>
    </xdr:from>
    <xdr:to>
      <xdr:col>17</xdr:col>
      <xdr:colOff>30790</xdr:colOff>
      <xdr:row>40</xdr:row>
      <xdr:rowOff>147578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222C79DB-D7F5-4B70-A7B6-5F17780B0415}"/>
            </a:ext>
          </a:extLst>
        </xdr:cNvPr>
        <xdr:cNvSpPr/>
      </xdr:nvSpPr>
      <xdr:spPr>
        <a:xfrm>
          <a:off x="4515920" y="5606200"/>
          <a:ext cx="1532938" cy="81056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CC91808-A8F2-4577-AEC1-84A3CC50C410}"/>
            </a:ext>
          </a:extLst>
        </xdr:cNvPr>
        <xdr:cNvCxnSpPr/>
      </xdr:nvCxnSpPr>
      <xdr:spPr>
        <a:xfrm flipH="1">
          <a:off x="13655744" y="8153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4" name="Group 13">
          <a:extLst>
            <a:ext uri="{FF2B5EF4-FFF2-40B4-BE49-F238E27FC236}">
              <a16:creationId xmlns:a16="http://schemas.microsoft.com/office/drawing/2014/main" id="{63CC77A0-D5FF-4BD3-874D-8ED7B81C9E30}"/>
            </a:ext>
          </a:extLst>
        </xdr:cNvPr>
        <xdr:cNvGrpSpPr/>
      </xdr:nvGrpSpPr>
      <xdr:grpSpPr>
        <a:xfrm>
          <a:off x="9876428" y="838059"/>
          <a:ext cx="78668" cy="76739"/>
          <a:chOff x="9937028" y="802652"/>
          <a:chExt cx="83991" cy="77961"/>
        </a:xfrm>
      </xdr:grpSpPr>
      <xdr:sp macro="" textlink="">
        <xdr:nvSpPr>
          <xdr:cNvPr id="5" name="Oval 1">
            <a:extLst>
              <a:ext uri="{FF2B5EF4-FFF2-40B4-BE49-F238E27FC236}">
                <a16:creationId xmlns:a16="http://schemas.microsoft.com/office/drawing/2014/main" id="{9F56ADFD-612B-8700-EC6C-5A40A452EE1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" name="Straight Connector 3">
            <a:extLst>
              <a:ext uri="{FF2B5EF4-FFF2-40B4-BE49-F238E27FC236}">
                <a16:creationId xmlns:a16="http://schemas.microsoft.com/office/drawing/2014/main" id="{11DE5352-0E39-3F7C-2D13-D675CE16D961}"/>
              </a:ext>
            </a:extLst>
          </xdr:cNvPr>
          <xdr:cNvCxnSpPr>
            <a:stCxn id="26" idx="1"/>
            <a:endCxn id="26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0C70143B-E620-C006-8EF3-C9C8FA78EBD5}"/>
              </a:ext>
            </a:extLst>
          </xdr:cNvPr>
          <xdr:cNvCxnSpPr>
            <a:stCxn id="26" idx="3"/>
            <a:endCxn id="26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F53A99D9-DD83-48D2-90B4-E93D3C36DD41}"/>
            </a:ext>
          </a:extLst>
        </xdr:cNvPr>
        <xdr:cNvSpPr/>
      </xdr:nvSpPr>
      <xdr:spPr>
        <a:xfrm>
          <a:off x="9879304" y="972973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9" name="Group 14">
          <a:extLst>
            <a:ext uri="{FF2B5EF4-FFF2-40B4-BE49-F238E27FC236}">
              <a16:creationId xmlns:a16="http://schemas.microsoft.com/office/drawing/2014/main" id="{4245A148-DCEE-40EB-A2F4-9C3C1E57D1E7}"/>
            </a:ext>
          </a:extLst>
        </xdr:cNvPr>
        <xdr:cNvGrpSpPr/>
      </xdr:nvGrpSpPr>
      <xdr:grpSpPr>
        <a:xfrm>
          <a:off x="10636034" y="840891"/>
          <a:ext cx="80096" cy="76739"/>
          <a:chOff x="9937028" y="802652"/>
          <a:chExt cx="83991" cy="77961"/>
        </a:xfrm>
      </xdr:grpSpPr>
      <xdr:sp macro="" textlink="">
        <xdr:nvSpPr>
          <xdr:cNvPr id="10" name="Oval 9">
            <a:extLst>
              <a:ext uri="{FF2B5EF4-FFF2-40B4-BE49-F238E27FC236}">
                <a16:creationId xmlns:a16="http://schemas.microsoft.com/office/drawing/2014/main" id="{BC906905-B0D2-8030-09AC-CA85176E600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FA322E31-05BA-9AF7-5DB6-242F08451195}"/>
              </a:ext>
            </a:extLst>
          </xdr:cNvPr>
          <xdr:cNvCxnSpPr>
            <a:stCxn id="10" idx="1"/>
            <a:endCxn id="1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AB95FF1C-3353-E121-EBDC-A2F664D82A65}"/>
              </a:ext>
            </a:extLst>
          </xdr:cNvPr>
          <xdr:cNvCxnSpPr>
            <a:stCxn id="10" idx="3"/>
            <a:endCxn id="1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95156287-96BD-485A-8B5E-B1E150BB2284}"/>
            </a:ext>
          </a:extLst>
        </xdr:cNvPr>
        <xdr:cNvSpPr/>
      </xdr:nvSpPr>
      <xdr:spPr>
        <a:xfrm>
          <a:off x="106312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65CF9587-E8AB-49B3-AD0D-A1A98F5476A6}"/>
            </a:ext>
          </a:extLst>
        </xdr:cNvPr>
        <xdr:cNvCxnSpPr/>
      </xdr:nvCxnSpPr>
      <xdr:spPr>
        <a:xfrm>
          <a:off x="9620366" y="1172143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C12FC878-A3B5-46C6-96B6-375DFD4882CE}"/>
            </a:ext>
          </a:extLst>
        </xdr:cNvPr>
        <xdr:cNvCxnSpPr/>
      </xdr:nvCxnSpPr>
      <xdr:spPr>
        <a:xfrm>
          <a:off x="103977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C11A324D-85C5-4681-9C68-C0A670E47BCC}"/>
            </a:ext>
          </a:extLst>
        </xdr:cNvPr>
        <xdr:cNvCxnSpPr/>
      </xdr:nvCxnSpPr>
      <xdr:spPr>
        <a:xfrm>
          <a:off x="9621041" y="1320127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F55DBA31-D967-4176-8B1B-F31C45C03133}"/>
            </a:ext>
          </a:extLst>
        </xdr:cNvPr>
        <xdr:cNvCxnSpPr/>
      </xdr:nvCxnSpPr>
      <xdr:spPr>
        <a:xfrm>
          <a:off x="103984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651E771F-09B1-4EC4-8C3C-F49EE7BF0904}"/>
            </a:ext>
          </a:extLst>
        </xdr:cNvPr>
        <xdr:cNvCxnSpPr/>
      </xdr:nvCxnSpPr>
      <xdr:spPr>
        <a:xfrm>
          <a:off x="9623738" y="147955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22953CF2-0444-4B6F-82F3-9239E2AB790E}"/>
            </a:ext>
          </a:extLst>
        </xdr:cNvPr>
        <xdr:cNvCxnSpPr/>
      </xdr:nvCxnSpPr>
      <xdr:spPr>
        <a:xfrm>
          <a:off x="104011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C2F899EE-0D60-4B1A-AA2C-85B83B76DE71}"/>
            </a:ext>
          </a:extLst>
        </xdr:cNvPr>
        <xdr:cNvCxnSpPr/>
      </xdr:nvCxnSpPr>
      <xdr:spPr>
        <a:xfrm>
          <a:off x="9620366" y="162690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C61EBCAD-516D-4EB8-BED5-683F6BAFF186}"/>
            </a:ext>
          </a:extLst>
        </xdr:cNvPr>
        <xdr:cNvCxnSpPr/>
      </xdr:nvCxnSpPr>
      <xdr:spPr>
        <a:xfrm>
          <a:off x="103977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BAF81B54-F9AC-4C92-B46F-A1C177A5DCFF}"/>
            </a:ext>
          </a:extLst>
        </xdr:cNvPr>
        <xdr:cNvCxnSpPr/>
      </xdr:nvCxnSpPr>
      <xdr:spPr>
        <a:xfrm rot="5400000" flipH="1" flipV="1">
          <a:off x="9856860" y="14531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108DE226-657E-41EF-861D-9CDB245F8402}"/>
            </a:ext>
          </a:extLst>
        </xdr:cNvPr>
        <xdr:cNvCxnSpPr/>
      </xdr:nvCxnSpPr>
      <xdr:spPr>
        <a:xfrm rot="5400000" flipH="1" flipV="1">
          <a:off x="9882160" y="145949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12B29ED8-5445-4575-84E1-258BB2028207}"/>
            </a:ext>
          </a:extLst>
        </xdr:cNvPr>
        <xdr:cNvCxnSpPr/>
      </xdr:nvCxnSpPr>
      <xdr:spPr>
        <a:xfrm rot="5400000" flipH="1" flipV="1">
          <a:off x="99131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D4BAC05D-C7A7-4117-9C12-AC4ABE3F37D4}"/>
            </a:ext>
          </a:extLst>
        </xdr:cNvPr>
        <xdr:cNvCxnSpPr/>
      </xdr:nvCxnSpPr>
      <xdr:spPr>
        <a:xfrm rot="5400000" flipH="1" flipV="1">
          <a:off x="106207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6" name="Straight Connector 50">
          <a:extLst>
            <a:ext uri="{FF2B5EF4-FFF2-40B4-BE49-F238E27FC236}">
              <a16:creationId xmlns:a16="http://schemas.microsoft.com/office/drawing/2014/main" id="{27681CD5-5328-468D-9948-FE34E809A942}"/>
            </a:ext>
          </a:extLst>
        </xdr:cNvPr>
        <xdr:cNvCxnSpPr/>
      </xdr:nvCxnSpPr>
      <xdr:spPr>
        <a:xfrm rot="5400000" flipH="1" flipV="1">
          <a:off x="106479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3FEFC281-D24E-4483-94EC-B1F11DE95C61}"/>
            </a:ext>
          </a:extLst>
        </xdr:cNvPr>
        <xdr:cNvCxnSpPr/>
      </xdr:nvCxnSpPr>
      <xdr:spPr>
        <a:xfrm rot="5400000" flipH="1" flipV="1">
          <a:off x="106742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28" name="Straight Connector 52">
          <a:extLst>
            <a:ext uri="{FF2B5EF4-FFF2-40B4-BE49-F238E27FC236}">
              <a16:creationId xmlns:a16="http://schemas.microsoft.com/office/drawing/2014/main" id="{AA4E257B-6C12-48E8-8888-B2A7C6AE15EF}"/>
            </a:ext>
          </a:extLst>
        </xdr:cNvPr>
        <xdr:cNvCxnSpPr/>
      </xdr:nvCxnSpPr>
      <xdr:spPr>
        <a:xfrm rot="5400000" flipH="1" flipV="1">
          <a:off x="9826818" y="160130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25850F95-803B-4B6A-B300-639EA9887C63}"/>
            </a:ext>
          </a:extLst>
        </xdr:cNvPr>
        <xdr:cNvCxnSpPr/>
      </xdr:nvCxnSpPr>
      <xdr:spPr>
        <a:xfrm rot="5400000" flipH="1" flipV="1">
          <a:off x="9857833" y="1601928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683E37DB-E7DB-4D4F-8265-4DE283173776}"/>
            </a:ext>
          </a:extLst>
        </xdr:cNvPr>
        <xdr:cNvCxnSpPr/>
      </xdr:nvCxnSpPr>
      <xdr:spPr>
        <a:xfrm rot="5400000" flipH="1" flipV="1">
          <a:off x="9883140" y="160827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894CE73C-AEC1-4E10-8424-7817152BC5E4}"/>
            </a:ext>
          </a:extLst>
        </xdr:cNvPr>
        <xdr:cNvCxnSpPr/>
      </xdr:nvCxnSpPr>
      <xdr:spPr>
        <a:xfrm rot="5400000" flipH="1" flipV="1">
          <a:off x="99102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D4914F51-72CB-4C57-89A2-6710BDA1D841}"/>
            </a:ext>
          </a:extLst>
        </xdr:cNvPr>
        <xdr:cNvCxnSpPr/>
      </xdr:nvCxnSpPr>
      <xdr:spPr>
        <a:xfrm rot="5400000" flipH="1" flipV="1">
          <a:off x="105772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D913DA88-128F-4A1F-A248-715E2B281B66}"/>
            </a:ext>
          </a:extLst>
        </xdr:cNvPr>
        <xdr:cNvCxnSpPr/>
      </xdr:nvCxnSpPr>
      <xdr:spPr>
        <a:xfrm rot="5400000" flipH="1" flipV="1">
          <a:off x="106082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1AFA34A4-0D75-461C-BD16-489BFD0C66C5}"/>
            </a:ext>
          </a:extLst>
        </xdr:cNvPr>
        <xdr:cNvCxnSpPr/>
      </xdr:nvCxnSpPr>
      <xdr:spPr>
        <a:xfrm rot="5400000" flipH="1" flipV="1">
          <a:off x="106345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038A6719-2EB1-4DFF-9DD4-204B19615A46}"/>
            </a:ext>
          </a:extLst>
        </xdr:cNvPr>
        <xdr:cNvCxnSpPr/>
      </xdr:nvCxnSpPr>
      <xdr:spPr>
        <a:xfrm rot="5400000" flipH="1" flipV="1">
          <a:off x="106673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70B4D622-3F62-4624-96B4-917960868CCE}"/>
            </a:ext>
          </a:extLst>
        </xdr:cNvPr>
        <xdr:cNvSpPr/>
      </xdr:nvSpPr>
      <xdr:spPr>
        <a:xfrm>
          <a:off x="9875266" y="1749045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204DCE25-C96F-428C-B9BC-3021A94EB153}"/>
            </a:ext>
          </a:extLst>
        </xdr:cNvPr>
        <xdr:cNvSpPr/>
      </xdr:nvSpPr>
      <xdr:spPr>
        <a:xfrm>
          <a:off x="106483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8" name="Group 73">
          <a:extLst>
            <a:ext uri="{FF2B5EF4-FFF2-40B4-BE49-F238E27FC236}">
              <a16:creationId xmlns:a16="http://schemas.microsoft.com/office/drawing/2014/main" id="{AB04DFCC-0200-426C-879C-5E0421583B2D}"/>
            </a:ext>
          </a:extLst>
        </xdr:cNvPr>
        <xdr:cNvGrpSpPr/>
      </xdr:nvGrpSpPr>
      <xdr:grpSpPr>
        <a:xfrm>
          <a:off x="9798511" y="2080799"/>
          <a:ext cx="197006" cy="122930"/>
          <a:chOff x="9837964" y="2071683"/>
          <a:chExt cx="197304" cy="122468"/>
        </a:xfrm>
      </xdr:grpSpPr>
      <xdr:sp macro="" textlink="">
        <xdr:nvSpPr>
          <xdr:cNvPr id="39" name="TextBox 38">
            <a:extLst>
              <a:ext uri="{FF2B5EF4-FFF2-40B4-BE49-F238E27FC236}">
                <a16:creationId xmlns:a16="http://schemas.microsoft.com/office/drawing/2014/main" id="{5663701B-FEB7-FF78-4A7A-656E2D909C88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0" name="Straight Connector 39">
            <a:extLst>
              <a:ext uri="{FF2B5EF4-FFF2-40B4-BE49-F238E27FC236}">
                <a16:creationId xmlns:a16="http://schemas.microsoft.com/office/drawing/2014/main" id="{CF14A2C0-2C5C-64E0-C9EC-9DB27DA9B905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1" name="Group 74">
          <a:extLst>
            <a:ext uri="{FF2B5EF4-FFF2-40B4-BE49-F238E27FC236}">
              <a16:creationId xmlns:a16="http://schemas.microsoft.com/office/drawing/2014/main" id="{98ABF09B-9778-4C69-AE38-FFD0BEBF1D04}"/>
            </a:ext>
          </a:extLst>
        </xdr:cNvPr>
        <xdr:cNvGrpSpPr/>
      </xdr:nvGrpSpPr>
      <xdr:grpSpPr>
        <a:xfrm>
          <a:off x="10591135" y="2081382"/>
          <a:ext cx="198434" cy="122929"/>
          <a:chOff x="9837964" y="2071684"/>
          <a:chExt cx="197304" cy="122467"/>
        </a:xfrm>
      </xdr:grpSpPr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4A0D6769-70AF-760A-E5F4-ADE9B44DFA3F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F80F29F3-84D5-96A3-7316-423CC44B650E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4" name="Group 89">
          <a:extLst>
            <a:ext uri="{FF2B5EF4-FFF2-40B4-BE49-F238E27FC236}">
              <a16:creationId xmlns:a16="http://schemas.microsoft.com/office/drawing/2014/main" id="{A495E0FD-9B02-47AA-ADB5-E5BE904BD947}"/>
            </a:ext>
          </a:extLst>
        </xdr:cNvPr>
        <xdr:cNvGrpSpPr/>
      </xdr:nvGrpSpPr>
      <xdr:grpSpPr>
        <a:xfrm>
          <a:off x="9733581" y="2251595"/>
          <a:ext cx="321021" cy="83914"/>
          <a:chOff x="9821479" y="2199918"/>
          <a:chExt cx="316053" cy="85250"/>
        </a:xfrm>
      </xdr:grpSpPr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8F39795C-6583-7EB5-12FC-F0666FBAF6EA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Straight Connector 79">
            <a:extLst>
              <a:ext uri="{FF2B5EF4-FFF2-40B4-BE49-F238E27FC236}">
                <a16:creationId xmlns:a16="http://schemas.microsoft.com/office/drawing/2014/main" id="{FD05BB64-1CD3-00E0-73B2-94D6F31CDECD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80">
            <a:extLst>
              <a:ext uri="{FF2B5EF4-FFF2-40B4-BE49-F238E27FC236}">
                <a16:creationId xmlns:a16="http://schemas.microsoft.com/office/drawing/2014/main" id="{D85F60D4-F35D-B086-B12C-0E25EF4A831C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8">
            <a:extLst>
              <a:ext uri="{FF2B5EF4-FFF2-40B4-BE49-F238E27FC236}">
                <a16:creationId xmlns:a16="http://schemas.microsoft.com/office/drawing/2014/main" id="{66EAF715-54FC-F86D-3C4D-565D1137DB46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49" name="Group 90">
          <a:extLst>
            <a:ext uri="{FF2B5EF4-FFF2-40B4-BE49-F238E27FC236}">
              <a16:creationId xmlns:a16="http://schemas.microsoft.com/office/drawing/2014/main" id="{78ED48B0-5AE9-4934-9639-92C0E661CD29}"/>
            </a:ext>
          </a:extLst>
        </xdr:cNvPr>
        <xdr:cNvGrpSpPr/>
      </xdr:nvGrpSpPr>
      <xdr:grpSpPr>
        <a:xfrm>
          <a:off x="10521887" y="2251595"/>
          <a:ext cx="322449" cy="83914"/>
          <a:chOff x="9821479" y="2199918"/>
          <a:chExt cx="316053" cy="85250"/>
        </a:xfrm>
      </xdr:grpSpPr>
      <xdr:cxnSp macro="">
        <xdr:nvCxnSpPr>
          <xdr:cNvPr id="50" name="Straight Connector 49">
            <a:extLst>
              <a:ext uri="{FF2B5EF4-FFF2-40B4-BE49-F238E27FC236}">
                <a16:creationId xmlns:a16="http://schemas.microsoft.com/office/drawing/2014/main" id="{0691429B-71E1-4772-8537-349948F4704C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BC5E5157-EBB1-71EB-645C-2576B71EF696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CCBF4458-95A8-A3A7-3C51-55D4C6FE60E9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2703BFDA-65FC-E0E8-0C69-1CEB485F62CE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2437723C-7CF2-4DCC-A958-8046806D3A07}"/>
            </a:ext>
          </a:extLst>
        </xdr:cNvPr>
        <xdr:cNvCxnSpPr/>
      </xdr:nvCxnSpPr>
      <xdr:spPr>
        <a:xfrm>
          <a:off x="9632523" y="240528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45AD1DCE-B4CD-40FE-9EC6-02DB9D016614}"/>
            </a:ext>
          </a:extLst>
        </xdr:cNvPr>
        <xdr:cNvCxnSpPr/>
      </xdr:nvCxnSpPr>
      <xdr:spPr>
        <a:xfrm>
          <a:off x="104099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DCAEC233-2585-4431-8EDD-0E00CD180A80}"/>
            </a:ext>
          </a:extLst>
        </xdr:cNvPr>
        <xdr:cNvCxnSpPr/>
      </xdr:nvCxnSpPr>
      <xdr:spPr>
        <a:xfrm flipV="1">
          <a:off x="9813349" y="252106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7F005219-FDED-446A-B917-59B37CCD890C}"/>
            </a:ext>
          </a:extLst>
        </xdr:cNvPr>
        <xdr:cNvCxnSpPr/>
      </xdr:nvCxnSpPr>
      <xdr:spPr>
        <a:xfrm flipV="1">
          <a:off x="105503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8" name="Group 155">
          <a:extLst>
            <a:ext uri="{FF2B5EF4-FFF2-40B4-BE49-F238E27FC236}">
              <a16:creationId xmlns:a16="http://schemas.microsoft.com/office/drawing/2014/main" id="{D85837F8-B251-41C6-8CED-70939C0CDA8F}"/>
            </a:ext>
          </a:extLst>
        </xdr:cNvPr>
        <xdr:cNvGrpSpPr/>
      </xdr:nvGrpSpPr>
      <xdr:grpSpPr>
        <a:xfrm>
          <a:off x="9852130" y="1938748"/>
          <a:ext cx="117265" cy="62050"/>
          <a:chOff x="9933529" y="1884698"/>
          <a:chExt cx="120949" cy="61119"/>
        </a:xfrm>
      </xdr:grpSpPr>
      <xdr:sp macro="" textlink="">
        <xdr:nvSpPr>
          <xdr:cNvPr id="59" name="Isosceles Triangle 58">
            <a:extLst>
              <a:ext uri="{FF2B5EF4-FFF2-40B4-BE49-F238E27FC236}">
                <a16:creationId xmlns:a16="http://schemas.microsoft.com/office/drawing/2014/main" id="{D813B677-1F80-EE04-3906-55CB324EA4A2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4E5CDB3D-DBCD-9045-F11A-584F1B186B0C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1CABC4B6-B767-9AB9-3A53-A8C26EF8AA9F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2" name="Group 134">
          <a:extLst>
            <a:ext uri="{FF2B5EF4-FFF2-40B4-BE49-F238E27FC236}">
              <a16:creationId xmlns:a16="http://schemas.microsoft.com/office/drawing/2014/main" id="{0135C099-D4CA-476B-BA6C-BE5444C1E2F9}"/>
            </a:ext>
          </a:extLst>
        </xdr:cNvPr>
        <xdr:cNvGrpSpPr/>
      </xdr:nvGrpSpPr>
      <xdr:grpSpPr>
        <a:xfrm>
          <a:off x="10625910" y="1939454"/>
          <a:ext cx="118693" cy="62050"/>
          <a:chOff x="10690412" y="1882091"/>
          <a:chExt cx="120949" cy="61416"/>
        </a:xfrm>
      </xdr:grpSpPr>
      <xdr:sp macro="" textlink="">
        <xdr:nvSpPr>
          <xdr:cNvPr id="63" name="Isosceles Triangle 62">
            <a:extLst>
              <a:ext uri="{FF2B5EF4-FFF2-40B4-BE49-F238E27FC236}">
                <a16:creationId xmlns:a16="http://schemas.microsoft.com/office/drawing/2014/main" id="{E335578E-320C-F9D5-1671-DC1ACCA086D7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397FFA4E-9023-98D8-CB96-B25E368FE96F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F516F599-689F-6819-EE57-4518C6D188D2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6" name="Picture 65">
          <a:extLst>
            <a:ext uri="{FF2B5EF4-FFF2-40B4-BE49-F238E27FC236}">
              <a16:creationId xmlns:a16="http://schemas.microsoft.com/office/drawing/2014/main" id="{82A79078-4641-40E6-AA33-8BBC3DB279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14" y="312494"/>
          <a:ext cx="827374" cy="821418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id="{4C5AE799-08D8-4CC1-BFC2-FB8E2C67074E}"/>
            </a:ext>
          </a:extLst>
        </xdr:cNvPr>
        <xdr:cNvCxnSpPr/>
      </xdr:nvCxnSpPr>
      <xdr:spPr>
        <a:xfrm>
          <a:off x="12462802" y="2023681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DC3F1A10-1591-43F5-82C5-DFAFCD8DB3DB}"/>
            </a:ext>
          </a:extLst>
        </xdr:cNvPr>
        <xdr:cNvCxnSpPr/>
      </xdr:nvCxnSpPr>
      <xdr:spPr>
        <a:xfrm>
          <a:off x="1168225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8CBE0047-4BA2-44E0-8AFF-C47AF8053AFA}"/>
            </a:ext>
          </a:extLst>
        </xdr:cNvPr>
        <xdr:cNvCxnSpPr/>
      </xdr:nvCxnSpPr>
      <xdr:spPr>
        <a:xfrm>
          <a:off x="1168494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9E5655E2-F488-42FA-A52D-2DD53B0F9880}"/>
            </a:ext>
          </a:extLst>
        </xdr:cNvPr>
        <xdr:cNvCxnSpPr/>
      </xdr:nvCxnSpPr>
      <xdr:spPr>
        <a:xfrm>
          <a:off x="1246617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2DE62BF3-21FE-490C-A11D-959561A744A8}"/>
            </a:ext>
          </a:extLst>
        </xdr:cNvPr>
        <xdr:cNvCxnSpPr/>
      </xdr:nvCxnSpPr>
      <xdr:spPr>
        <a:xfrm>
          <a:off x="11681576" y="247463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8865603A-0BEE-4E42-8106-F06932C6364B}"/>
            </a:ext>
          </a:extLst>
        </xdr:cNvPr>
        <xdr:cNvCxnSpPr>
          <a:cxnSpLocks/>
        </xdr:cNvCxnSpPr>
      </xdr:nvCxnSpPr>
      <xdr:spPr>
        <a:xfrm flipH="1" flipV="1">
          <a:off x="1282636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3" name="Group 72">
          <a:extLst>
            <a:ext uri="{FF2B5EF4-FFF2-40B4-BE49-F238E27FC236}">
              <a16:creationId xmlns:a16="http://schemas.microsoft.com/office/drawing/2014/main" id="{7F2BD4A7-2DDF-496F-B90E-6A92E70A9905}"/>
            </a:ext>
          </a:extLst>
        </xdr:cNvPr>
        <xdr:cNvGrpSpPr/>
      </xdr:nvGrpSpPr>
      <xdr:grpSpPr>
        <a:xfrm rot="21429191">
          <a:off x="7136184" y="9106949"/>
          <a:ext cx="83822" cy="85252"/>
          <a:chOff x="12175074" y="2285812"/>
          <a:chExt cx="107252" cy="65186"/>
        </a:xfrm>
      </xdr:grpSpPr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DA71CAC5-FA7F-62C1-A48A-C4B5E8E27083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A2A7B84C-1094-F67D-95AB-DFB81E66CD8D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BC051487-FC68-E0F4-423B-65C46976FD31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D0AF5928-284C-416C-AC11-FB50BD8039FF}"/>
            </a:ext>
          </a:extLst>
        </xdr:cNvPr>
        <xdr:cNvGrpSpPr/>
      </xdr:nvGrpSpPr>
      <xdr:grpSpPr>
        <a:xfrm>
          <a:off x="12692304" y="2339000"/>
          <a:ext cx="107252" cy="67569"/>
          <a:chOff x="13029613" y="2289822"/>
          <a:chExt cx="107252" cy="65187"/>
        </a:xfrm>
      </xdr:grpSpPr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7BE5881F-4257-4A60-211E-20DCA53AF4F5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50">
            <a:extLst>
              <a:ext uri="{FF2B5EF4-FFF2-40B4-BE49-F238E27FC236}">
                <a16:creationId xmlns:a16="http://schemas.microsoft.com/office/drawing/2014/main" id="{D0E1D8B1-6A14-7DA9-DF50-35986C43BE90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79">
            <a:extLst>
              <a:ext uri="{FF2B5EF4-FFF2-40B4-BE49-F238E27FC236}">
                <a16:creationId xmlns:a16="http://schemas.microsoft.com/office/drawing/2014/main" id="{7E979EDB-BFFF-5621-BC55-85A54BE61B68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1" name="Grup 234">
          <a:extLst>
            <a:ext uri="{FF2B5EF4-FFF2-40B4-BE49-F238E27FC236}">
              <a16:creationId xmlns:a16="http://schemas.microsoft.com/office/drawing/2014/main" id="{D500360F-3F62-40F8-932D-44ED2408DD9A}"/>
            </a:ext>
          </a:extLst>
        </xdr:cNvPr>
        <xdr:cNvGrpSpPr/>
      </xdr:nvGrpSpPr>
      <xdr:grpSpPr>
        <a:xfrm>
          <a:off x="12648776" y="2486348"/>
          <a:ext cx="139135" cy="69139"/>
          <a:chOff x="13302191" y="2320613"/>
          <a:chExt cx="139135" cy="57233"/>
        </a:xfrm>
      </xdr:grpSpPr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F367674F-B050-5B2E-132C-EE8F6BBA7B42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0C54604F-89D5-CC05-532B-DF837128A491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04139BAB-79AD-DC82-5DBF-ABC9DB686C21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FF5CE8D3-D3D4-BD3A-5EA5-4D0EFBADA628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BD23F2D9-3F6B-4158-92D6-A0BCCFA07A56}"/>
            </a:ext>
          </a:extLst>
        </xdr:cNvPr>
        <xdr:cNvSpPr/>
      </xdr:nvSpPr>
      <xdr:spPr>
        <a:xfrm>
          <a:off x="1192885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E3843152-E59B-4835-94A1-F3EBA1795A22}"/>
            </a:ext>
          </a:extLst>
        </xdr:cNvPr>
        <xdr:cNvSpPr/>
      </xdr:nvSpPr>
      <xdr:spPr>
        <a:xfrm>
          <a:off x="1270579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8" name="Group 73">
          <a:extLst>
            <a:ext uri="{FF2B5EF4-FFF2-40B4-BE49-F238E27FC236}">
              <a16:creationId xmlns:a16="http://schemas.microsoft.com/office/drawing/2014/main" id="{E6335C75-AEB1-4A49-9656-6A08756B66E0}"/>
            </a:ext>
          </a:extLst>
        </xdr:cNvPr>
        <xdr:cNvGrpSpPr/>
      </xdr:nvGrpSpPr>
      <xdr:grpSpPr>
        <a:xfrm>
          <a:off x="11854483" y="2938525"/>
          <a:ext cx="206054" cy="122931"/>
          <a:chOff x="9837964" y="2071683"/>
          <a:chExt cx="197304" cy="122468"/>
        </a:xfrm>
      </xdr:grpSpPr>
      <xdr:sp macro="" textlink="">
        <xdr:nvSpPr>
          <xdr:cNvPr id="89" name="TextBox 88">
            <a:extLst>
              <a:ext uri="{FF2B5EF4-FFF2-40B4-BE49-F238E27FC236}">
                <a16:creationId xmlns:a16="http://schemas.microsoft.com/office/drawing/2014/main" id="{CA78CAEC-1162-0E3F-FFC5-5948590F60AA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0" name="Straight Connector 89">
            <a:extLst>
              <a:ext uri="{FF2B5EF4-FFF2-40B4-BE49-F238E27FC236}">
                <a16:creationId xmlns:a16="http://schemas.microsoft.com/office/drawing/2014/main" id="{040B6CFE-024C-E666-8427-235B995F90F4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1" name="Group 74">
          <a:extLst>
            <a:ext uri="{FF2B5EF4-FFF2-40B4-BE49-F238E27FC236}">
              <a16:creationId xmlns:a16="http://schemas.microsoft.com/office/drawing/2014/main" id="{B8CED171-FCFD-4BBE-9224-2548610B81E7}"/>
            </a:ext>
          </a:extLst>
        </xdr:cNvPr>
        <xdr:cNvGrpSpPr/>
      </xdr:nvGrpSpPr>
      <xdr:grpSpPr>
        <a:xfrm>
          <a:off x="12648535" y="2939108"/>
          <a:ext cx="206054" cy="122930"/>
          <a:chOff x="9837964" y="2071684"/>
          <a:chExt cx="197304" cy="122467"/>
        </a:xfrm>
      </xdr:grpSpPr>
      <xdr:sp macro="" textlink="">
        <xdr:nvSpPr>
          <xdr:cNvPr id="92" name="TextBox 91">
            <a:extLst>
              <a:ext uri="{FF2B5EF4-FFF2-40B4-BE49-F238E27FC236}">
                <a16:creationId xmlns:a16="http://schemas.microsoft.com/office/drawing/2014/main" id="{F17279AB-6F65-6370-44C7-58F98BA81DDB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0EC04FA3-155F-F03E-71AD-23A52ACFBD30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4" name="Group 89">
          <a:extLst>
            <a:ext uri="{FF2B5EF4-FFF2-40B4-BE49-F238E27FC236}">
              <a16:creationId xmlns:a16="http://schemas.microsoft.com/office/drawing/2014/main" id="{31B92FB0-8242-47D5-AE4B-2AB3C6FC4F7F}"/>
            </a:ext>
          </a:extLst>
        </xdr:cNvPr>
        <xdr:cNvGrpSpPr/>
      </xdr:nvGrpSpPr>
      <xdr:grpSpPr>
        <a:xfrm>
          <a:off x="11797173" y="3109322"/>
          <a:ext cx="322449" cy="86295"/>
          <a:chOff x="9821479" y="2199918"/>
          <a:chExt cx="316053" cy="85250"/>
        </a:xfrm>
      </xdr:grpSpPr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4DE8DE4B-56DB-2E54-8150-9F2FCB239341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Straight Connector 79">
            <a:extLst>
              <a:ext uri="{FF2B5EF4-FFF2-40B4-BE49-F238E27FC236}">
                <a16:creationId xmlns:a16="http://schemas.microsoft.com/office/drawing/2014/main" id="{D5869DC5-5DD7-4670-B617-FFFB6AF33D27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80">
            <a:extLst>
              <a:ext uri="{FF2B5EF4-FFF2-40B4-BE49-F238E27FC236}">
                <a16:creationId xmlns:a16="http://schemas.microsoft.com/office/drawing/2014/main" id="{27AB2957-3845-78FC-0B91-7B59F4893AAA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88">
            <a:extLst>
              <a:ext uri="{FF2B5EF4-FFF2-40B4-BE49-F238E27FC236}">
                <a16:creationId xmlns:a16="http://schemas.microsoft.com/office/drawing/2014/main" id="{433B8D99-51ED-1132-ACEE-8C14C8E39675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99" name="Group 90">
          <a:extLst>
            <a:ext uri="{FF2B5EF4-FFF2-40B4-BE49-F238E27FC236}">
              <a16:creationId xmlns:a16="http://schemas.microsoft.com/office/drawing/2014/main" id="{08E82B8B-7FFD-4B92-9D34-FC3E6BB8741E}"/>
            </a:ext>
          </a:extLst>
        </xdr:cNvPr>
        <xdr:cNvGrpSpPr/>
      </xdr:nvGrpSpPr>
      <xdr:grpSpPr>
        <a:xfrm>
          <a:off x="12586907" y="3109322"/>
          <a:ext cx="322449" cy="86295"/>
          <a:chOff x="9821479" y="2199918"/>
          <a:chExt cx="316053" cy="85250"/>
        </a:xfrm>
      </xdr:grpSpPr>
      <xdr:cxnSp macro="">
        <xdr:nvCxnSpPr>
          <xdr:cNvPr id="100" name="Straight Connector 99">
            <a:extLst>
              <a:ext uri="{FF2B5EF4-FFF2-40B4-BE49-F238E27FC236}">
                <a16:creationId xmlns:a16="http://schemas.microsoft.com/office/drawing/2014/main" id="{65BC084C-D523-3A38-C0E9-A86D606FA66F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7D798F57-8E37-2CC0-F00C-A8F2C810C9FA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3C2C5EF7-357E-803C-79F4-D3C862DB9657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AB781EB9-4DA5-FE08-1DD5-7FA8B5371EEB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E29E53CC-7BB8-4C6F-8542-FD96B4DB9395}"/>
            </a:ext>
          </a:extLst>
        </xdr:cNvPr>
        <xdr:cNvCxnSpPr/>
      </xdr:nvCxnSpPr>
      <xdr:spPr>
        <a:xfrm>
          <a:off x="1169373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3FFEB9BE-CE61-4194-AC6D-E865A8B462D6}"/>
            </a:ext>
          </a:extLst>
        </xdr:cNvPr>
        <xdr:cNvCxnSpPr/>
      </xdr:nvCxnSpPr>
      <xdr:spPr>
        <a:xfrm>
          <a:off x="1247495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2241221F-942E-4719-9016-FE867C3445F0}"/>
            </a:ext>
          </a:extLst>
        </xdr:cNvPr>
        <xdr:cNvCxnSpPr/>
      </xdr:nvCxnSpPr>
      <xdr:spPr>
        <a:xfrm flipV="1">
          <a:off x="1186693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EF36B94D-6871-498E-99BF-8FB2DAE9940A}"/>
            </a:ext>
          </a:extLst>
        </xdr:cNvPr>
        <xdr:cNvCxnSpPr/>
      </xdr:nvCxnSpPr>
      <xdr:spPr>
        <a:xfrm flipV="1">
          <a:off x="1260770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8" name="Group 155">
          <a:extLst>
            <a:ext uri="{FF2B5EF4-FFF2-40B4-BE49-F238E27FC236}">
              <a16:creationId xmlns:a16="http://schemas.microsoft.com/office/drawing/2014/main" id="{01888EF0-C373-4461-B3E1-3A5F5B955B3F}"/>
            </a:ext>
          </a:extLst>
        </xdr:cNvPr>
        <xdr:cNvGrpSpPr/>
      </xdr:nvGrpSpPr>
      <xdr:grpSpPr>
        <a:xfrm>
          <a:off x="11908102" y="2800760"/>
          <a:ext cx="126313" cy="64431"/>
          <a:chOff x="9933529" y="1884698"/>
          <a:chExt cx="120949" cy="61119"/>
        </a:xfrm>
      </xdr:grpSpPr>
      <xdr:sp macro="" textlink="">
        <xdr:nvSpPr>
          <xdr:cNvPr id="109" name="Isosceles Triangle 108">
            <a:extLst>
              <a:ext uri="{FF2B5EF4-FFF2-40B4-BE49-F238E27FC236}">
                <a16:creationId xmlns:a16="http://schemas.microsoft.com/office/drawing/2014/main" id="{2CEBA2E5-F1C1-2D15-6D38-C35BA4D3C7F7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0" name="Isosceles Triangle 109">
            <a:extLst>
              <a:ext uri="{FF2B5EF4-FFF2-40B4-BE49-F238E27FC236}">
                <a16:creationId xmlns:a16="http://schemas.microsoft.com/office/drawing/2014/main" id="{9E467CCF-02D1-478F-FFC5-6912BA75129F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2FC20E57-A6C0-759C-2D09-8F537222E091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2" name="Group 134">
          <a:extLst>
            <a:ext uri="{FF2B5EF4-FFF2-40B4-BE49-F238E27FC236}">
              <a16:creationId xmlns:a16="http://schemas.microsoft.com/office/drawing/2014/main" id="{DAAD4D56-9EED-4246-9780-55009913FB1A}"/>
            </a:ext>
          </a:extLst>
        </xdr:cNvPr>
        <xdr:cNvGrpSpPr/>
      </xdr:nvGrpSpPr>
      <xdr:grpSpPr>
        <a:xfrm>
          <a:off x="12683310" y="2801466"/>
          <a:ext cx="126313" cy="64431"/>
          <a:chOff x="10690412" y="1882091"/>
          <a:chExt cx="120949" cy="61416"/>
        </a:xfrm>
      </xdr:grpSpPr>
      <xdr:sp macro="" textlink="">
        <xdr:nvSpPr>
          <xdr:cNvPr id="113" name="Isosceles Triangle 112">
            <a:extLst>
              <a:ext uri="{FF2B5EF4-FFF2-40B4-BE49-F238E27FC236}">
                <a16:creationId xmlns:a16="http://schemas.microsoft.com/office/drawing/2014/main" id="{86DC222F-9228-FC88-9F13-ED03AD5E4541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2888591A-A898-46B1-8E1A-C44DE5A75BC3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5" name="Isosceles Triangle 114">
            <a:extLst>
              <a:ext uri="{FF2B5EF4-FFF2-40B4-BE49-F238E27FC236}">
                <a16:creationId xmlns:a16="http://schemas.microsoft.com/office/drawing/2014/main" id="{84F88991-6585-A2B8-258D-1EA5BCAAFB02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8</xdr:col>
      <xdr:colOff>234554</xdr:colOff>
      <xdr:row>7</xdr:row>
      <xdr:rowOff>95249</xdr:rowOff>
    </xdr:from>
    <xdr:to>
      <xdr:col>8</xdr:col>
      <xdr:colOff>371475</xdr:colOff>
      <xdr:row>40</xdr:row>
      <xdr:rowOff>108338</xdr:rowOff>
    </xdr:to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0D5CE587-128C-44B7-8185-A827D1E104E1}"/>
            </a:ext>
          </a:extLst>
        </xdr:cNvPr>
        <xdr:cNvSpPr txBox="1"/>
      </xdr:nvSpPr>
      <xdr:spPr>
        <a:xfrm rot="16200000">
          <a:off x="363145" y="3643308"/>
          <a:ext cx="5061339" cy="136921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EFCF5DA2-2D00-43D8-B4E5-934613EAD362}"/>
            </a:ext>
          </a:extLst>
        </xdr:cNvPr>
        <xdr:cNvSpPr txBox="1"/>
      </xdr:nvSpPr>
      <xdr:spPr>
        <a:xfrm>
          <a:off x="2230416" y="10350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B4BC13F8-2267-490D-985E-5E0DB239AC51}"/>
            </a:ext>
          </a:extLst>
        </xdr:cNvPr>
        <xdr:cNvSpPr txBox="1"/>
      </xdr:nvSpPr>
      <xdr:spPr>
        <a:xfrm>
          <a:off x="426252" y="9065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9A577D95-382A-4338-8BFD-415F1CEE6DC1}"/>
            </a:ext>
          </a:extLst>
        </xdr:cNvPr>
        <xdr:cNvSpPr txBox="1"/>
      </xdr:nvSpPr>
      <xdr:spPr>
        <a:xfrm>
          <a:off x="2417039" y="9908547"/>
          <a:ext cx="17506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EC98F255-2267-4869-A017-AC8347EDDE07}"/>
            </a:ext>
          </a:extLst>
        </xdr:cNvPr>
        <xdr:cNvSpPr txBox="1"/>
      </xdr:nvSpPr>
      <xdr:spPr>
        <a:xfrm>
          <a:off x="6462356" y="10117053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 macro="" textlink="">
      <xdr:nvSpPr>
        <xdr:cNvPr id="123" name="TextBox 162">
          <a:extLst>
            <a:ext uri="{FF2B5EF4-FFF2-40B4-BE49-F238E27FC236}">
              <a16:creationId xmlns:a16="http://schemas.microsoft.com/office/drawing/2014/main" id="{B60F551B-B203-4C63-9DB8-2C1E323D7451}"/>
            </a:ext>
          </a:extLst>
        </xdr:cNvPr>
        <xdr:cNvSpPr txBox="1"/>
      </xdr:nvSpPr>
      <xdr:spPr>
        <a:xfrm>
          <a:off x="685800" y="10820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 macro="" textlink="">
      <xdr:nvSpPr>
        <xdr:cNvPr id="124" name="TextBox 145">
          <a:extLst>
            <a:ext uri="{FF2B5EF4-FFF2-40B4-BE49-F238E27FC236}">
              <a16:creationId xmlns:a16="http://schemas.microsoft.com/office/drawing/2014/main" id="{4694A58A-69D2-4684-A6B6-F66A3A4A79A1}"/>
            </a:ext>
          </a:extLst>
        </xdr:cNvPr>
        <xdr:cNvSpPr txBox="1"/>
      </xdr:nvSpPr>
      <xdr:spPr>
        <a:xfrm>
          <a:off x="1693545" y="10854690"/>
          <a:ext cx="69385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8</xdr:col>
      <xdr:colOff>74295</xdr:colOff>
      <xdr:row>70</xdr:row>
      <xdr:rowOff>17145</xdr:rowOff>
    </xdr:from>
    <xdr:to>
      <xdr:col>10</xdr:col>
      <xdr:colOff>277372</xdr:colOff>
      <xdr:row>74</xdr:row>
      <xdr:rowOff>97177</xdr:rowOff>
    </xdr:to>
    <xdr:sp macro="" textlink="">
      <xdr:nvSpPr>
        <xdr:cNvPr id="125" name="TextBox 157">
          <a:extLst>
            <a:ext uri="{FF2B5EF4-FFF2-40B4-BE49-F238E27FC236}">
              <a16:creationId xmlns:a16="http://schemas.microsoft.com/office/drawing/2014/main" id="{E312FDB0-D3CA-4E6D-BDBD-99C58814DA22}"/>
            </a:ext>
          </a:extLst>
        </xdr:cNvPr>
        <xdr:cNvSpPr txBox="1"/>
      </xdr:nvSpPr>
      <xdr:spPr>
        <a:xfrm>
          <a:off x="2665095" y="10837545"/>
          <a:ext cx="965077" cy="6896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</a:p>
      </xdr:txBody>
    </xdr:sp>
    <xdr:clientData/>
  </xdr:twoCellAnchor>
  <xdr:twoCellAnchor>
    <xdr:from>
      <xdr:col>7</xdr:col>
      <xdr:colOff>345875</xdr:colOff>
      <xdr:row>36</xdr:row>
      <xdr:rowOff>127101</xdr:rowOff>
    </xdr:from>
    <xdr:to>
      <xdr:col>8</xdr:col>
      <xdr:colOff>111882</xdr:colOff>
      <xdr:row>37</xdr:row>
      <xdr:rowOff>107216</xdr:rowOff>
    </xdr:to>
    <xdr:grpSp>
      <xdr:nvGrpSpPr>
        <xdr:cNvPr id="126" name="Group 13">
          <a:extLst>
            <a:ext uri="{FF2B5EF4-FFF2-40B4-BE49-F238E27FC236}">
              <a16:creationId xmlns:a16="http://schemas.microsoft.com/office/drawing/2014/main" id="{6455D674-9BA8-44A7-8F3D-0E4FFF424AF6}"/>
            </a:ext>
          </a:extLst>
        </xdr:cNvPr>
        <xdr:cNvGrpSpPr/>
      </xdr:nvGrpSpPr>
      <xdr:grpSpPr>
        <a:xfrm>
          <a:off x="2560438" y="5723039"/>
          <a:ext cx="147007" cy="146802"/>
          <a:chOff x="9937028" y="802652"/>
          <a:chExt cx="83991" cy="77961"/>
        </a:xfrm>
      </xdr:grpSpPr>
      <xdr:sp macro="" textlink="">
        <xdr:nvSpPr>
          <xdr:cNvPr id="127" name="Oval 1">
            <a:extLst>
              <a:ext uri="{FF2B5EF4-FFF2-40B4-BE49-F238E27FC236}">
                <a16:creationId xmlns:a16="http://schemas.microsoft.com/office/drawing/2014/main" id="{D695FED2-C513-A9AB-4A3B-1336B07E454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8" name="Straight Connector 3">
            <a:extLst>
              <a:ext uri="{FF2B5EF4-FFF2-40B4-BE49-F238E27FC236}">
                <a16:creationId xmlns:a16="http://schemas.microsoft.com/office/drawing/2014/main" id="{BE41EC37-0D46-D7B2-93A4-E412581E025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7">
            <a:extLst>
              <a:ext uri="{FF2B5EF4-FFF2-40B4-BE49-F238E27FC236}">
                <a16:creationId xmlns:a16="http://schemas.microsoft.com/office/drawing/2014/main" id="{EF4903E1-FE3C-D97E-387A-ECDC71077F1A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30" name="Group 13">
          <a:extLst>
            <a:ext uri="{FF2B5EF4-FFF2-40B4-BE49-F238E27FC236}">
              <a16:creationId xmlns:a16="http://schemas.microsoft.com/office/drawing/2014/main" id="{8D51077C-C6F8-4AFD-BABA-A33A6ECCF6A5}"/>
            </a:ext>
          </a:extLst>
        </xdr:cNvPr>
        <xdr:cNvGrpSpPr/>
      </xdr:nvGrpSpPr>
      <xdr:grpSpPr>
        <a:xfrm>
          <a:off x="3380423" y="8811102"/>
          <a:ext cx="158386" cy="143555"/>
          <a:chOff x="9937028" y="802652"/>
          <a:chExt cx="83991" cy="77961"/>
        </a:xfrm>
      </xdr:grpSpPr>
      <xdr:sp macro="" textlink="">
        <xdr:nvSpPr>
          <xdr:cNvPr id="131" name="Oval 1">
            <a:extLst>
              <a:ext uri="{FF2B5EF4-FFF2-40B4-BE49-F238E27FC236}">
                <a16:creationId xmlns:a16="http://schemas.microsoft.com/office/drawing/2014/main" id="{4169DFC4-43C5-7B6A-A1B7-D8BEAB95D89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2" name="Straight Connector 3">
            <a:extLst>
              <a:ext uri="{FF2B5EF4-FFF2-40B4-BE49-F238E27FC236}">
                <a16:creationId xmlns:a16="http://schemas.microsoft.com/office/drawing/2014/main" id="{98C573D3-26E6-6517-00F3-6BE4955F0E76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7">
            <a:extLst>
              <a:ext uri="{FF2B5EF4-FFF2-40B4-BE49-F238E27FC236}">
                <a16:creationId xmlns:a16="http://schemas.microsoft.com/office/drawing/2014/main" id="{76A556F3-C8A7-BDB3-3244-E16AD7669347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4" name="Group 13">
          <a:extLst>
            <a:ext uri="{FF2B5EF4-FFF2-40B4-BE49-F238E27FC236}">
              <a16:creationId xmlns:a16="http://schemas.microsoft.com/office/drawing/2014/main" id="{7CFF92FD-B8CB-4314-811D-05545344B128}"/>
            </a:ext>
          </a:extLst>
        </xdr:cNvPr>
        <xdr:cNvGrpSpPr/>
      </xdr:nvGrpSpPr>
      <xdr:grpSpPr>
        <a:xfrm>
          <a:off x="3915728" y="8851582"/>
          <a:ext cx="157278" cy="143556"/>
          <a:chOff x="9937028" y="802652"/>
          <a:chExt cx="83991" cy="77961"/>
        </a:xfrm>
      </xdr:grpSpPr>
      <xdr:sp macro="" textlink="">
        <xdr:nvSpPr>
          <xdr:cNvPr id="135" name="Oval 1">
            <a:extLst>
              <a:ext uri="{FF2B5EF4-FFF2-40B4-BE49-F238E27FC236}">
                <a16:creationId xmlns:a16="http://schemas.microsoft.com/office/drawing/2014/main" id="{8EE84636-9D5A-EBC8-F6E7-2CF695A81B5C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6" name="Straight Connector 3">
            <a:extLst>
              <a:ext uri="{FF2B5EF4-FFF2-40B4-BE49-F238E27FC236}">
                <a16:creationId xmlns:a16="http://schemas.microsoft.com/office/drawing/2014/main" id="{50AFC98D-71FB-0F2D-E820-CC20F1613C5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7">
            <a:extLst>
              <a:ext uri="{FF2B5EF4-FFF2-40B4-BE49-F238E27FC236}">
                <a16:creationId xmlns:a16="http://schemas.microsoft.com/office/drawing/2014/main" id="{7CCFE6D3-E9DC-178F-5ECB-30306B38AFC3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42" name="Group 13">
          <a:extLst>
            <a:ext uri="{FF2B5EF4-FFF2-40B4-BE49-F238E27FC236}">
              <a16:creationId xmlns:a16="http://schemas.microsoft.com/office/drawing/2014/main" id="{737E5499-49AA-488B-8EB9-D95A9CF1E153}"/>
            </a:ext>
          </a:extLst>
        </xdr:cNvPr>
        <xdr:cNvGrpSpPr/>
      </xdr:nvGrpSpPr>
      <xdr:grpSpPr>
        <a:xfrm>
          <a:off x="4763453" y="8845867"/>
          <a:ext cx="125502" cy="143999"/>
          <a:chOff x="9937028" y="802652"/>
          <a:chExt cx="83991" cy="77961"/>
        </a:xfrm>
      </xdr:grpSpPr>
      <xdr:sp macro="" textlink="">
        <xdr:nvSpPr>
          <xdr:cNvPr id="143" name="Oval 1">
            <a:extLst>
              <a:ext uri="{FF2B5EF4-FFF2-40B4-BE49-F238E27FC236}">
                <a16:creationId xmlns:a16="http://schemas.microsoft.com/office/drawing/2014/main" id="{53D4BAC4-994B-57D4-3575-00B0937CF53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4" name="Straight Connector 3">
            <a:extLst>
              <a:ext uri="{FF2B5EF4-FFF2-40B4-BE49-F238E27FC236}">
                <a16:creationId xmlns:a16="http://schemas.microsoft.com/office/drawing/2014/main" id="{FCB47EA4-3910-0648-72AB-CBD6E2B531D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Straight Connector 7">
            <a:extLst>
              <a:ext uri="{FF2B5EF4-FFF2-40B4-BE49-F238E27FC236}">
                <a16:creationId xmlns:a16="http://schemas.microsoft.com/office/drawing/2014/main" id="{AA51B81E-521F-EEA3-AAC8-F75A32AD0B5B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 macro="">
      <xdr:nvCxnSpPr>
        <xdr:cNvPr id="147" name="Straight Connector 139">
          <a:extLst>
            <a:ext uri="{FF2B5EF4-FFF2-40B4-BE49-F238E27FC236}">
              <a16:creationId xmlns:a16="http://schemas.microsoft.com/office/drawing/2014/main" id="{C1719041-944C-4305-9EAF-8767501EE893}"/>
            </a:ext>
          </a:extLst>
        </xdr:cNvPr>
        <xdr:cNvCxnSpPr>
          <a:cxnSpLocks/>
        </xdr:cNvCxnSpPr>
      </xdr:nvCxnSpPr>
      <xdr:spPr bwMode="auto">
        <a:xfrm>
          <a:off x="6396990" y="864298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48" name="Group 13">
          <a:extLst>
            <a:ext uri="{FF2B5EF4-FFF2-40B4-BE49-F238E27FC236}">
              <a16:creationId xmlns:a16="http://schemas.microsoft.com/office/drawing/2014/main" id="{48A81DAF-9A3A-47C0-BCDD-DD6DC7191EAC}"/>
            </a:ext>
          </a:extLst>
        </xdr:cNvPr>
        <xdr:cNvGrpSpPr/>
      </xdr:nvGrpSpPr>
      <xdr:grpSpPr>
        <a:xfrm>
          <a:off x="5241608" y="8805386"/>
          <a:ext cx="125502" cy="151216"/>
          <a:chOff x="9937028" y="802652"/>
          <a:chExt cx="83991" cy="77961"/>
        </a:xfrm>
      </xdr:grpSpPr>
      <xdr:sp macro="" textlink="">
        <xdr:nvSpPr>
          <xdr:cNvPr id="149" name="Oval 1">
            <a:extLst>
              <a:ext uri="{FF2B5EF4-FFF2-40B4-BE49-F238E27FC236}">
                <a16:creationId xmlns:a16="http://schemas.microsoft.com/office/drawing/2014/main" id="{BE957312-7DBA-945C-D205-5663326A7FB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0" name="Straight Connector 3">
            <a:extLst>
              <a:ext uri="{FF2B5EF4-FFF2-40B4-BE49-F238E27FC236}">
                <a16:creationId xmlns:a16="http://schemas.microsoft.com/office/drawing/2014/main" id="{235170DA-DE82-722A-14B1-83AD962EF75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7">
            <a:extLst>
              <a:ext uri="{FF2B5EF4-FFF2-40B4-BE49-F238E27FC236}">
                <a16:creationId xmlns:a16="http://schemas.microsoft.com/office/drawing/2014/main" id="{D2561A1B-18C0-5D4B-C307-8935A032D6DE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52" name="Group 13">
          <a:extLst>
            <a:ext uri="{FF2B5EF4-FFF2-40B4-BE49-F238E27FC236}">
              <a16:creationId xmlns:a16="http://schemas.microsoft.com/office/drawing/2014/main" id="{3CB76C11-E57D-4A31-A7B3-DD9E9D7891C3}"/>
            </a:ext>
          </a:extLst>
        </xdr:cNvPr>
        <xdr:cNvGrpSpPr/>
      </xdr:nvGrpSpPr>
      <xdr:grpSpPr>
        <a:xfrm>
          <a:off x="5752148" y="8868728"/>
          <a:ext cx="144423" cy="157309"/>
          <a:chOff x="9937028" y="802652"/>
          <a:chExt cx="83991" cy="77961"/>
        </a:xfrm>
      </xdr:grpSpPr>
      <xdr:sp macro="" textlink="">
        <xdr:nvSpPr>
          <xdr:cNvPr id="153" name="Oval 1">
            <a:extLst>
              <a:ext uri="{FF2B5EF4-FFF2-40B4-BE49-F238E27FC236}">
                <a16:creationId xmlns:a16="http://schemas.microsoft.com/office/drawing/2014/main" id="{2ADD8DF3-54D1-FAD2-C31D-2836D36F16E6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4" name="Straight Connector 3">
            <a:extLst>
              <a:ext uri="{FF2B5EF4-FFF2-40B4-BE49-F238E27FC236}">
                <a16:creationId xmlns:a16="http://schemas.microsoft.com/office/drawing/2014/main" id="{DDEDF696-231C-7212-1B6A-8BBABA9AD6C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Connector 7">
            <a:extLst>
              <a:ext uri="{FF2B5EF4-FFF2-40B4-BE49-F238E27FC236}">
                <a16:creationId xmlns:a16="http://schemas.microsoft.com/office/drawing/2014/main" id="{D50300D9-27BD-EEBA-DFB8-BA69068C97C3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 macro="">
      <xdr:nvCxnSpPr>
        <xdr:cNvPr id="156" name="Straight Arrow Connector 166">
          <a:extLst>
            <a:ext uri="{FF2B5EF4-FFF2-40B4-BE49-F238E27FC236}">
              <a16:creationId xmlns:a16="http://schemas.microsoft.com/office/drawing/2014/main" id="{2EBE7286-A98F-4F9F-8C7F-CCC1E77253D8}"/>
            </a:ext>
          </a:extLst>
        </xdr:cNvPr>
        <xdr:cNvCxnSpPr>
          <a:cxnSpLocks/>
        </xdr:cNvCxnSpPr>
      </xdr:nvCxnSpPr>
      <xdr:spPr>
        <a:xfrm flipV="1">
          <a:off x="6595110" y="9043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 macro="" textlink="">
      <xdr:nvSpPr>
        <xdr:cNvPr id="157" name="TextBox 161">
          <a:extLst>
            <a:ext uri="{FF2B5EF4-FFF2-40B4-BE49-F238E27FC236}">
              <a16:creationId xmlns:a16="http://schemas.microsoft.com/office/drawing/2014/main" id="{27AC385A-4D00-4A93-B640-40EA057DFE0F}"/>
            </a:ext>
          </a:extLst>
        </xdr:cNvPr>
        <xdr:cNvSpPr txBox="1"/>
      </xdr:nvSpPr>
      <xdr:spPr>
        <a:xfrm>
          <a:off x="6804660" y="10115550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 macro="">
      <xdr:nvCxnSpPr>
        <xdr:cNvPr id="158" name="Straight Arrow Connector 166">
          <a:extLst>
            <a:ext uri="{FF2B5EF4-FFF2-40B4-BE49-F238E27FC236}">
              <a16:creationId xmlns:a16="http://schemas.microsoft.com/office/drawing/2014/main" id="{5657985C-8851-44C2-B18E-B859028D693D}"/>
            </a:ext>
          </a:extLst>
        </xdr:cNvPr>
        <xdr:cNvCxnSpPr>
          <a:cxnSpLocks/>
        </xdr:cNvCxnSpPr>
      </xdr:nvCxnSpPr>
      <xdr:spPr>
        <a:xfrm>
          <a:off x="8119110" y="9077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 macro="">
      <xdr:nvCxnSpPr>
        <xdr:cNvPr id="159" name="Straight Connector 148">
          <a:extLst>
            <a:ext uri="{FF2B5EF4-FFF2-40B4-BE49-F238E27FC236}">
              <a16:creationId xmlns:a16="http://schemas.microsoft.com/office/drawing/2014/main" id="{79D1C465-A4A2-4E68-8B34-5941FAFD53BA}"/>
            </a:ext>
          </a:extLst>
        </xdr:cNvPr>
        <xdr:cNvCxnSpPr>
          <a:cxnSpLocks/>
        </xdr:cNvCxnSpPr>
      </xdr:nvCxnSpPr>
      <xdr:spPr bwMode="auto">
        <a:xfrm flipV="1">
          <a:off x="356236" y="8703944"/>
          <a:ext cx="103632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366236</xdr:colOff>
      <xdr:row>31</xdr:row>
      <xdr:rowOff>19340</xdr:rowOff>
    </xdr:from>
    <xdr:to>
      <xdr:col>10</xdr:col>
      <xdr:colOff>4646</xdr:colOff>
      <xdr:row>32</xdr:row>
      <xdr:rowOff>80058</xdr:rowOff>
    </xdr:to>
    <xdr:sp macro="" textlink="">
      <xdr:nvSpPr>
        <xdr:cNvPr id="160" name="TextBox 160">
          <a:extLst>
            <a:ext uri="{FF2B5EF4-FFF2-40B4-BE49-F238E27FC236}">
              <a16:creationId xmlns:a16="http://schemas.microsoft.com/office/drawing/2014/main" id="{99283A97-5C00-47A6-9BCB-97608E7DF92F}"/>
            </a:ext>
          </a:extLst>
        </xdr:cNvPr>
        <xdr:cNvSpPr txBox="1"/>
      </xdr:nvSpPr>
      <xdr:spPr>
        <a:xfrm>
          <a:off x="2576036" y="4762790"/>
          <a:ext cx="781410" cy="2131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aseline="0">
              <a:solidFill>
                <a:schemeClr val="tx1"/>
              </a:solidFill>
              <a:effectLst/>
            </a:rPr>
            <a:t>10</a:t>
          </a:r>
          <a:r>
            <a:rPr lang="xx-YY" sz="800" baseline="0">
              <a:solidFill>
                <a:schemeClr val="tx1"/>
              </a:solidFill>
              <a:effectLst/>
            </a:rPr>
            <a:t>0 </a:t>
          </a:r>
          <a:r>
            <a:rPr lang="en-ID" sz="800" baseline="0">
              <a:solidFill>
                <a:schemeClr val="tx1"/>
              </a:solidFill>
              <a:effectLst/>
            </a:rPr>
            <a:t> kVA</a:t>
          </a:r>
          <a:endParaRPr lang="en-ID" sz="80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8</xdr:col>
      <xdr:colOff>338925</xdr:colOff>
      <xdr:row>32</xdr:row>
      <xdr:rowOff>56570</xdr:rowOff>
    </xdr:from>
    <xdr:to>
      <xdr:col>9</xdr:col>
      <xdr:colOff>207978</xdr:colOff>
      <xdr:row>32</xdr:row>
      <xdr:rowOff>151284</xdr:rowOff>
    </xdr:to>
    <xdr:grpSp>
      <xdr:nvGrpSpPr>
        <xdr:cNvPr id="161" name="Group 134">
          <a:extLst>
            <a:ext uri="{FF2B5EF4-FFF2-40B4-BE49-F238E27FC236}">
              <a16:creationId xmlns:a16="http://schemas.microsoft.com/office/drawing/2014/main" id="{0C36BAC0-11EE-4DAF-BBEA-0096845BA859}"/>
            </a:ext>
          </a:extLst>
        </xdr:cNvPr>
        <xdr:cNvGrpSpPr/>
      </xdr:nvGrpSpPr>
      <xdr:grpSpPr>
        <a:xfrm>
          <a:off x="2934488" y="5033383"/>
          <a:ext cx="250053" cy="94714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62" name="Isosceles Triangle 118">
            <a:extLst>
              <a:ext uri="{FF2B5EF4-FFF2-40B4-BE49-F238E27FC236}">
                <a16:creationId xmlns:a16="http://schemas.microsoft.com/office/drawing/2014/main" id="{10CA3AFB-981A-6BDD-1102-B924EAC7C226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3" name="Isosceles Triangle 119">
            <a:extLst>
              <a:ext uri="{FF2B5EF4-FFF2-40B4-BE49-F238E27FC236}">
                <a16:creationId xmlns:a16="http://schemas.microsoft.com/office/drawing/2014/main" id="{662B930B-5FF5-7F69-110A-79A00BF21ADD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4" name="Isosceles Triangle 120">
            <a:extLst>
              <a:ext uri="{FF2B5EF4-FFF2-40B4-BE49-F238E27FC236}">
                <a16:creationId xmlns:a16="http://schemas.microsoft.com/office/drawing/2014/main" id="{141DDDE3-C88E-E256-C9B8-E8588AF71F94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55</xdr:row>
      <xdr:rowOff>45721</xdr:rowOff>
    </xdr:from>
    <xdr:to>
      <xdr:col>6</xdr:col>
      <xdr:colOff>309710</xdr:colOff>
      <xdr:row>55</xdr:row>
      <xdr:rowOff>130912</xdr:rowOff>
    </xdr:to>
    <xdr:sp macro="" textlink="">
      <xdr:nvSpPr>
        <xdr:cNvPr id="165" name="Isosceles Triangle 120">
          <a:extLst>
            <a:ext uri="{FF2B5EF4-FFF2-40B4-BE49-F238E27FC236}">
              <a16:creationId xmlns:a16="http://schemas.microsoft.com/office/drawing/2014/main" id="{51D923F7-440D-4676-BF7B-9F732B4FA308}"/>
            </a:ext>
          </a:extLst>
        </xdr:cNvPr>
        <xdr:cNvSpPr/>
      </xdr:nvSpPr>
      <xdr:spPr>
        <a:xfrm>
          <a:off x="1977391" y="8580121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66" name="Group 134">
          <a:extLst>
            <a:ext uri="{FF2B5EF4-FFF2-40B4-BE49-F238E27FC236}">
              <a16:creationId xmlns:a16="http://schemas.microsoft.com/office/drawing/2014/main" id="{7BB3223F-2265-42B4-A9F7-4D2066CDE4A5}"/>
            </a:ext>
          </a:extLst>
        </xdr:cNvPr>
        <xdr:cNvGrpSpPr/>
      </xdr:nvGrpSpPr>
      <xdr:grpSpPr>
        <a:xfrm>
          <a:off x="1953578" y="9012080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67" name="Isosceles Triangle 118">
            <a:extLst>
              <a:ext uri="{FF2B5EF4-FFF2-40B4-BE49-F238E27FC236}">
                <a16:creationId xmlns:a16="http://schemas.microsoft.com/office/drawing/2014/main" id="{E97C611F-2BAC-FDCB-335E-B0E56970C8CA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8" name="Isosceles Triangle 119">
            <a:extLst>
              <a:ext uri="{FF2B5EF4-FFF2-40B4-BE49-F238E27FC236}">
                <a16:creationId xmlns:a16="http://schemas.microsoft.com/office/drawing/2014/main" id="{46216ED1-42C0-739C-53AD-E8B415994D44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9" name="Isosceles Triangle 120">
            <a:extLst>
              <a:ext uri="{FF2B5EF4-FFF2-40B4-BE49-F238E27FC236}">
                <a16:creationId xmlns:a16="http://schemas.microsoft.com/office/drawing/2014/main" id="{56D828A8-5FF9-405B-0075-D273C332556A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 macro="" textlink="">
      <xdr:nvSpPr>
        <xdr:cNvPr id="170" name="Isosceles Triangle 120">
          <a:extLst>
            <a:ext uri="{FF2B5EF4-FFF2-40B4-BE49-F238E27FC236}">
              <a16:creationId xmlns:a16="http://schemas.microsoft.com/office/drawing/2014/main" id="{80FE6599-7A8B-47D7-ABA6-451CBA209DF0}"/>
            </a:ext>
          </a:extLst>
        </xdr:cNvPr>
        <xdr:cNvSpPr/>
      </xdr:nvSpPr>
      <xdr:spPr>
        <a:xfrm>
          <a:off x="2552700" y="8873491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71" name="Group 73">
          <a:extLst>
            <a:ext uri="{FF2B5EF4-FFF2-40B4-BE49-F238E27FC236}">
              <a16:creationId xmlns:a16="http://schemas.microsoft.com/office/drawing/2014/main" id="{A4673155-0FD6-4DA4-A3A3-B9970633A2B1}"/>
            </a:ext>
          </a:extLst>
        </xdr:cNvPr>
        <xdr:cNvGrpSpPr/>
      </xdr:nvGrpSpPr>
      <xdr:grpSpPr>
        <a:xfrm rot="21429191">
          <a:off x="7499033" y="9120665"/>
          <a:ext cx="83822" cy="85252"/>
          <a:chOff x="12175074" y="2285812"/>
          <a:chExt cx="107252" cy="65186"/>
        </a:xfrm>
      </xdr:grpSpPr>
      <xdr:cxnSp macro="">
        <xdr:nvCxnSpPr>
          <xdr:cNvPr id="172" name="Straight Connector 74">
            <a:extLst>
              <a:ext uri="{FF2B5EF4-FFF2-40B4-BE49-F238E27FC236}">
                <a16:creationId xmlns:a16="http://schemas.microsoft.com/office/drawing/2014/main" id="{D1CCF619-3346-69B2-EB29-46D742B08AD8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75">
            <a:extLst>
              <a:ext uri="{FF2B5EF4-FFF2-40B4-BE49-F238E27FC236}">
                <a16:creationId xmlns:a16="http://schemas.microsoft.com/office/drawing/2014/main" id="{55C07F75-580E-32CA-E4EC-F554B84201B2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76">
            <a:extLst>
              <a:ext uri="{FF2B5EF4-FFF2-40B4-BE49-F238E27FC236}">
                <a16:creationId xmlns:a16="http://schemas.microsoft.com/office/drawing/2014/main" id="{67B48C23-C25F-6429-73CA-CDD84CB4B74A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5" name="Grup 239">
          <a:extLst>
            <a:ext uri="{FF2B5EF4-FFF2-40B4-BE49-F238E27FC236}">
              <a16:creationId xmlns:a16="http://schemas.microsoft.com/office/drawing/2014/main" id="{9800DD04-1D0B-46BB-B4F7-F786A05C2309}"/>
            </a:ext>
          </a:extLst>
        </xdr:cNvPr>
        <xdr:cNvGrpSpPr/>
      </xdr:nvGrpSpPr>
      <xdr:grpSpPr>
        <a:xfrm>
          <a:off x="7720013" y="9123522"/>
          <a:ext cx="139135" cy="69139"/>
          <a:chOff x="13302191" y="2320613"/>
          <a:chExt cx="139135" cy="57233"/>
        </a:xfrm>
      </xdr:grpSpPr>
      <xdr:cxnSp macro="">
        <xdr:nvCxnSpPr>
          <xdr:cNvPr id="176" name="Straight Connector 81">
            <a:extLst>
              <a:ext uri="{FF2B5EF4-FFF2-40B4-BE49-F238E27FC236}">
                <a16:creationId xmlns:a16="http://schemas.microsoft.com/office/drawing/2014/main" id="{8A65E1EC-FA26-2F70-954B-9D4F530E3DC6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Straight Connector 82">
            <a:extLst>
              <a:ext uri="{FF2B5EF4-FFF2-40B4-BE49-F238E27FC236}">
                <a16:creationId xmlns:a16="http://schemas.microsoft.com/office/drawing/2014/main" id="{63059A0E-E2F1-B6B8-EEA8-A51CC8DDD8CF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83">
            <a:extLst>
              <a:ext uri="{FF2B5EF4-FFF2-40B4-BE49-F238E27FC236}">
                <a16:creationId xmlns:a16="http://schemas.microsoft.com/office/drawing/2014/main" id="{DE531A98-7527-8DF4-8D66-4037534FFA1B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84">
            <a:extLst>
              <a:ext uri="{FF2B5EF4-FFF2-40B4-BE49-F238E27FC236}">
                <a16:creationId xmlns:a16="http://schemas.microsoft.com/office/drawing/2014/main" id="{A8F9F163-17E1-E687-D602-6A55146D0ED1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80" name="Grup 244">
          <a:extLst>
            <a:ext uri="{FF2B5EF4-FFF2-40B4-BE49-F238E27FC236}">
              <a16:creationId xmlns:a16="http://schemas.microsoft.com/office/drawing/2014/main" id="{0FA4E5C5-244D-4FB5-9528-B338E89AF8B5}"/>
            </a:ext>
          </a:extLst>
        </xdr:cNvPr>
        <xdr:cNvGrpSpPr/>
      </xdr:nvGrpSpPr>
      <xdr:grpSpPr>
        <a:xfrm>
          <a:off x="7933373" y="9108281"/>
          <a:ext cx="139135" cy="69139"/>
          <a:chOff x="13302191" y="2320613"/>
          <a:chExt cx="139135" cy="57233"/>
        </a:xfrm>
      </xdr:grpSpPr>
      <xdr:cxnSp macro="">
        <xdr:nvCxnSpPr>
          <xdr:cNvPr id="181" name="Straight Connector 81">
            <a:extLst>
              <a:ext uri="{FF2B5EF4-FFF2-40B4-BE49-F238E27FC236}">
                <a16:creationId xmlns:a16="http://schemas.microsoft.com/office/drawing/2014/main" id="{9F148B43-68AA-BAD8-F884-EE225D4BCD83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Straight Connector 82">
            <a:extLst>
              <a:ext uri="{FF2B5EF4-FFF2-40B4-BE49-F238E27FC236}">
                <a16:creationId xmlns:a16="http://schemas.microsoft.com/office/drawing/2014/main" id="{A5681D27-6521-B0B4-A1C0-715248616BBF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Connector 83">
            <a:extLst>
              <a:ext uri="{FF2B5EF4-FFF2-40B4-BE49-F238E27FC236}">
                <a16:creationId xmlns:a16="http://schemas.microsoft.com/office/drawing/2014/main" id="{0A1E2F6F-8EFC-459E-011D-948C2728FE60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84">
            <a:extLst>
              <a:ext uri="{FF2B5EF4-FFF2-40B4-BE49-F238E27FC236}">
                <a16:creationId xmlns:a16="http://schemas.microsoft.com/office/drawing/2014/main" id="{69D15988-B92F-E504-8E65-A2BB93D9AB88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364227</xdr:colOff>
      <xdr:row>19</xdr:row>
      <xdr:rowOff>142461</xdr:rowOff>
    </xdr:from>
    <xdr:to>
      <xdr:col>8</xdr:col>
      <xdr:colOff>127779</xdr:colOff>
      <xdr:row>20</xdr:row>
      <xdr:rowOff>138894</xdr:rowOff>
    </xdr:to>
    <xdr:grpSp>
      <xdr:nvGrpSpPr>
        <xdr:cNvPr id="186" name="Group 13">
          <a:extLst>
            <a:ext uri="{FF2B5EF4-FFF2-40B4-BE49-F238E27FC236}">
              <a16:creationId xmlns:a16="http://schemas.microsoft.com/office/drawing/2014/main" id="{6210CE59-4DF8-433A-991F-C7FB1A3F507E}"/>
            </a:ext>
          </a:extLst>
        </xdr:cNvPr>
        <xdr:cNvGrpSpPr/>
      </xdr:nvGrpSpPr>
      <xdr:grpSpPr>
        <a:xfrm>
          <a:off x="2578790" y="3119024"/>
          <a:ext cx="144552" cy="151214"/>
          <a:chOff x="9937028" y="802652"/>
          <a:chExt cx="83991" cy="77961"/>
        </a:xfrm>
      </xdr:grpSpPr>
      <xdr:sp macro="" textlink="">
        <xdr:nvSpPr>
          <xdr:cNvPr id="187" name="Oval 1">
            <a:extLst>
              <a:ext uri="{FF2B5EF4-FFF2-40B4-BE49-F238E27FC236}">
                <a16:creationId xmlns:a16="http://schemas.microsoft.com/office/drawing/2014/main" id="{832B8839-5098-CC13-4853-FC457ED6C85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8" name="Straight Connector 3">
            <a:extLst>
              <a:ext uri="{FF2B5EF4-FFF2-40B4-BE49-F238E27FC236}">
                <a16:creationId xmlns:a16="http://schemas.microsoft.com/office/drawing/2014/main" id="{AB3B526B-5750-6AB3-3D73-85B509619F2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9" name="Straight Connector 7">
            <a:extLst>
              <a:ext uri="{FF2B5EF4-FFF2-40B4-BE49-F238E27FC236}">
                <a16:creationId xmlns:a16="http://schemas.microsoft.com/office/drawing/2014/main" id="{54DD2A09-CE23-1B07-A42C-AD2420D372E9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361517</xdr:colOff>
      <xdr:row>26</xdr:row>
      <xdr:rowOff>36801</xdr:rowOff>
    </xdr:from>
    <xdr:to>
      <xdr:col>8</xdr:col>
      <xdr:colOff>125069</xdr:colOff>
      <xdr:row>27</xdr:row>
      <xdr:rowOff>33235</xdr:rowOff>
    </xdr:to>
    <xdr:grpSp>
      <xdr:nvGrpSpPr>
        <xdr:cNvPr id="190" name="Group 13">
          <a:extLst>
            <a:ext uri="{FF2B5EF4-FFF2-40B4-BE49-F238E27FC236}">
              <a16:creationId xmlns:a16="http://schemas.microsoft.com/office/drawing/2014/main" id="{E2E5DB40-292F-4DB1-A746-7B5DDFDE2365}"/>
            </a:ext>
          </a:extLst>
        </xdr:cNvPr>
        <xdr:cNvGrpSpPr/>
      </xdr:nvGrpSpPr>
      <xdr:grpSpPr>
        <a:xfrm>
          <a:off x="2576080" y="4096832"/>
          <a:ext cx="144552" cy="151216"/>
          <a:chOff x="9937028" y="802652"/>
          <a:chExt cx="83991" cy="77961"/>
        </a:xfrm>
      </xdr:grpSpPr>
      <xdr:sp macro="" textlink="">
        <xdr:nvSpPr>
          <xdr:cNvPr id="191" name="Oval 1">
            <a:extLst>
              <a:ext uri="{FF2B5EF4-FFF2-40B4-BE49-F238E27FC236}">
                <a16:creationId xmlns:a16="http://schemas.microsoft.com/office/drawing/2014/main" id="{442261D7-9C66-5594-99FB-922B66099D12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2" name="Straight Connector 3">
            <a:extLst>
              <a:ext uri="{FF2B5EF4-FFF2-40B4-BE49-F238E27FC236}">
                <a16:creationId xmlns:a16="http://schemas.microsoft.com/office/drawing/2014/main" id="{9F11F7C3-7262-8029-C055-9A95F518FBA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3" name="Straight Connector 7">
            <a:extLst>
              <a:ext uri="{FF2B5EF4-FFF2-40B4-BE49-F238E27FC236}">
                <a16:creationId xmlns:a16="http://schemas.microsoft.com/office/drawing/2014/main" id="{2AD97444-9A55-7200-809B-A4305A7C869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364982</xdr:colOff>
      <xdr:row>9</xdr:row>
      <xdr:rowOff>114300</xdr:rowOff>
    </xdr:from>
    <xdr:to>
      <xdr:col>8</xdr:col>
      <xdr:colOff>0</xdr:colOff>
      <xdr:row>26</xdr:row>
      <xdr:rowOff>105928</xdr:rowOff>
    </xdr:to>
    <xdr:cxnSp macro="">
      <xdr:nvCxnSpPr>
        <xdr:cNvPr id="197" name="Straight Connector 140">
          <a:extLst>
            <a:ext uri="{FF2B5EF4-FFF2-40B4-BE49-F238E27FC236}">
              <a16:creationId xmlns:a16="http://schemas.microsoft.com/office/drawing/2014/main" id="{5712567E-8B53-4FA6-900E-62717519675E}"/>
            </a:ext>
          </a:extLst>
        </xdr:cNvPr>
        <xdr:cNvCxnSpPr>
          <a:cxnSpLocks/>
        </xdr:cNvCxnSpPr>
      </xdr:nvCxnSpPr>
      <xdr:spPr bwMode="auto">
        <a:xfrm flipH="1">
          <a:off x="2574782" y="1504950"/>
          <a:ext cx="16018" cy="2591953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40026</xdr:colOff>
      <xdr:row>26</xdr:row>
      <xdr:rowOff>135777</xdr:rowOff>
    </xdr:from>
    <xdr:to>
      <xdr:col>8</xdr:col>
      <xdr:colOff>45893</xdr:colOff>
      <xdr:row>39</xdr:row>
      <xdr:rowOff>78798</xdr:rowOff>
    </xdr:to>
    <xdr:cxnSp macro="">
      <xdr:nvCxnSpPr>
        <xdr:cNvPr id="201" name="Straight Connector 148">
          <a:extLst>
            <a:ext uri="{FF2B5EF4-FFF2-40B4-BE49-F238E27FC236}">
              <a16:creationId xmlns:a16="http://schemas.microsoft.com/office/drawing/2014/main" id="{5C6B3416-0D6E-4E3C-B120-2FDC72ED8F36}"/>
            </a:ext>
          </a:extLst>
        </xdr:cNvPr>
        <xdr:cNvCxnSpPr>
          <a:cxnSpLocks/>
        </xdr:cNvCxnSpPr>
      </xdr:nvCxnSpPr>
      <xdr:spPr bwMode="auto">
        <a:xfrm>
          <a:off x="2630826" y="4126752"/>
          <a:ext cx="5867" cy="193374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343352</xdr:colOff>
      <xdr:row>31</xdr:row>
      <xdr:rowOff>124238</xdr:rowOff>
    </xdr:from>
    <xdr:to>
      <xdr:col>8</xdr:col>
      <xdr:colOff>109359</xdr:colOff>
      <xdr:row>32</xdr:row>
      <xdr:rowOff>113012</xdr:rowOff>
    </xdr:to>
    <xdr:grpSp>
      <xdr:nvGrpSpPr>
        <xdr:cNvPr id="211" name="Group 13">
          <a:extLst>
            <a:ext uri="{FF2B5EF4-FFF2-40B4-BE49-F238E27FC236}">
              <a16:creationId xmlns:a16="http://schemas.microsoft.com/office/drawing/2014/main" id="{C0091E7E-00CC-4EB5-BFB4-F6E6D7F4775A}"/>
            </a:ext>
          </a:extLst>
        </xdr:cNvPr>
        <xdr:cNvGrpSpPr/>
      </xdr:nvGrpSpPr>
      <xdr:grpSpPr>
        <a:xfrm>
          <a:off x="2557915" y="4946269"/>
          <a:ext cx="147007" cy="143556"/>
          <a:chOff x="9937028" y="802652"/>
          <a:chExt cx="83991" cy="77961"/>
        </a:xfrm>
      </xdr:grpSpPr>
      <xdr:sp macro="" textlink="">
        <xdr:nvSpPr>
          <xdr:cNvPr id="212" name="Oval 1">
            <a:extLst>
              <a:ext uri="{FF2B5EF4-FFF2-40B4-BE49-F238E27FC236}">
                <a16:creationId xmlns:a16="http://schemas.microsoft.com/office/drawing/2014/main" id="{34E6B487-BE81-BF4C-B6B2-D8FCE59E9AEB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3" name="Straight Connector 3">
            <a:extLst>
              <a:ext uri="{FF2B5EF4-FFF2-40B4-BE49-F238E27FC236}">
                <a16:creationId xmlns:a16="http://schemas.microsoft.com/office/drawing/2014/main" id="{417477B6-6EDB-7A8E-E8D3-77973B0EFCD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4" name="Straight Connector 7">
            <a:extLst>
              <a:ext uri="{FF2B5EF4-FFF2-40B4-BE49-F238E27FC236}">
                <a16:creationId xmlns:a16="http://schemas.microsoft.com/office/drawing/2014/main" id="{4A93D3F8-DE72-ABF2-6EBB-07B704CFEBB8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56849</xdr:colOff>
      <xdr:row>28</xdr:row>
      <xdr:rowOff>115203</xdr:rowOff>
    </xdr:from>
    <xdr:to>
      <xdr:col>17</xdr:col>
      <xdr:colOff>65787</xdr:colOff>
      <xdr:row>34</xdr:row>
      <xdr:rowOff>5640</xdr:rowOff>
    </xdr:to>
    <xdr:sp macro="" textlink="">
      <xdr:nvSpPr>
        <xdr:cNvPr id="217" name="Rectangle 216">
          <a:extLst>
            <a:ext uri="{FF2B5EF4-FFF2-40B4-BE49-F238E27FC236}">
              <a16:creationId xmlns:a16="http://schemas.microsoft.com/office/drawing/2014/main" id="{CCB906A3-708B-49EB-8A1A-C6EEFCBF72C1}"/>
            </a:ext>
          </a:extLst>
        </xdr:cNvPr>
        <xdr:cNvSpPr/>
      </xdr:nvSpPr>
      <xdr:spPr>
        <a:xfrm>
          <a:off x="4550917" y="4505362"/>
          <a:ext cx="1532938" cy="81696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12</xdr:col>
      <xdr:colOff>288763</xdr:colOff>
      <xdr:row>32</xdr:row>
      <xdr:rowOff>56474</xdr:rowOff>
    </xdr:from>
    <xdr:to>
      <xdr:col>13</xdr:col>
      <xdr:colOff>74329</xdr:colOff>
      <xdr:row>33</xdr:row>
      <xdr:rowOff>86041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4E36D5DB-FC55-4093-B803-F2EC1C8CA130}"/>
            </a:ext>
          </a:extLst>
        </xdr:cNvPr>
        <xdr:cNvSpPr/>
      </xdr:nvSpPr>
      <xdr:spPr>
        <a:xfrm>
          <a:off x="4401831" y="5061429"/>
          <a:ext cx="166566" cy="185430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11</xdr:col>
      <xdr:colOff>216280</xdr:colOff>
      <xdr:row>32</xdr:row>
      <xdr:rowOff>149189</xdr:rowOff>
    </xdr:from>
    <xdr:to>
      <xdr:col>12</xdr:col>
      <xdr:colOff>288763</xdr:colOff>
      <xdr:row>33</xdr:row>
      <xdr:rowOff>141591</xdr:rowOff>
    </xdr:to>
    <xdr:cxnSp macro="">
      <xdr:nvCxnSpPr>
        <xdr:cNvPr id="219" name="Straight Connector 218">
          <a:extLst>
            <a:ext uri="{FF2B5EF4-FFF2-40B4-BE49-F238E27FC236}">
              <a16:creationId xmlns:a16="http://schemas.microsoft.com/office/drawing/2014/main" id="{B3B4CAD6-0759-4399-ACE8-1FD373D83707}"/>
            </a:ext>
          </a:extLst>
        </xdr:cNvPr>
        <xdr:cNvCxnSpPr>
          <a:cxnSpLocks/>
          <a:stCxn id="277" idx="6"/>
          <a:endCxn id="218" idx="1"/>
        </xdr:cNvCxnSpPr>
      </xdr:nvCxnSpPr>
      <xdr:spPr bwMode="auto">
        <a:xfrm flipV="1">
          <a:off x="3948348" y="5154144"/>
          <a:ext cx="453483" cy="1482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297797</xdr:colOff>
      <xdr:row>39</xdr:row>
      <xdr:rowOff>22212</xdr:rowOff>
    </xdr:from>
    <xdr:to>
      <xdr:col>13</xdr:col>
      <xdr:colOff>83363</xdr:colOff>
      <xdr:row>40</xdr:row>
      <xdr:rowOff>52155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5A99A232-47A1-46CE-9DFE-985B4E47345F}"/>
            </a:ext>
          </a:extLst>
        </xdr:cNvPr>
        <xdr:cNvSpPr/>
      </xdr:nvSpPr>
      <xdr:spPr>
        <a:xfrm>
          <a:off x="4410865" y="6135530"/>
          <a:ext cx="166566" cy="18580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9</xdr:col>
      <xdr:colOff>156993</xdr:colOff>
      <xdr:row>29</xdr:row>
      <xdr:rowOff>29742</xdr:rowOff>
    </xdr:from>
    <xdr:to>
      <xdr:col>9</xdr:col>
      <xdr:colOff>304000</xdr:colOff>
      <xdr:row>30</xdr:row>
      <xdr:rowOff>27176</xdr:rowOff>
    </xdr:to>
    <xdr:grpSp>
      <xdr:nvGrpSpPr>
        <xdr:cNvPr id="234" name="Group 13">
          <a:extLst>
            <a:ext uri="{FF2B5EF4-FFF2-40B4-BE49-F238E27FC236}">
              <a16:creationId xmlns:a16="http://schemas.microsoft.com/office/drawing/2014/main" id="{FAD822A5-E7C1-4463-90EE-0DC6F4461A57}"/>
            </a:ext>
          </a:extLst>
        </xdr:cNvPr>
        <xdr:cNvGrpSpPr/>
      </xdr:nvGrpSpPr>
      <xdr:grpSpPr>
        <a:xfrm>
          <a:off x="3133556" y="4554117"/>
          <a:ext cx="147007" cy="140309"/>
          <a:chOff x="9937028" y="802652"/>
          <a:chExt cx="83991" cy="77961"/>
        </a:xfrm>
      </xdr:grpSpPr>
      <xdr:sp macro="" textlink="">
        <xdr:nvSpPr>
          <xdr:cNvPr id="235" name="Oval 1">
            <a:extLst>
              <a:ext uri="{FF2B5EF4-FFF2-40B4-BE49-F238E27FC236}">
                <a16:creationId xmlns:a16="http://schemas.microsoft.com/office/drawing/2014/main" id="{F7865C77-4140-D17E-2C4F-454A93CB166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36" name="Straight Connector 3">
            <a:extLst>
              <a:ext uri="{FF2B5EF4-FFF2-40B4-BE49-F238E27FC236}">
                <a16:creationId xmlns:a16="http://schemas.microsoft.com/office/drawing/2014/main" id="{43A92CA5-F092-B060-CC8D-ED366AC9340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7" name="Straight Connector 7">
            <a:extLst>
              <a:ext uri="{FF2B5EF4-FFF2-40B4-BE49-F238E27FC236}">
                <a16:creationId xmlns:a16="http://schemas.microsoft.com/office/drawing/2014/main" id="{756AD013-958C-79D9-4B17-7F0A2744C147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290001</xdr:colOff>
      <xdr:row>33</xdr:row>
      <xdr:rowOff>114797</xdr:rowOff>
    </xdr:from>
    <xdr:to>
      <xdr:col>11</xdr:col>
      <xdr:colOff>79061</xdr:colOff>
      <xdr:row>33</xdr:row>
      <xdr:rowOff>131428</xdr:rowOff>
    </xdr:to>
    <xdr:cxnSp macro="">
      <xdr:nvCxnSpPr>
        <xdr:cNvPr id="238" name="Straight Connector 148">
          <a:extLst>
            <a:ext uri="{FF2B5EF4-FFF2-40B4-BE49-F238E27FC236}">
              <a16:creationId xmlns:a16="http://schemas.microsoft.com/office/drawing/2014/main" id="{0857E20D-79AA-448A-BE23-ED01A85D9C8F}"/>
            </a:ext>
          </a:extLst>
        </xdr:cNvPr>
        <xdr:cNvCxnSpPr>
          <a:cxnSpLocks/>
        </xdr:cNvCxnSpPr>
      </xdr:nvCxnSpPr>
      <xdr:spPr bwMode="auto">
        <a:xfrm>
          <a:off x="3260069" y="5275615"/>
          <a:ext cx="551060" cy="1663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344857</xdr:colOff>
      <xdr:row>33</xdr:row>
      <xdr:rowOff>56472</xdr:rowOff>
    </xdr:from>
    <xdr:to>
      <xdr:col>12</xdr:col>
      <xdr:colOff>102992</xdr:colOff>
      <xdr:row>33</xdr:row>
      <xdr:rowOff>126694</xdr:rowOff>
    </xdr:to>
    <xdr:grpSp>
      <xdr:nvGrpSpPr>
        <xdr:cNvPr id="240" name="Grup 239">
          <a:extLst>
            <a:ext uri="{FF2B5EF4-FFF2-40B4-BE49-F238E27FC236}">
              <a16:creationId xmlns:a16="http://schemas.microsoft.com/office/drawing/2014/main" id="{894ECEA9-638C-4FEA-905C-E0F6F743CD57}"/>
            </a:ext>
          </a:extLst>
        </xdr:cNvPr>
        <xdr:cNvGrpSpPr/>
      </xdr:nvGrpSpPr>
      <xdr:grpSpPr>
        <a:xfrm rot="19262783">
          <a:off x="4083420" y="5188066"/>
          <a:ext cx="139135" cy="70222"/>
          <a:chOff x="13302191" y="2320613"/>
          <a:chExt cx="139135" cy="57233"/>
        </a:xfrm>
      </xdr:grpSpPr>
      <xdr:cxnSp macro="">
        <xdr:nvCxnSpPr>
          <xdr:cNvPr id="241" name="Straight Connector 81">
            <a:extLst>
              <a:ext uri="{FF2B5EF4-FFF2-40B4-BE49-F238E27FC236}">
                <a16:creationId xmlns:a16="http://schemas.microsoft.com/office/drawing/2014/main" id="{D69FB63F-AA01-EF61-484E-C887A5E6602A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2" name="Straight Connector 82">
            <a:extLst>
              <a:ext uri="{FF2B5EF4-FFF2-40B4-BE49-F238E27FC236}">
                <a16:creationId xmlns:a16="http://schemas.microsoft.com/office/drawing/2014/main" id="{BBF4B96E-B9E8-1D7C-2DE7-479CB56B218B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3" name="Straight Connector 83">
            <a:extLst>
              <a:ext uri="{FF2B5EF4-FFF2-40B4-BE49-F238E27FC236}">
                <a16:creationId xmlns:a16="http://schemas.microsoft.com/office/drawing/2014/main" id="{526CFDD7-1478-F34C-F645-4674E15E83AA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4" name="Straight Connector 84">
            <a:extLst>
              <a:ext uri="{FF2B5EF4-FFF2-40B4-BE49-F238E27FC236}">
                <a16:creationId xmlns:a16="http://schemas.microsoft.com/office/drawing/2014/main" id="{65B13735-EDAE-6350-1D48-C22E5723B30B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169238</xdr:colOff>
      <xdr:row>33</xdr:row>
      <xdr:rowOff>53265</xdr:rowOff>
    </xdr:from>
    <xdr:to>
      <xdr:col>10</xdr:col>
      <xdr:colOff>232683</xdr:colOff>
      <xdr:row>34</xdr:row>
      <xdr:rowOff>43313</xdr:rowOff>
    </xdr:to>
    <xdr:grpSp>
      <xdr:nvGrpSpPr>
        <xdr:cNvPr id="261" name="Grup 239">
          <a:extLst>
            <a:ext uri="{FF2B5EF4-FFF2-40B4-BE49-F238E27FC236}">
              <a16:creationId xmlns:a16="http://schemas.microsoft.com/office/drawing/2014/main" id="{E0809D43-67E6-4A89-A10A-D0AAA31E1F50}"/>
            </a:ext>
          </a:extLst>
        </xdr:cNvPr>
        <xdr:cNvGrpSpPr/>
      </xdr:nvGrpSpPr>
      <xdr:grpSpPr>
        <a:xfrm rot="3571048">
          <a:off x="3486109" y="5225551"/>
          <a:ext cx="144829" cy="63445"/>
          <a:chOff x="13302191" y="2320613"/>
          <a:chExt cx="139135" cy="57233"/>
        </a:xfrm>
      </xdr:grpSpPr>
      <xdr:cxnSp macro="">
        <xdr:nvCxnSpPr>
          <xdr:cNvPr id="262" name="Straight Connector 81">
            <a:extLst>
              <a:ext uri="{FF2B5EF4-FFF2-40B4-BE49-F238E27FC236}">
                <a16:creationId xmlns:a16="http://schemas.microsoft.com/office/drawing/2014/main" id="{CF70F55A-2962-731C-3B9F-46E6B0C30B73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3" name="Straight Connector 82">
            <a:extLst>
              <a:ext uri="{FF2B5EF4-FFF2-40B4-BE49-F238E27FC236}">
                <a16:creationId xmlns:a16="http://schemas.microsoft.com/office/drawing/2014/main" id="{0A7406A1-0B82-9CF8-1A1C-78D54928ED0C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4" name="Straight Connector 83">
            <a:extLst>
              <a:ext uri="{FF2B5EF4-FFF2-40B4-BE49-F238E27FC236}">
                <a16:creationId xmlns:a16="http://schemas.microsoft.com/office/drawing/2014/main" id="{5E97CAEF-3446-71A3-2773-5806CEF5930B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5" name="Straight Connector 84">
            <a:extLst>
              <a:ext uri="{FF2B5EF4-FFF2-40B4-BE49-F238E27FC236}">
                <a16:creationId xmlns:a16="http://schemas.microsoft.com/office/drawing/2014/main" id="{58B619AA-2819-C8EA-A1CA-6D32D8B474CA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67390</xdr:colOff>
      <xdr:row>35</xdr:row>
      <xdr:rowOff>135912</xdr:rowOff>
    </xdr:from>
    <xdr:to>
      <xdr:col>9</xdr:col>
      <xdr:colOff>317443</xdr:colOff>
      <xdr:row>36</xdr:row>
      <xdr:rowOff>78226</xdr:rowOff>
    </xdr:to>
    <xdr:grpSp>
      <xdr:nvGrpSpPr>
        <xdr:cNvPr id="266" name="Group 134">
          <a:extLst>
            <a:ext uri="{FF2B5EF4-FFF2-40B4-BE49-F238E27FC236}">
              <a16:creationId xmlns:a16="http://schemas.microsoft.com/office/drawing/2014/main" id="{9C4FC4B9-8B79-44CF-95A6-673E360E17DB}"/>
            </a:ext>
          </a:extLst>
        </xdr:cNvPr>
        <xdr:cNvGrpSpPr/>
      </xdr:nvGrpSpPr>
      <xdr:grpSpPr>
        <a:xfrm>
          <a:off x="3043953" y="5577068"/>
          <a:ext cx="250053" cy="97096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267" name="Isosceles Triangle 118">
            <a:extLst>
              <a:ext uri="{FF2B5EF4-FFF2-40B4-BE49-F238E27FC236}">
                <a16:creationId xmlns:a16="http://schemas.microsoft.com/office/drawing/2014/main" id="{62A2B26E-C686-AD95-B2BA-F1681FB30CEC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68" name="Isosceles Triangle 119">
            <a:extLst>
              <a:ext uri="{FF2B5EF4-FFF2-40B4-BE49-F238E27FC236}">
                <a16:creationId xmlns:a16="http://schemas.microsoft.com/office/drawing/2014/main" id="{E5B40361-2D5B-A293-164F-069565CA09B2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69" name="Isosceles Triangle 120">
            <a:extLst>
              <a:ext uri="{FF2B5EF4-FFF2-40B4-BE49-F238E27FC236}">
                <a16:creationId xmlns:a16="http://schemas.microsoft.com/office/drawing/2014/main" id="{CE09682D-CB43-4163-C443-3D64F0546F21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9</xdr:col>
      <xdr:colOff>295275</xdr:colOff>
      <xdr:row>35</xdr:row>
      <xdr:rowOff>82074</xdr:rowOff>
    </xdr:from>
    <xdr:to>
      <xdr:col>11</xdr:col>
      <xdr:colOff>112025</xdr:colOff>
      <xdr:row>36</xdr:row>
      <xdr:rowOff>95250</xdr:rowOff>
    </xdr:to>
    <xdr:sp macro="" textlink="">
      <xdr:nvSpPr>
        <xdr:cNvPr id="270" name="TextBox 160">
          <a:extLst>
            <a:ext uri="{FF2B5EF4-FFF2-40B4-BE49-F238E27FC236}">
              <a16:creationId xmlns:a16="http://schemas.microsoft.com/office/drawing/2014/main" id="{29AF20C0-710B-4C37-BFCC-7952124F258F}"/>
            </a:ext>
          </a:extLst>
        </xdr:cNvPr>
        <xdr:cNvSpPr txBox="1"/>
      </xdr:nvSpPr>
      <xdr:spPr>
        <a:xfrm>
          <a:off x="3267075" y="5435124"/>
          <a:ext cx="578750" cy="165576"/>
        </a:xfrm>
        <a:prstGeom prst="rect">
          <a:avLst/>
        </a:prstGeom>
        <a:noFill/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aseline="0">
              <a:solidFill>
                <a:sysClr val="windowText" lastClr="000000"/>
              </a:solidFill>
              <a:effectLst/>
            </a:rPr>
            <a:t>10</a:t>
          </a:r>
          <a:r>
            <a:rPr lang="xx-YY" sz="800" baseline="0">
              <a:solidFill>
                <a:sysClr val="windowText" lastClr="000000"/>
              </a:solidFill>
              <a:effectLst/>
            </a:rPr>
            <a:t>0 </a:t>
          </a:r>
          <a:r>
            <a:rPr lang="en-ID" sz="800" baseline="0">
              <a:solidFill>
                <a:sysClr val="windowText" lastClr="000000"/>
              </a:solidFill>
              <a:effectLst/>
            </a:rPr>
            <a:t> kVA</a:t>
          </a:r>
          <a:endParaRPr lang="en-ID" sz="8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13</xdr:col>
      <xdr:colOff>210453</xdr:colOff>
      <xdr:row>31</xdr:row>
      <xdr:rowOff>10919</xdr:rowOff>
    </xdr:from>
    <xdr:to>
      <xdr:col>15</xdr:col>
      <xdr:colOff>242454</xdr:colOff>
      <xdr:row>32</xdr:row>
      <xdr:rowOff>103909</xdr:rowOff>
    </xdr:to>
    <xdr:sp macro="" textlink="">
      <xdr:nvSpPr>
        <xdr:cNvPr id="274" name="TextBox 157">
          <a:extLst>
            <a:ext uri="{FF2B5EF4-FFF2-40B4-BE49-F238E27FC236}">
              <a16:creationId xmlns:a16="http://schemas.microsoft.com/office/drawing/2014/main" id="{A545DF42-D5A0-46D9-AE45-CE8A0EA92698}"/>
            </a:ext>
          </a:extLst>
        </xdr:cNvPr>
        <xdr:cNvSpPr txBox="1"/>
      </xdr:nvSpPr>
      <xdr:spPr>
        <a:xfrm>
          <a:off x="4704521" y="4860010"/>
          <a:ext cx="794001" cy="24885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xx-YY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APP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66</a:t>
          </a:r>
          <a:r>
            <a:rPr lang="xx-YY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KVA</a:t>
          </a:r>
          <a:endParaRPr lang="id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87830</xdr:colOff>
      <xdr:row>32</xdr:row>
      <xdr:rowOff>92338</xdr:rowOff>
    </xdr:from>
    <xdr:to>
      <xdr:col>9</xdr:col>
      <xdr:colOff>201922</xdr:colOff>
      <xdr:row>33</xdr:row>
      <xdr:rowOff>134517</xdr:rowOff>
    </xdr:to>
    <xdr:cxnSp macro="">
      <xdr:nvCxnSpPr>
        <xdr:cNvPr id="284" name="Straight Connector 148">
          <a:extLst>
            <a:ext uri="{FF2B5EF4-FFF2-40B4-BE49-F238E27FC236}">
              <a16:creationId xmlns:a16="http://schemas.microsoft.com/office/drawing/2014/main" id="{C70B9929-2CD8-4E92-8689-1C2951725768}"/>
            </a:ext>
          </a:extLst>
        </xdr:cNvPr>
        <xdr:cNvCxnSpPr>
          <a:cxnSpLocks/>
          <a:stCxn id="212" idx="5"/>
        </xdr:cNvCxnSpPr>
      </xdr:nvCxnSpPr>
      <xdr:spPr bwMode="auto">
        <a:xfrm>
          <a:off x="2678630" y="4988188"/>
          <a:ext cx="495092" cy="19457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372815</xdr:colOff>
      <xdr:row>34</xdr:row>
      <xdr:rowOff>124216</xdr:rowOff>
    </xdr:from>
    <xdr:to>
      <xdr:col>8</xdr:col>
      <xdr:colOff>78149</xdr:colOff>
      <xdr:row>35</xdr:row>
      <xdr:rowOff>52175</xdr:rowOff>
    </xdr:to>
    <xdr:grpSp>
      <xdr:nvGrpSpPr>
        <xdr:cNvPr id="205" name="Group 73">
          <a:extLst>
            <a:ext uri="{FF2B5EF4-FFF2-40B4-BE49-F238E27FC236}">
              <a16:creationId xmlns:a16="http://schemas.microsoft.com/office/drawing/2014/main" id="{7F5A4540-F646-4E0C-B4D8-E8211E130475}"/>
            </a:ext>
          </a:extLst>
        </xdr:cNvPr>
        <xdr:cNvGrpSpPr/>
      </xdr:nvGrpSpPr>
      <xdr:grpSpPr>
        <a:xfrm rot="4957942">
          <a:off x="2589175" y="5408794"/>
          <a:ext cx="82740" cy="86334"/>
          <a:chOff x="12175074" y="2285812"/>
          <a:chExt cx="107252" cy="65186"/>
        </a:xfrm>
      </xdr:grpSpPr>
      <xdr:cxnSp macro="">
        <xdr:nvCxnSpPr>
          <xdr:cNvPr id="207" name="Straight Connector 74">
            <a:extLst>
              <a:ext uri="{FF2B5EF4-FFF2-40B4-BE49-F238E27FC236}">
                <a16:creationId xmlns:a16="http://schemas.microsoft.com/office/drawing/2014/main" id="{23E35DCA-8089-1692-0E7E-DE218381A9A2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8" name="Straight Connector 75">
            <a:extLst>
              <a:ext uri="{FF2B5EF4-FFF2-40B4-BE49-F238E27FC236}">
                <a16:creationId xmlns:a16="http://schemas.microsoft.com/office/drawing/2014/main" id="{19310286-FC63-532F-E9BE-D8210E2D2575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9" name="Straight Connector 76">
            <a:extLst>
              <a:ext uri="{FF2B5EF4-FFF2-40B4-BE49-F238E27FC236}">
                <a16:creationId xmlns:a16="http://schemas.microsoft.com/office/drawing/2014/main" id="{8447F319-D0B6-F360-7CAD-7D0F1B988691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3073</xdr:colOff>
      <xdr:row>29</xdr:row>
      <xdr:rowOff>104301</xdr:rowOff>
    </xdr:from>
    <xdr:to>
      <xdr:col>8</xdr:col>
      <xdr:colOff>89407</xdr:colOff>
      <xdr:row>30</xdr:row>
      <xdr:rowOff>40919</xdr:rowOff>
    </xdr:to>
    <xdr:grpSp>
      <xdr:nvGrpSpPr>
        <xdr:cNvPr id="210" name="Group 73">
          <a:extLst>
            <a:ext uri="{FF2B5EF4-FFF2-40B4-BE49-F238E27FC236}">
              <a16:creationId xmlns:a16="http://schemas.microsoft.com/office/drawing/2014/main" id="{EE10ECF0-4F53-40AC-BA5E-A23DD9F5E566}"/>
            </a:ext>
          </a:extLst>
        </xdr:cNvPr>
        <xdr:cNvGrpSpPr/>
      </xdr:nvGrpSpPr>
      <xdr:grpSpPr>
        <a:xfrm rot="5400000">
          <a:off x="2602056" y="4625256"/>
          <a:ext cx="79493" cy="86334"/>
          <a:chOff x="12175074" y="2285812"/>
          <a:chExt cx="107252" cy="65186"/>
        </a:xfrm>
      </xdr:grpSpPr>
      <xdr:cxnSp macro="">
        <xdr:nvCxnSpPr>
          <xdr:cNvPr id="216" name="Straight Connector 74">
            <a:extLst>
              <a:ext uri="{FF2B5EF4-FFF2-40B4-BE49-F238E27FC236}">
                <a16:creationId xmlns:a16="http://schemas.microsoft.com/office/drawing/2014/main" id="{EA4DC6D7-3259-7397-FBCE-CFC27CABD071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0" name="Straight Connector 75">
            <a:extLst>
              <a:ext uri="{FF2B5EF4-FFF2-40B4-BE49-F238E27FC236}">
                <a16:creationId xmlns:a16="http://schemas.microsoft.com/office/drawing/2014/main" id="{BE4F6393-4BAF-53BF-349B-6AA660BEFEEB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3" name="Straight Connector 76">
            <a:extLst>
              <a:ext uri="{FF2B5EF4-FFF2-40B4-BE49-F238E27FC236}">
                <a16:creationId xmlns:a16="http://schemas.microsoft.com/office/drawing/2014/main" id="{F2CEFC2B-DB4A-9A81-7803-0C5FE59FF1F8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164523</xdr:colOff>
      <xdr:row>33</xdr:row>
      <xdr:rowOff>25977</xdr:rowOff>
    </xdr:from>
    <xdr:to>
      <xdr:col>9</xdr:col>
      <xdr:colOff>311530</xdr:colOff>
      <xdr:row>34</xdr:row>
      <xdr:rowOff>14751</xdr:rowOff>
    </xdr:to>
    <xdr:grpSp>
      <xdr:nvGrpSpPr>
        <xdr:cNvPr id="239" name="Group 13">
          <a:extLst>
            <a:ext uri="{FF2B5EF4-FFF2-40B4-BE49-F238E27FC236}">
              <a16:creationId xmlns:a16="http://schemas.microsoft.com/office/drawing/2014/main" id="{390AACC3-000C-4AA2-9B3B-60E6711FDE4D}"/>
            </a:ext>
          </a:extLst>
        </xdr:cNvPr>
        <xdr:cNvGrpSpPr/>
      </xdr:nvGrpSpPr>
      <xdr:grpSpPr>
        <a:xfrm>
          <a:off x="3141086" y="5157571"/>
          <a:ext cx="147007" cy="143555"/>
          <a:chOff x="9937028" y="802652"/>
          <a:chExt cx="83991" cy="77961"/>
        </a:xfrm>
      </xdr:grpSpPr>
      <xdr:sp macro="" textlink="">
        <xdr:nvSpPr>
          <xdr:cNvPr id="246" name="Oval 1">
            <a:extLst>
              <a:ext uri="{FF2B5EF4-FFF2-40B4-BE49-F238E27FC236}">
                <a16:creationId xmlns:a16="http://schemas.microsoft.com/office/drawing/2014/main" id="{FCC56FFF-242B-A8DA-040E-28E9A4BA74D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48" name="Straight Connector 3">
            <a:extLst>
              <a:ext uri="{FF2B5EF4-FFF2-40B4-BE49-F238E27FC236}">
                <a16:creationId xmlns:a16="http://schemas.microsoft.com/office/drawing/2014/main" id="{22DE1CCA-6EDF-FAA0-AE49-739D6B9C7343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0" name="Straight Connector 7">
            <a:extLst>
              <a:ext uri="{FF2B5EF4-FFF2-40B4-BE49-F238E27FC236}">
                <a16:creationId xmlns:a16="http://schemas.microsoft.com/office/drawing/2014/main" id="{1586CAEC-04AE-67A2-2AEB-2C7E08E77C2B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69273</xdr:colOff>
      <xdr:row>33</xdr:row>
      <xdr:rowOff>69272</xdr:rowOff>
    </xdr:from>
    <xdr:to>
      <xdr:col>11</xdr:col>
      <xdr:colOff>216280</xdr:colOff>
      <xdr:row>34</xdr:row>
      <xdr:rowOff>58046</xdr:rowOff>
    </xdr:to>
    <xdr:grpSp>
      <xdr:nvGrpSpPr>
        <xdr:cNvPr id="273" name="Group 13">
          <a:extLst>
            <a:ext uri="{FF2B5EF4-FFF2-40B4-BE49-F238E27FC236}">
              <a16:creationId xmlns:a16="http://schemas.microsoft.com/office/drawing/2014/main" id="{06F9CC12-E45E-4B8B-9B9D-2ECB57F70C9A}"/>
            </a:ext>
          </a:extLst>
        </xdr:cNvPr>
        <xdr:cNvGrpSpPr/>
      </xdr:nvGrpSpPr>
      <xdr:grpSpPr>
        <a:xfrm>
          <a:off x="3807836" y="5200866"/>
          <a:ext cx="147007" cy="143555"/>
          <a:chOff x="9937028" y="802652"/>
          <a:chExt cx="83991" cy="77961"/>
        </a:xfrm>
      </xdr:grpSpPr>
      <xdr:sp macro="" textlink="">
        <xdr:nvSpPr>
          <xdr:cNvPr id="277" name="Oval 1">
            <a:extLst>
              <a:ext uri="{FF2B5EF4-FFF2-40B4-BE49-F238E27FC236}">
                <a16:creationId xmlns:a16="http://schemas.microsoft.com/office/drawing/2014/main" id="{06255566-A5CF-A82A-1B30-D5C6321B1825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82" name="Straight Connector 3">
            <a:extLst>
              <a:ext uri="{FF2B5EF4-FFF2-40B4-BE49-F238E27FC236}">
                <a16:creationId xmlns:a16="http://schemas.microsoft.com/office/drawing/2014/main" id="{D22B2950-04D7-EE68-140D-81EA76803FC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5" name="Straight Connector 7">
            <a:extLst>
              <a:ext uri="{FF2B5EF4-FFF2-40B4-BE49-F238E27FC236}">
                <a16:creationId xmlns:a16="http://schemas.microsoft.com/office/drawing/2014/main" id="{94935051-30F4-F20A-C030-C178A96DF7A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147204</xdr:colOff>
      <xdr:row>36</xdr:row>
      <xdr:rowOff>112569</xdr:rowOff>
    </xdr:from>
    <xdr:to>
      <xdr:col>9</xdr:col>
      <xdr:colOff>305590</xdr:colOff>
      <xdr:row>37</xdr:row>
      <xdr:rowOff>92682</xdr:rowOff>
    </xdr:to>
    <xdr:grpSp>
      <xdr:nvGrpSpPr>
        <xdr:cNvPr id="292" name="Group 13">
          <a:extLst>
            <a:ext uri="{FF2B5EF4-FFF2-40B4-BE49-F238E27FC236}">
              <a16:creationId xmlns:a16="http://schemas.microsoft.com/office/drawing/2014/main" id="{79A23E70-75F3-47AB-9A18-11FB1DBD6507}"/>
            </a:ext>
          </a:extLst>
        </xdr:cNvPr>
        <xdr:cNvGrpSpPr/>
      </xdr:nvGrpSpPr>
      <xdr:grpSpPr>
        <a:xfrm>
          <a:off x="3123767" y="5708507"/>
          <a:ext cx="158386" cy="146800"/>
          <a:chOff x="9937028" y="802652"/>
          <a:chExt cx="83991" cy="77961"/>
        </a:xfrm>
      </xdr:grpSpPr>
      <xdr:sp macro="" textlink="">
        <xdr:nvSpPr>
          <xdr:cNvPr id="293" name="Oval 1">
            <a:extLst>
              <a:ext uri="{FF2B5EF4-FFF2-40B4-BE49-F238E27FC236}">
                <a16:creationId xmlns:a16="http://schemas.microsoft.com/office/drawing/2014/main" id="{755CBCA3-8D9C-5A9E-8406-CF59ECB5D005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94" name="Straight Connector 3">
            <a:extLst>
              <a:ext uri="{FF2B5EF4-FFF2-40B4-BE49-F238E27FC236}">
                <a16:creationId xmlns:a16="http://schemas.microsoft.com/office/drawing/2014/main" id="{2F3F71B0-A1BF-3E6C-1A4B-F163F34BAFAE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5" name="Straight Connector 7">
            <a:extLst>
              <a:ext uri="{FF2B5EF4-FFF2-40B4-BE49-F238E27FC236}">
                <a16:creationId xmlns:a16="http://schemas.microsoft.com/office/drawing/2014/main" id="{1DAA46C6-DD30-B6D0-DB88-DB932CC58593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51954</xdr:colOff>
      <xdr:row>36</xdr:row>
      <xdr:rowOff>147205</xdr:rowOff>
    </xdr:from>
    <xdr:to>
      <xdr:col>11</xdr:col>
      <xdr:colOff>210340</xdr:colOff>
      <xdr:row>37</xdr:row>
      <xdr:rowOff>127318</xdr:rowOff>
    </xdr:to>
    <xdr:grpSp>
      <xdr:nvGrpSpPr>
        <xdr:cNvPr id="296" name="Group 13">
          <a:extLst>
            <a:ext uri="{FF2B5EF4-FFF2-40B4-BE49-F238E27FC236}">
              <a16:creationId xmlns:a16="http://schemas.microsoft.com/office/drawing/2014/main" id="{64F279BC-BE83-4683-83BD-E10B647AC863}"/>
            </a:ext>
          </a:extLst>
        </xdr:cNvPr>
        <xdr:cNvGrpSpPr/>
      </xdr:nvGrpSpPr>
      <xdr:grpSpPr>
        <a:xfrm>
          <a:off x="3790517" y="5743143"/>
          <a:ext cx="158386" cy="146800"/>
          <a:chOff x="9937028" y="802652"/>
          <a:chExt cx="83991" cy="77961"/>
        </a:xfrm>
      </xdr:grpSpPr>
      <xdr:sp macro="" textlink="">
        <xdr:nvSpPr>
          <xdr:cNvPr id="297" name="Oval 1">
            <a:extLst>
              <a:ext uri="{FF2B5EF4-FFF2-40B4-BE49-F238E27FC236}">
                <a16:creationId xmlns:a16="http://schemas.microsoft.com/office/drawing/2014/main" id="{B204FD02-24E6-56E9-D958-6CA54431049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98" name="Straight Connector 3">
            <a:extLst>
              <a:ext uri="{FF2B5EF4-FFF2-40B4-BE49-F238E27FC236}">
                <a16:creationId xmlns:a16="http://schemas.microsoft.com/office/drawing/2014/main" id="{6C9BCE90-0752-2EEC-32EF-4A047104D964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9" name="Straight Connector 7">
            <a:extLst>
              <a:ext uri="{FF2B5EF4-FFF2-40B4-BE49-F238E27FC236}">
                <a16:creationId xmlns:a16="http://schemas.microsoft.com/office/drawing/2014/main" id="{1462CE45-73D4-771C-0DC3-E303AC46105A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305590</xdr:colOff>
      <xdr:row>37</xdr:row>
      <xdr:rowOff>20364</xdr:rowOff>
    </xdr:from>
    <xdr:to>
      <xdr:col>11</xdr:col>
      <xdr:colOff>51954</xdr:colOff>
      <xdr:row>37</xdr:row>
      <xdr:rowOff>55000</xdr:rowOff>
    </xdr:to>
    <xdr:cxnSp macro="">
      <xdr:nvCxnSpPr>
        <xdr:cNvPr id="311" name="Straight Connector 310">
          <a:extLst>
            <a:ext uri="{FF2B5EF4-FFF2-40B4-BE49-F238E27FC236}">
              <a16:creationId xmlns:a16="http://schemas.microsoft.com/office/drawing/2014/main" id="{7E6C4864-F8A6-427C-B762-7E77D7AC953F}"/>
            </a:ext>
          </a:extLst>
        </xdr:cNvPr>
        <xdr:cNvCxnSpPr>
          <a:cxnSpLocks/>
          <a:stCxn id="293" idx="6"/>
          <a:endCxn id="297" idx="2"/>
        </xdr:cNvCxnSpPr>
      </xdr:nvCxnSpPr>
      <xdr:spPr bwMode="auto">
        <a:xfrm>
          <a:off x="3275658" y="5813296"/>
          <a:ext cx="508364" cy="3463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181841</xdr:colOff>
      <xdr:row>37</xdr:row>
      <xdr:rowOff>69273</xdr:rowOff>
    </xdr:from>
    <xdr:to>
      <xdr:col>12</xdr:col>
      <xdr:colOff>297797</xdr:colOff>
      <xdr:row>39</xdr:row>
      <xdr:rowOff>115116</xdr:rowOff>
    </xdr:to>
    <xdr:cxnSp macro="">
      <xdr:nvCxnSpPr>
        <xdr:cNvPr id="314" name="Straight Connector 313">
          <a:extLst>
            <a:ext uri="{FF2B5EF4-FFF2-40B4-BE49-F238E27FC236}">
              <a16:creationId xmlns:a16="http://schemas.microsoft.com/office/drawing/2014/main" id="{8403B5FA-BFE1-4426-9419-4BF098E77E43}"/>
            </a:ext>
          </a:extLst>
        </xdr:cNvPr>
        <xdr:cNvCxnSpPr>
          <a:cxnSpLocks/>
          <a:endCxn id="221" idx="1"/>
        </xdr:cNvCxnSpPr>
      </xdr:nvCxnSpPr>
      <xdr:spPr bwMode="auto">
        <a:xfrm>
          <a:off x="3913909" y="5862205"/>
          <a:ext cx="496956" cy="36622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17318</xdr:colOff>
      <xdr:row>38</xdr:row>
      <xdr:rowOff>60613</xdr:rowOff>
    </xdr:from>
    <xdr:to>
      <xdr:col>12</xdr:col>
      <xdr:colOff>156453</xdr:colOff>
      <xdr:row>38</xdr:row>
      <xdr:rowOff>130834</xdr:rowOff>
    </xdr:to>
    <xdr:grpSp>
      <xdr:nvGrpSpPr>
        <xdr:cNvPr id="316" name="Grup 244">
          <a:extLst>
            <a:ext uri="{FF2B5EF4-FFF2-40B4-BE49-F238E27FC236}">
              <a16:creationId xmlns:a16="http://schemas.microsoft.com/office/drawing/2014/main" id="{097C7B1C-F9D5-490E-9996-F1975EAE4FD7}"/>
            </a:ext>
          </a:extLst>
        </xdr:cNvPr>
        <xdr:cNvGrpSpPr/>
      </xdr:nvGrpSpPr>
      <xdr:grpSpPr>
        <a:xfrm>
          <a:off x="4136881" y="5989926"/>
          <a:ext cx="139135" cy="70221"/>
          <a:chOff x="13302191" y="2320613"/>
          <a:chExt cx="139135" cy="57233"/>
        </a:xfrm>
      </xdr:grpSpPr>
      <xdr:cxnSp macro="">
        <xdr:nvCxnSpPr>
          <xdr:cNvPr id="317" name="Straight Connector 81">
            <a:extLst>
              <a:ext uri="{FF2B5EF4-FFF2-40B4-BE49-F238E27FC236}">
                <a16:creationId xmlns:a16="http://schemas.microsoft.com/office/drawing/2014/main" id="{4939C897-BE0E-9278-0E2D-7D3D23980876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8" name="Straight Connector 82">
            <a:extLst>
              <a:ext uri="{FF2B5EF4-FFF2-40B4-BE49-F238E27FC236}">
                <a16:creationId xmlns:a16="http://schemas.microsoft.com/office/drawing/2014/main" id="{30E22CCA-86CF-2FE2-F592-0D03425E11CA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9" name="Straight Connector 83">
            <a:extLst>
              <a:ext uri="{FF2B5EF4-FFF2-40B4-BE49-F238E27FC236}">
                <a16:creationId xmlns:a16="http://schemas.microsoft.com/office/drawing/2014/main" id="{4C7F87C6-0B9D-F988-6026-931FAF110902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0" name="Straight Connector 84">
            <a:extLst>
              <a:ext uri="{FF2B5EF4-FFF2-40B4-BE49-F238E27FC236}">
                <a16:creationId xmlns:a16="http://schemas.microsoft.com/office/drawing/2014/main" id="{9B761E02-B1C6-8A94-898D-C49DC943663A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103910</xdr:colOff>
      <xdr:row>36</xdr:row>
      <xdr:rowOff>164522</xdr:rowOff>
    </xdr:from>
    <xdr:to>
      <xdr:col>10</xdr:col>
      <xdr:colOff>243045</xdr:colOff>
      <xdr:row>37</xdr:row>
      <xdr:rowOff>70220</xdr:rowOff>
    </xdr:to>
    <xdr:grpSp>
      <xdr:nvGrpSpPr>
        <xdr:cNvPr id="321" name="Grup 244">
          <a:extLst>
            <a:ext uri="{FF2B5EF4-FFF2-40B4-BE49-F238E27FC236}">
              <a16:creationId xmlns:a16="http://schemas.microsoft.com/office/drawing/2014/main" id="{ED0FCEBB-BB26-4CBE-ABA9-21C0B918BFD5}"/>
            </a:ext>
          </a:extLst>
        </xdr:cNvPr>
        <xdr:cNvGrpSpPr/>
      </xdr:nvGrpSpPr>
      <xdr:grpSpPr>
        <a:xfrm>
          <a:off x="3461473" y="5760460"/>
          <a:ext cx="139135" cy="72385"/>
          <a:chOff x="13302191" y="2320613"/>
          <a:chExt cx="139135" cy="57233"/>
        </a:xfrm>
      </xdr:grpSpPr>
      <xdr:cxnSp macro="">
        <xdr:nvCxnSpPr>
          <xdr:cNvPr id="322" name="Straight Connector 81">
            <a:extLst>
              <a:ext uri="{FF2B5EF4-FFF2-40B4-BE49-F238E27FC236}">
                <a16:creationId xmlns:a16="http://schemas.microsoft.com/office/drawing/2014/main" id="{088CCD69-16BE-911C-BFE1-F69235A12ED6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3" name="Straight Connector 82">
            <a:extLst>
              <a:ext uri="{FF2B5EF4-FFF2-40B4-BE49-F238E27FC236}">
                <a16:creationId xmlns:a16="http://schemas.microsoft.com/office/drawing/2014/main" id="{6A0388D1-8C3D-ECFA-CA1C-C63316B96B05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4" name="Straight Connector 83">
            <a:extLst>
              <a:ext uri="{FF2B5EF4-FFF2-40B4-BE49-F238E27FC236}">
                <a16:creationId xmlns:a16="http://schemas.microsoft.com/office/drawing/2014/main" id="{B6C136C5-BD2F-125C-2FDD-1119D4BEBF57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5" name="Straight Connector 84">
            <a:extLst>
              <a:ext uri="{FF2B5EF4-FFF2-40B4-BE49-F238E27FC236}">
                <a16:creationId xmlns:a16="http://schemas.microsoft.com/office/drawing/2014/main" id="{779735C5-E5DC-0B43-3064-40D6F1D93913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216478</xdr:colOff>
      <xdr:row>37</xdr:row>
      <xdr:rowOff>17318</xdr:rowOff>
    </xdr:from>
    <xdr:to>
      <xdr:col>12</xdr:col>
      <xdr:colOff>27883</xdr:colOff>
      <xdr:row>37</xdr:row>
      <xdr:rowOff>28748</xdr:rowOff>
    </xdr:to>
    <xdr:cxnSp macro="">
      <xdr:nvCxnSpPr>
        <xdr:cNvPr id="348" name="Straight Arrow Connector 166">
          <a:extLst>
            <a:ext uri="{FF2B5EF4-FFF2-40B4-BE49-F238E27FC236}">
              <a16:creationId xmlns:a16="http://schemas.microsoft.com/office/drawing/2014/main" id="{5B73F603-FC43-4762-8A5D-08AFCA6E1CD5}"/>
            </a:ext>
          </a:extLst>
        </xdr:cNvPr>
        <xdr:cNvCxnSpPr>
          <a:cxnSpLocks/>
        </xdr:cNvCxnSpPr>
      </xdr:nvCxnSpPr>
      <xdr:spPr>
        <a:xfrm flipV="1">
          <a:off x="3948546" y="5810250"/>
          <a:ext cx="192405" cy="114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140278</xdr:colOff>
      <xdr:row>39</xdr:row>
      <xdr:rowOff>34637</xdr:rowOff>
    </xdr:from>
    <xdr:to>
      <xdr:col>15</xdr:col>
      <xdr:colOff>123826</xdr:colOff>
      <xdr:row>40</xdr:row>
      <xdr:rowOff>114300</xdr:rowOff>
    </xdr:to>
    <xdr:sp macro="" textlink="">
      <xdr:nvSpPr>
        <xdr:cNvPr id="352" name="TextBox 157">
          <a:extLst>
            <a:ext uri="{FF2B5EF4-FFF2-40B4-BE49-F238E27FC236}">
              <a16:creationId xmlns:a16="http://schemas.microsoft.com/office/drawing/2014/main" id="{5D4DEEF5-6914-4EF2-A461-E3E83E701916}"/>
            </a:ext>
          </a:extLst>
        </xdr:cNvPr>
        <xdr:cNvSpPr txBox="1"/>
      </xdr:nvSpPr>
      <xdr:spPr>
        <a:xfrm>
          <a:off x="4636078" y="6016337"/>
          <a:ext cx="745548" cy="232063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xx-YY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APP</a:t>
          </a:r>
          <a:r>
            <a:rPr lang="en-US" sz="8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82,5</a:t>
          </a:r>
          <a:r>
            <a:rPr lang="xx-YY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KVA</a:t>
          </a:r>
          <a:endParaRPr lang="id-ID" sz="8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345875</xdr:colOff>
      <xdr:row>26</xdr:row>
      <xdr:rowOff>130753</xdr:rowOff>
    </xdr:from>
    <xdr:to>
      <xdr:col>7</xdr:col>
      <xdr:colOff>367145</xdr:colOff>
      <xdr:row>37</xdr:row>
      <xdr:rowOff>36196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8F640218-A989-4DB4-BD8C-DEF1E5B286B1}"/>
            </a:ext>
          </a:extLst>
        </xdr:cNvPr>
        <xdr:cNvCxnSpPr>
          <a:cxnSpLocks/>
          <a:endCxn id="127" idx="2"/>
        </xdr:cNvCxnSpPr>
      </xdr:nvCxnSpPr>
      <xdr:spPr bwMode="auto">
        <a:xfrm flipH="1">
          <a:off x="2555675" y="4121728"/>
          <a:ext cx="21270" cy="1581843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103910</xdr:colOff>
      <xdr:row>37</xdr:row>
      <xdr:rowOff>34637</xdr:rowOff>
    </xdr:from>
    <xdr:to>
      <xdr:col>9</xdr:col>
      <xdr:colOff>164523</xdr:colOff>
      <xdr:row>37</xdr:row>
      <xdr:rowOff>37683</xdr:rowOff>
    </xdr:to>
    <xdr:cxnSp macro="">
      <xdr:nvCxnSpPr>
        <xdr:cNvPr id="196" name="Straight Connector 195">
          <a:extLst>
            <a:ext uri="{FF2B5EF4-FFF2-40B4-BE49-F238E27FC236}">
              <a16:creationId xmlns:a16="http://schemas.microsoft.com/office/drawing/2014/main" id="{44CB180F-43E2-42C7-83EE-C56C49A61593}"/>
            </a:ext>
          </a:extLst>
        </xdr:cNvPr>
        <xdr:cNvCxnSpPr>
          <a:cxnSpLocks/>
        </xdr:cNvCxnSpPr>
      </xdr:nvCxnSpPr>
      <xdr:spPr bwMode="auto">
        <a:xfrm>
          <a:off x="2692978" y="5827569"/>
          <a:ext cx="441613" cy="304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230497</xdr:colOff>
      <xdr:row>30</xdr:row>
      <xdr:rowOff>27176</xdr:rowOff>
    </xdr:from>
    <xdr:to>
      <xdr:col>9</xdr:col>
      <xdr:colOff>238125</xdr:colOff>
      <xdr:row>33</xdr:row>
      <xdr:rowOff>38100</xdr:rowOff>
    </xdr:to>
    <xdr:cxnSp macro="">
      <xdr:nvCxnSpPr>
        <xdr:cNvPr id="412" name="Straight Connector 411">
          <a:extLst>
            <a:ext uri="{FF2B5EF4-FFF2-40B4-BE49-F238E27FC236}">
              <a16:creationId xmlns:a16="http://schemas.microsoft.com/office/drawing/2014/main" id="{9414482B-CDC8-4BFB-893A-717788FE1E72}"/>
            </a:ext>
          </a:extLst>
        </xdr:cNvPr>
        <xdr:cNvCxnSpPr>
          <a:cxnSpLocks/>
          <a:stCxn id="235" idx="4"/>
        </xdr:cNvCxnSpPr>
      </xdr:nvCxnSpPr>
      <xdr:spPr bwMode="auto">
        <a:xfrm>
          <a:off x="3202297" y="4618226"/>
          <a:ext cx="7628" cy="46812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170050</xdr:colOff>
      <xdr:row>31</xdr:row>
      <xdr:rowOff>1400</xdr:rowOff>
    </xdr:from>
    <xdr:to>
      <xdr:col>9</xdr:col>
      <xdr:colOff>312498</xdr:colOff>
      <xdr:row>31</xdr:row>
      <xdr:rowOff>64845</xdr:rowOff>
    </xdr:to>
    <xdr:grpSp>
      <xdr:nvGrpSpPr>
        <xdr:cNvPr id="415" name="Grup 239">
          <a:extLst>
            <a:ext uri="{FF2B5EF4-FFF2-40B4-BE49-F238E27FC236}">
              <a16:creationId xmlns:a16="http://schemas.microsoft.com/office/drawing/2014/main" id="{D2500212-B4EE-41D6-8BD9-8F1BC7AF2F2E}"/>
            </a:ext>
          </a:extLst>
        </xdr:cNvPr>
        <xdr:cNvGrpSpPr/>
      </xdr:nvGrpSpPr>
      <xdr:grpSpPr>
        <a:xfrm rot="21347833">
          <a:off x="3146613" y="4823431"/>
          <a:ext cx="142448" cy="63445"/>
          <a:chOff x="13302191" y="2320613"/>
          <a:chExt cx="139135" cy="57233"/>
        </a:xfrm>
      </xdr:grpSpPr>
      <xdr:cxnSp macro="">
        <xdr:nvCxnSpPr>
          <xdr:cNvPr id="416" name="Straight Connector 81">
            <a:extLst>
              <a:ext uri="{FF2B5EF4-FFF2-40B4-BE49-F238E27FC236}">
                <a16:creationId xmlns:a16="http://schemas.microsoft.com/office/drawing/2014/main" id="{D3DA2D74-9F2C-D77F-0F61-360D398C4922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7" name="Straight Connector 82">
            <a:extLst>
              <a:ext uri="{FF2B5EF4-FFF2-40B4-BE49-F238E27FC236}">
                <a16:creationId xmlns:a16="http://schemas.microsoft.com/office/drawing/2014/main" id="{3E22EA77-9EF3-3C36-3010-E51CF01BDBA7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8" name="Straight Connector 83">
            <a:extLst>
              <a:ext uri="{FF2B5EF4-FFF2-40B4-BE49-F238E27FC236}">
                <a16:creationId xmlns:a16="http://schemas.microsoft.com/office/drawing/2014/main" id="{EE73391C-3990-E33C-D3F0-17FCFC5A1317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9" name="Straight Connector 84">
            <a:extLst>
              <a:ext uri="{FF2B5EF4-FFF2-40B4-BE49-F238E27FC236}">
                <a16:creationId xmlns:a16="http://schemas.microsoft.com/office/drawing/2014/main" id="{5E447DEA-E4B4-2053-417E-8CEA619C8B44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266700</xdr:colOff>
      <xdr:row>27</xdr:row>
      <xdr:rowOff>85725</xdr:rowOff>
    </xdr:from>
    <xdr:to>
      <xdr:col>8</xdr:col>
      <xdr:colOff>330145</xdr:colOff>
      <xdr:row>28</xdr:row>
      <xdr:rowOff>75773</xdr:rowOff>
    </xdr:to>
    <xdr:grpSp>
      <xdr:nvGrpSpPr>
        <xdr:cNvPr id="420" name="Grup 239">
          <a:extLst>
            <a:ext uri="{FF2B5EF4-FFF2-40B4-BE49-F238E27FC236}">
              <a16:creationId xmlns:a16="http://schemas.microsoft.com/office/drawing/2014/main" id="{FFEA5E46-A9B9-48A1-83D6-5BD972B8E036}"/>
            </a:ext>
          </a:extLst>
        </xdr:cNvPr>
        <xdr:cNvGrpSpPr/>
      </xdr:nvGrpSpPr>
      <xdr:grpSpPr>
        <a:xfrm rot="17616228">
          <a:off x="2821571" y="4341230"/>
          <a:ext cx="144829" cy="63445"/>
          <a:chOff x="13302191" y="2320613"/>
          <a:chExt cx="139135" cy="57233"/>
        </a:xfrm>
      </xdr:grpSpPr>
      <xdr:cxnSp macro="">
        <xdr:nvCxnSpPr>
          <xdr:cNvPr id="421" name="Straight Connector 81">
            <a:extLst>
              <a:ext uri="{FF2B5EF4-FFF2-40B4-BE49-F238E27FC236}">
                <a16:creationId xmlns:a16="http://schemas.microsoft.com/office/drawing/2014/main" id="{49925153-2F3B-FCA2-77E6-39A3CB592114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22" name="Straight Connector 82">
            <a:extLst>
              <a:ext uri="{FF2B5EF4-FFF2-40B4-BE49-F238E27FC236}">
                <a16:creationId xmlns:a16="http://schemas.microsoft.com/office/drawing/2014/main" id="{D2FBCF29-00A0-7A34-C6B0-C7EEBE846906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23" name="Straight Connector 83">
            <a:extLst>
              <a:ext uri="{FF2B5EF4-FFF2-40B4-BE49-F238E27FC236}">
                <a16:creationId xmlns:a16="http://schemas.microsoft.com/office/drawing/2014/main" id="{B544ACDD-D2A7-D7E9-6280-0BCC774A2D84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24" name="Straight Connector 84">
            <a:extLst>
              <a:ext uri="{FF2B5EF4-FFF2-40B4-BE49-F238E27FC236}">
                <a16:creationId xmlns:a16="http://schemas.microsoft.com/office/drawing/2014/main" id="{47C81C48-1974-E11F-75C9-6B3BCC14F430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103900</xdr:colOff>
      <xdr:row>27</xdr:row>
      <xdr:rowOff>11439</xdr:rowOff>
    </xdr:from>
    <xdr:to>
      <xdr:col>9</xdr:col>
      <xdr:colOff>178522</xdr:colOff>
      <xdr:row>29</xdr:row>
      <xdr:rowOff>50290</xdr:rowOff>
    </xdr:to>
    <xdr:cxnSp macro="">
      <xdr:nvCxnSpPr>
        <xdr:cNvPr id="425" name="Straight Connector 424">
          <a:extLst>
            <a:ext uri="{FF2B5EF4-FFF2-40B4-BE49-F238E27FC236}">
              <a16:creationId xmlns:a16="http://schemas.microsoft.com/office/drawing/2014/main" id="{B585B4E0-120A-48B3-AE41-04CDA0661ED5}"/>
            </a:ext>
          </a:extLst>
        </xdr:cNvPr>
        <xdr:cNvCxnSpPr>
          <a:cxnSpLocks/>
          <a:stCxn id="191" idx="5"/>
          <a:endCxn id="235" idx="1"/>
        </xdr:cNvCxnSpPr>
      </xdr:nvCxnSpPr>
      <xdr:spPr bwMode="auto">
        <a:xfrm>
          <a:off x="2694700" y="4154814"/>
          <a:ext cx="455622" cy="34365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12</xdr:row>
      <xdr:rowOff>114300</xdr:rowOff>
    </xdr:from>
    <xdr:to>
      <xdr:col>8</xdr:col>
      <xdr:colOff>144552</xdr:colOff>
      <xdr:row>13</xdr:row>
      <xdr:rowOff>101208</xdr:rowOff>
    </xdr:to>
    <xdr:grpSp>
      <xdr:nvGrpSpPr>
        <xdr:cNvPr id="428" name="Group 13">
          <a:extLst>
            <a:ext uri="{FF2B5EF4-FFF2-40B4-BE49-F238E27FC236}">
              <a16:creationId xmlns:a16="http://schemas.microsoft.com/office/drawing/2014/main" id="{CF256243-0261-4578-B6AB-DCE40BF2575B}"/>
            </a:ext>
          </a:extLst>
        </xdr:cNvPr>
        <xdr:cNvGrpSpPr/>
      </xdr:nvGrpSpPr>
      <xdr:grpSpPr>
        <a:xfrm>
          <a:off x="2595563" y="1995488"/>
          <a:ext cx="144552" cy="153595"/>
          <a:chOff x="9937028" y="802652"/>
          <a:chExt cx="83991" cy="77961"/>
        </a:xfrm>
      </xdr:grpSpPr>
      <xdr:sp macro="" textlink="">
        <xdr:nvSpPr>
          <xdr:cNvPr id="429" name="Oval 1">
            <a:extLst>
              <a:ext uri="{FF2B5EF4-FFF2-40B4-BE49-F238E27FC236}">
                <a16:creationId xmlns:a16="http://schemas.microsoft.com/office/drawing/2014/main" id="{935758B9-4E1D-731A-BBB5-7BB07833EDA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30" name="Straight Connector 3">
            <a:extLst>
              <a:ext uri="{FF2B5EF4-FFF2-40B4-BE49-F238E27FC236}">
                <a16:creationId xmlns:a16="http://schemas.microsoft.com/office/drawing/2014/main" id="{8B63E213-DC0C-C695-0083-ABF3350A4D0A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1" name="Straight Connector 7">
            <a:extLst>
              <a:ext uri="{FF2B5EF4-FFF2-40B4-BE49-F238E27FC236}">
                <a16:creationId xmlns:a16="http://schemas.microsoft.com/office/drawing/2014/main" id="{3F76B64D-A466-696F-4156-011F4EA6DFD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123825</xdr:colOff>
      <xdr:row>13</xdr:row>
      <xdr:rowOff>26792</xdr:rowOff>
    </xdr:from>
    <xdr:to>
      <xdr:col>8</xdr:col>
      <xdr:colOff>144552</xdr:colOff>
      <xdr:row>26</xdr:row>
      <xdr:rowOff>104775</xdr:rowOff>
    </xdr:to>
    <xdr:cxnSp macro="">
      <xdr:nvCxnSpPr>
        <xdr:cNvPr id="434" name="Straight Connector 433">
          <a:extLst>
            <a:ext uri="{FF2B5EF4-FFF2-40B4-BE49-F238E27FC236}">
              <a16:creationId xmlns:a16="http://schemas.microsoft.com/office/drawing/2014/main" id="{586625F1-A95D-4FB1-9EFA-D7396D425C43}"/>
            </a:ext>
          </a:extLst>
        </xdr:cNvPr>
        <xdr:cNvCxnSpPr>
          <a:cxnSpLocks/>
          <a:stCxn id="429" idx="6"/>
        </xdr:cNvCxnSpPr>
      </xdr:nvCxnSpPr>
      <xdr:spPr bwMode="auto">
        <a:xfrm flipH="1">
          <a:off x="2714625" y="2036567"/>
          <a:ext cx="20727" cy="2059183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66675</xdr:colOff>
      <xdr:row>22</xdr:row>
      <xdr:rowOff>104775</xdr:rowOff>
    </xdr:from>
    <xdr:to>
      <xdr:col>8</xdr:col>
      <xdr:colOff>209123</xdr:colOff>
      <xdr:row>23</xdr:row>
      <xdr:rowOff>15820</xdr:rowOff>
    </xdr:to>
    <xdr:grpSp>
      <xdr:nvGrpSpPr>
        <xdr:cNvPr id="438" name="Grup 239">
          <a:extLst>
            <a:ext uri="{FF2B5EF4-FFF2-40B4-BE49-F238E27FC236}">
              <a16:creationId xmlns:a16="http://schemas.microsoft.com/office/drawing/2014/main" id="{B96B53E7-D014-4144-943E-9810FF2B293C}"/>
            </a:ext>
          </a:extLst>
        </xdr:cNvPr>
        <xdr:cNvGrpSpPr/>
      </xdr:nvGrpSpPr>
      <xdr:grpSpPr>
        <a:xfrm rot="21347833">
          <a:off x="2662238" y="3545681"/>
          <a:ext cx="142448" cy="65827"/>
          <a:chOff x="13302191" y="2320613"/>
          <a:chExt cx="139135" cy="57233"/>
        </a:xfrm>
      </xdr:grpSpPr>
      <xdr:cxnSp macro="">
        <xdr:nvCxnSpPr>
          <xdr:cNvPr id="439" name="Straight Connector 81">
            <a:extLst>
              <a:ext uri="{FF2B5EF4-FFF2-40B4-BE49-F238E27FC236}">
                <a16:creationId xmlns:a16="http://schemas.microsoft.com/office/drawing/2014/main" id="{17932759-3CD3-2B86-27B0-9678C9E8F41A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0" name="Straight Connector 82">
            <a:extLst>
              <a:ext uri="{FF2B5EF4-FFF2-40B4-BE49-F238E27FC236}">
                <a16:creationId xmlns:a16="http://schemas.microsoft.com/office/drawing/2014/main" id="{B410DFC4-2CA2-EFDB-2C70-F13CED20B1E3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1" name="Straight Connector 83">
            <a:extLst>
              <a:ext uri="{FF2B5EF4-FFF2-40B4-BE49-F238E27FC236}">
                <a16:creationId xmlns:a16="http://schemas.microsoft.com/office/drawing/2014/main" id="{E40F303D-A479-7049-86ED-20AF5D34B966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2" name="Straight Connector 84">
            <a:extLst>
              <a:ext uri="{FF2B5EF4-FFF2-40B4-BE49-F238E27FC236}">
                <a16:creationId xmlns:a16="http://schemas.microsoft.com/office/drawing/2014/main" id="{0AF6516D-F915-07BE-C98D-098990E0213B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85726</xdr:colOff>
      <xdr:row>15</xdr:row>
      <xdr:rowOff>142875</xdr:rowOff>
    </xdr:from>
    <xdr:to>
      <xdr:col>8</xdr:col>
      <xdr:colOff>228174</xdr:colOff>
      <xdr:row>16</xdr:row>
      <xdr:rowOff>53920</xdr:rowOff>
    </xdr:to>
    <xdr:grpSp>
      <xdr:nvGrpSpPr>
        <xdr:cNvPr id="443" name="Grup 239">
          <a:extLst>
            <a:ext uri="{FF2B5EF4-FFF2-40B4-BE49-F238E27FC236}">
              <a16:creationId xmlns:a16="http://schemas.microsoft.com/office/drawing/2014/main" id="{B202CEE5-5FE1-4BD9-A924-DCD2BE04BA6B}"/>
            </a:ext>
          </a:extLst>
        </xdr:cNvPr>
        <xdr:cNvGrpSpPr/>
      </xdr:nvGrpSpPr>
      <xdr:grpSpPr>
        <a:xfrm rot="21347833">
          <a:off x="2681289" y="2500313"/>
          <a:ext cx="142448" cy="65826"/>
          <a:chOff x="13302191" y="2320613"/>
          <a:chExt cx="139135" cy="57233"/>
        </a:xfrm>
      </xdr:grpSpPr>
      <xdr:cxnSp macro="">
        <xdr:nvCxnSpPr>
          <xdr:cNvPr id="444" name="Straight Connector 81">
            <a:extLst>
              <a:ext uri="{FF2B5EF4-FFF2-40B4-BE49-F238E27FC236}">
                <a16:creationId xmlns:a16="http://schemas.microsoft.com/office/drawing/2014/main" id="{3FE42DA0-3356-E079-452B-0D800AAF9AAE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5" name="Straight Connector 82">
            <a:extLst>
              <a:ext uri="{FF2B5EF4-FFF2-40B4-BE49-F238E27FC236}">
                <a16:creationId xmlns:a16="http://schemas.microsoft.com/office/drawing/2014/main" id="{8B03BBDB-8748-C4A9-03F4-B61A9303A0C2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6" name="Straight Connector 83">
            <a:extLst>
              <a:ext uri="{FF2B5EF4-FFF2-40B4-BE49-F238E27FC236}">
                <a16:creationId xmlns:a16="http://schemas.microsoft.com/office/drawing/2014/main" id="{365F7AAD-1D42-F972-FAF3-804409B61880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7" name="Straight Connector 84">
            <a:extLst>
              <a:ext uri="{FF2B5EF4-FFF2-40B4-BE49-F238E27FC236}">
                <a16:creationId xmlns:a16="http://schemas.microsoft.com/office/drawing/2014/main" id="{49511AC7-E4FC-0061-DA18-D10DFC35C82C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300038</xdr:colOff>
      <xdr:row>10</xdr:row>
      <xdr:rowOff>109538</xdr:rowOff>
    </xdr:from>
    <xdr:to>
      <xdr:col>13</xdr:col>
      <xdr:colOff>133350</xdr:colOff>
      <xdr:row>11</xdr:row>
      <xdr:rowOff>104776</xdr:rowOff>
    </xdr:to>
    <xdr:sp macro="" textlink="">
      <xdr:nvSpPr>
        <xdr:cNvPr id="448" name="TextBox 447">
          <a:extLst>
            <a:ext uri="{FF2B5EF4-FFF2-40B4-BE49-F238E27FC236}">
              <a16:creationId xmlns:a16="http://schemas.microsoft.com/office/drawing/2014/main" id="{0E6C508D-A064-4BD1-A7E9-5966E8770A33}"/>
            </a:ext>
          </a:extLst>
        </xdr:cNvPr>
        <xdr:cNvSpPr txBox="1"/>
      </xdr:nvSpPr>
      <xdr:spPr>
        <a:xfrm>
          <a:off x="2890838" y="1652588"/>
          <a:ext cx="1738312" cy="147638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11</xdr:col>
      <xdr:colOff>85725</xdr:colOff>
      <xdr:row>9</xdr:row>
      <xdr:rowOff>66675</xdr:rowOff>
    </xdr:from>
    <xdr:to>
      <xdr:col>11</xdr:col>
      <xdr:colOff>230277</xdr:colOff>
      <xdr:row>10</xdr:row>
      <xdr:rowOff>63108</xdr:rowOff>
    </xdr:to>
    <xdr:grpSp>
      <xdr:nvGrpSpPr>
        <xdr:cNvPr id="449" name="Group 13">
          <a:extLst>
            <a:ext uri="{FF2B5EF4-FFF2-40B4-BE49-F238E27FC236}">
              <a16:creationId xmlns:a16="http://schemas.microsoft.com/office/drawing/2014/main" id="{358B0EB6-2322-4298-A231-A56CA18ED09D}"/>
            </a:ext>
          </a:extLst>
        </xdr:cNvPr>
        <xdr:cNvGrpSpPr/>
      </xdr:nvGrpSpPr>
      <xdr:grpSpPr>
        <a:xfrm>
          <a:off x="3824288" y="1483519"/>
          <a:ext cx="144552" cy="151214"/>
          <a:chOff x="9937028" y="802652"/>
          <a:chExt cx="83991" cy="77961"/>
        </a:xfrm>
      </xdr:grpSpPr>
      <xdr:sp macro="" textlink="">
        <xdr:nvSpPr>
          <xdr:cNvPr id="450" name="Oval 1">
            <a:extLst>
              <a:ext uri="{FF2B5EF4-FFF2-40B4-BE49-F238E27FC236}">
                <a16:creationId xmlns:a16="http://schemas.microsoft.com/office/drawing/2014/main" id="{4918523A-23B3-F9DA-0A9E-DBB8C4F08E6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51" name="Straight Connector 3">
            <a:extLst>
              <a:ext uri="{FF2B5EF4-FFF2-40B4-BE49-F238E27FC236}">
                <a16:creationId xmlns:a16="http://schemas.microsoft.com/office/drawing/2014/main" id="{1C939612-4419-A460-D1BD-F4A3BE3DC841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2" name="Straight Connector 7">
            <a:extLst>
              <a:ext uri="{FF2B5EF4-FFF2-40B4-BE49-F238E27FC236}">
                <a16:creationId xmlns:a16="http://schemas.microsoft.com/office/drawing/2014/main" id="{8B49BAEF-8929-FD56-82DC-7AFFCEDE2710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171450</xdr:colOff>
      <xdr:row>9</xdr:row>
      <xdr:rowOff>66675</xdr:rowOff>
    </xdr:from>
    <xdr:to>
      <xdr:col>9</xdr:col>
      <xdr:colOff>316002</xdr:colOff>
      <xdr:row>10</xdr:row>
      <xdr:rowOff>63108</xdr:rowOff>
    </xdr:to>
    <xdr:grpSp>
      <xdr:nvGrpSpPr>
        <xdr:cNvPr id="453" name="Group 13">
          <a:extLst>
            <a:ext uri="{FF2B5EF4-FFF2-40B4-BE49-F238E27FC236}">
              <a16:creationId xmlns:a16="http://schemas.microsoft.com/office/drawing/2014/main" id="{B46B0121-54A9-42BC-B62B-CE8A44DEFC4E}"/>
            </a:ext>
          </a:extLst>
        </xdr:cNvPr>
        <xdr:cNvGrpSpPr/>
      </xdr:nvGrpSpPr>
      <xdr:grpSpPr>
        <a:xfrm>
          <a:off x="3148013" y="1483519"/>
          <a:ext cx="144552" cy="151214"/>
          <a:chOff x="9937028" y="802652"/>
          <a:chExt cx="83991" cy="77961"/>
        </a:xfrm>
      </xdr:grpSpPr>
      <xdr:sp macro="" textlink="">
        <xdr:nvSpPr>
          <xdr:cNvPr id="454" name="Oval 1">
            <a:extLst>
              <a:ext uri="{FF2B5EF4-FFF2-40B4-BE49-F238E27FC236}">
                <a16:creationId xmlns:a16="http://schemas.microsoft.com/office/drawing/2014/main" id="{0F587240-03DE-F02F-770C-F036FECA58B6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55" name="Straight Connector 3">
            <a:extLst>
              <a:ext uri="{FF2B5EF4-FFF2-40B4-BE49-F238E27FC236}">
                <a16:creationId xmlns:a16="http://schemas.microsoft.com/office/drawing/2014/main" id="{4A1DDC78-8C33-CAFC-D563-CAE1F865D09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6" name="Straight Connector 7">
            <a:extLst>
              <a:ext uri="{FF2B5EF4-FFF2-40B4-BE49-F238E27FC236}">
                <a16:creationId xmlns:a16="http://schemas.microsoft.com/office/drawing/2014/main" id="{7E002D3F-4497-F71A-3F3A-D751D6657354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144552</xdr:colOff>
      <xdr:row>10</xdr:row>
      <xdr:rowOff>41312</xdr:rowOff>
    </xdr:from>
    <xdr:to>
      <xdr:col>9</xdr:col>
      <xdr:colOff>192619</xdr:colOff>
      <xdr:row>13</xdr:row>
      <xdr:rowOff>26792</xdr:rowOff>
    </xdr:to>
    <xdr:cxnSp macro="">
      <xdr:nvCxnSpPr>
        <xdr:cNvPr id="457" name="Straight Connector 456">
          <a:extLst>
            <a:ext uri="{FF2B5EF4-FFF2-40B4-BE49-F238E27FC236}">
              <a16:creationId xmlns:a16="http://schemas.microsoft.com/office/drawing/2014/main" id="{24BB5385-CE89-4CE3-8B1D-0A32B6964CD4}"/>
            </a:ext>
          </a:extLst>
        </xdr:cNvPr>
        <xdr:cNvCxnSpPr>
          <a:cxnSpLocks/>
          <a:stCxn id="429" idx="6"/>
          <a:endCxn id="454" idx="3"/>
        </xdr:cNvCxnSpPr>
      </xdr:nvCxnSpPr>
      <xdr:spPr bwMode="auto">
        <a:xfrm flipV="1">
          <a:off x="2735352" y="1584362"/>
          <a:ext cx="429067" cy="45220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304800</xdr:colOff>
      <xdr:row>9</xdr:row>
      <xdr:rowOff>147405</xdr:rowOff>
    </xdr:from>
    <xdr:to>
      <xdr:col>11</xdr:col>
      <xdr:colOff>106894</xdr:colOff>
      <xdr:row>10</xdr:row>
      <xdr:rowOff>12737</xdr:rowOff>
    </xdr:to>
    <xdr:cxnSp macro="">
      <xdr:nvCxnSpPr>
        <xdr:cNvPr id="460" name="Straight Connector 459">
          <a:extLst>
            <a:ext uri="{FF2B5EF4-FFF2-40B4-BE49-F238E27FC236}">
              <a16:creationId xmlns:a16="http://schemas.microsoft.com/office/drawing/2014/main" id="{83D2C5CE-2DB6-4DE5-9D3A-6D6B5621BAD2}"/>
            </a:ext>
          </a:extLst>
        </xdr:cNvPr>
        <xdr:cNvCxnSpPr>
          <a:cxnSpLocks/>
        </xdr:cNvCxnSpPr>
      </xdr:nvCxnSpPr>
      <xdr:spPr bwMode="auto">
        <a:xfrm>
          <a:off x="3276600" y="1538055"/>
          <a:ext cx="564094" cy="1773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144276</xdr:colOff>
      <xdr:row>9</xdr:row>
      <xdr:rowOff>84324</xdr:rowOff>
    </xdr:from>
    <xdr:to>
      <xdr:col>10</xdr:col>
      <xdr:colOff>207721</xdr:colOff>
      <xdr:row>10</xdr:row>
      <xdr:rowOff>74372</xdr:rowOff>
    </xdr:to>
    <xdr:grpSp>
      <xdr:nvGrpSpPr>
        <xdr:cNvPr id="462" name="Grup 239">
          <a:extLst>
            <a:ext uri="{FF2B5EF4-FFF2-40B4-BE49-F238E27FC236}">
              <a16:creationId xmlns:a16="http://schemas.microsoft.com/office/drawing/2014/main" id="{67A57768-A763-4A3C-B140-0E0CC521BA44}"/>
            </a:ext>
          </a:extLst>
        </xdr:cNvPr>
        <xdr:cNvGrpSpPr/>
      </xdr:nvGrpSpPr>
      <xdr:grpSpPr>
        <a:xfrm rot="4158268">
          <a:off x="3461147" y="1541860"/>
          <a:ext cx="144829" cy="63445"/>
          <a:chOff x="13302191" y="2320613"/>
          <a:chExt cx="139135" cy="57233"/>
        </a:xfrm>
      </xdr:grpSpPr>
      <xdr:cxnSp macro="">
        <xdr:nvCxnSpPr>
          <xdr:cNvPr id="463" name="Straight Connector 81">
            <a:extLst>
              <a:ext uri="{FF2B5EF4-FFF2-40B4-BE49-F238E27FC236}">
                <a16:creationId xmlns:a16="http://schemas.microsoft.com/office/drawing/2014/main" id="{D7D9FC99-8CF1-D682-0AE5-8F1DA03521A2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4" name="Straight Connector 82">
            <a:extLst>
              <a:ext uri="{FF2B5EF4-FFF2-40B4-BE49-F238E27FC236}">
                <a16:creationId xmlns:a16="http://schemas.microsoft.com/office/drawing/2014/main" id="{01D1B11F-050B-BEFC-259B-51F9D248FA95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5" name="Straight Connector 83">
            <a:extLst>
              <a:ext uri="{FF2B5EF4-FFF2-40B4-BE49-F238E27FC236}">
                <a16:creationId xmlns:a16="http://schemas.microsoft.com/office/drawing/2014/main" id="{EF0A352C-B7E2-4980-4522-880BC5B21AA8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6" name="Straight Connector 84">
            <a:extLst>
              <a:ext uri="{FF2B5EF4-FFF2-40B4-BE49-F238E27FC236}">
                <a16:creationId xmlns:a16="http://schemas.microsoft.com/office/drawing/2014/main" id="{0AE70DE0-395B-A295-C17B-2EC4DE3C9A28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304800</xdr:colOff>
      <xdr:row>11</xdr:row>
      <xdr:rowOff>76200</xdr:rowOff>
    </xdr:from>
    <xdr:to>
      <xdr:col>9</xdr:col>
      <xdr:colOff>66248</xdr:colOff>
      <xdr:row>11</xdr:row>
      <xdr:rowOff>139645</xdr:rowOff>
    </xdr:to>
    <xdr:grpSp>
      <xdr:nvGrpSpPr>
        <xdr:cNvPr id="467" name="Grup 239">
          <a:extLst>
            <a:ext uri="{FF2B5EF4-FFF2-40B4-BE49-F238E27FC236}">
              <a16:creationId xmlns:a16="http://schemas.microsoft.com/office/drawing/2014/main" id="{B1F7AF49-F703-463A-B604-067C2B452FDF}"/>
            </a:ext>
          </a:extLst>
        </xdr:cNvPr>
        <xdr:cNvGrpSpPr/>
      </xdr:nvGrpSpPr>
      <xdr:grpSpPr>
        <a:xfrm rot="1822662">
          <a:off x="2900363" y="1802606"/>
          <a:ext cx="142448" cy="63445"/>
          <a:chOff x="13302191" y="2320613"/>
          <a:chExt cx="139135" cy="57233"/>
        </a:xfrm>
      </xdr:grpSpPr>
      <xdr:cxnSp macro="">
        <xdr:nvCxnSpPr>
          <xdr:cNvPr id="468" name="Straight Connector 81">
            <a:extLst>
              <a:ext uri="{FF2B5EF4-FFF2-40B4-BE49-F238E27FC236}">
                <a16:creationId xmlns:a16="http://schemas.microsoft.com/office/drawing/2014/main" id="{26EC04FC-0591-8F02-0E2F-209F6FBC4686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9" name="Straight Connector 82">
            <a:extLst>
              <a:ext uri="{FF2B5EF4-FFF2-40B4-BE49-F238E27FC236}">
                <a16:creationId xmlns:a16="http://schemas.microsoft.com/office/drawing/2014/main" id="{27BAE2F4-E3E2-2149-CE39-0F41E6FB532D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0" name="Straight Connector 83">
            <a:extLst>
              <a:ext uri="{FF2B5EF4-FFF2-40B4-BE49-F238E27FC236}">
                <a16:creationId xmlns:a16="http://schemas.microsoft.com/office/drawing/2014/main" id="{16CFABDB-65D2-0AB4-D364-532E07EFAC40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1" name="Straight Connector 84">
            <a:extLst>
              <a:ext uri="{FF2B5EF4-FFF2-40B4-BE49-F238E27FC236}">
                <a16:creationId xmlns:a16="http://schemas.microsoft.com/office/drawing/2014/main" id="{F824ED86-727F-397A-AFDB-8C219D8398F1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257175</xdr:colOff>
      <xdr:row>18</xdr:row>
      <xdr:rowOff>38100</xdr:rowOff>
    </xdr:from>
    <xdr:to>
      <xdr:col>13</xdr:col>
      <xdr:colOff>90487</xdr:colOff>
      <xdr:row>19</xdr:row>
      <xdr:rowOff>33338</xdr:rowOff>
    </xdr:to>
    <xdr:sp macro="" textlink="">
      <xdr:nvSpPr>
        <xdr:cNvPr id="472" name="TextBox 471">
          <a:extLst>
            <a:ext uri="{FF2B5EF4-FFF2-40B4-BE49-F238E27FC236}">
              <a16:creationId xmlns:a16="http://schemas.microsoft.com/office/drawing/2014/main" id="{0F7C08AD-F629-4AD6-BC2E-824A0E7DC7C8}"/>
            </a:ext>
          </a:extLst>
        </xdr:cNvPr>
        <xdr:cNvSpPr txBox="1"/>
      </xdr:nvSpPr>
      <xdr:spPr>
        <a:xfrm>
          <a:off x="2847975" y="2809875"/>
          <a:ext cx="1738312" cy="147638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9</xdr:col>
      <xdr:colOff>190500</xdr:colOff>
      <xdr:row>19</xdr:row>
      <xdr:rowOff>76200</xdr:rowOff>
    </xdr:from>
    <xdr:to>
      <xdr:col>9</xdr:col>
      <xdr:colOff>335052</xdr:colOff>
      <xdr:row>20</xdr:row>
      <xdr:rowOff>72633</xdr:rowOff>
    </xdr:to>
    <xdr:grpSp>
      <xdr:nvGrpSpPr>
        <xdr:cNvPr id="473" name="Group 13">
          <a:extLst>
            <a:ext uri="{FF2B5EF4-FFF2-40B4-BE49-F238E27FC236}">
              <a16:creationId xmlns:a16="http://schemas.microsoft.com/office/drawing/2014/main" id="{BF8E19FE-1B00-4FE8-B05D-E567F3E55032}"/>
            </a:ext>
          </a:extLst>
        </xdr:cNvPr>
        <xdr:cNvGrpSpPr/>
      </xdr:nvGrpSpPr>
      <xdr:grpSpPr>
        <a:xfrm>
          <a:off x="3167063" y="3052763"/>
          <a:ext cx="144552" cy="151214"/>
          <a:chOff x="9937028" y="802652"/>
          <a:chExt cx="83991" cy="77961"/>
        </a:xfrm>
      </xdr:grpSpPr>
      <xdr:sp macro="" textlink="">
        <xdr:nvSpPr>
          <xdr:cNvPr id="474" name="Oval 1">
            <a:extLst>
              <a:ext uri="{FF2B5EF4-FFF2-40B4-BE49-F238E27FC236}">
                <a16:creationId xmlns:a16="http://schemas.microsoft.com/office/drawing/2014/main" id="{0234D22A-FDF8-5B5E-38E6-19B3F744E478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75" name="Straight Connector 3">
            <a:extLst>
              <a:ext uri="{FF2B5EF4-FFF2-40B4-BE49-F238E27FC236}">
                <a16:creationId xmlns:a16="http://schemas.microsoft.com/office/drawing/2014/main" id="{0D31E4E2-D015-FA19-D58F-106B4B9C308D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6" name="Straight Connector 7">
            <a:extLst>
              <a:ext uri="{FF2B5EF4-FFF2-40B4-BE49-F238E27FC236}">
                <a16:creationId xmlns:a16="http://schemas.microsoft.com/office/drawing/2014/main" id="{65DEA364-F7F0-C3F7-81C8-E71CFEAE2089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114300</xdr:colOff>
      <xdr:row>17</xdr:row>
      <xdr:rowOff>0</xdr:rowOff>
    </xdr:from>
    <xdr:to>
      <xdr:col>11</xdr:col>
      <xdr:colOff>258852</xdr:colOff>
      <xdr:row>17</xdr:row>
      <xdr:rowOff>148833</xdr:rowOff>
    </xdr:to>
    <xdr:grpSp>
      <xdr:nvGrpSpPr>
        <xdr:cNvPr id="477" name="Group 13">
          <a:extLst>
            <a:ext uri="{FF2B5EF4-FFF2-40B4-BE49-F238E27FC236}">
              <a16:creationId xmlns:a16="http://schemas.microsoft.com/office/drawing/2014/main" id="{295537E5-498F-49BA-92D6-9314501E4776}"/>
            </a:ext>
          </a:extLst>
        </xdr:cNvPr>
        <xdr:cNvGrpSpPr/>
      </xdr:nvGrpSpPr>
      <xdr:grpSpPr>
        <a:xfrm>
          <a:off x="3852863" y="2667000"/>
          <a:ext cx="144552" cy="148833"/>
          <a:chOff x="9937028" y="802652"/>
          <a:chExt cx="83991" cy="77961"/>
        </a:xfrm>
      </xdr:grpSpPr>
      <xdr:sp macro="" textlink="">
        <xdr:nvSpPr>
          <xdr:cNvPr id="478" name="Oval 1">
            <a:extLst>
              <a:ext uri="{FF2B5EF4-FFF2-40B4-BE49-F238E27FC236}">
                <a16:creationId xmlns:a16="http://schemas.microsoft.com/office/drawing/2014/main" id="{035F43C7-D517-5EEA-ED59-EF8DAA28896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79" name="Straight Connector 3">
            <a:extLst>
              <a:ext uri="{FF2B5EF4-FFF2-40B4-BE49-F238E27FC236}">
                <a16:creationId xmlns:a16="http://schemas.microsoft.com/office/drawing/2014/main" id="{6F3A6BE5-2BF2-5158-DAD4-2E6EEB05BEA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0" name="Straight Connector 7">
            <a:extLst>
              <a:ext uri="{FF2B5EF4-FFF2-40B4-BE49-F238E27FC236}">
                <a16:creationId xmlns:a16="http://schemas.microsoft.com/office/drawing/2014/main" id="{3C2A6D88-B025-0A5E-CC37-CA4F913A7BE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247650</xdr:colOff>
      <xdr:row>17</xdr:row>
      <xdr:rowOff>114300</xdr:rowOff>
    </xdr:from>
    <xdr:to>
      <xdr:col>12</xdr:col>
      <xdr:colOff>59055</xdr:colOff>
      <xdr:row>17</xdr:row>
      <xdr:rowOff>125730</xdr:rowOff>
    </xdr:to>
    <xdr:cxnSp macro="">
      <xdr:nvCxnSpPr>
        <xdr:cNvPr id="481" name="Straight Arrow Connector 166">
          <a:extLst>
            <a:ext uri="{FF2B5EF4-FFF2-40B4-BE49-F238E27FC236}">
              <a16:creationId xmlns:a16="http://schemas.microsoft.com/office/drawing/2014/main" id="{161A271F-22E9-461B-B43C-FE7A15ADA4E2}"/>
            </a:ext>
          </a:extLst>
        </xdr:cNvPr>
        <xdr:cNvCxnSpPr>
          <a:cxnSpLocks/>
        </xdr:cNvCxnSpPr>
      </xdr:nvCxnSpPr>
      <xdr:spPr>
        <a:xfrm flipV="1">
          <a:off x="3981450" y="2733675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14</xdr:row>
      <xdr:rowOff>76200</xdr:rowOff>
    </xdr:from>
    <xdr:to>
      <xdr:col>14</xdr:col>
      <xdr:colOff>228600</xdr:colOff>
      <xdr:row>17</xdr:row>
      <xdr:rowOff>142875</xdr:rowOff>
    </xdr:to>
    <xdr:sp macro="" textlink="">
      <xdr:nvSpPr>
        <xdr:cNvPr id="482" name="Rectangle 481">
          <a:extLst>
            <a:ext uri="{FF2B5EF4-FFF2-40B4-BE49-F238E27FC236}">
              <a16:creationId xmlns:a16="http://schemas.microsoft.com/office/drawing/2014/main" id="{071E6D31-4525-4517-935A-D77FAF771858}"/>
            </a:ext>
          </a:extLst>
        </xdr:cNvPr>
        <xdr:cNvSpPr/>
      </xdr:nvSpPr>
      <xdr:spPr>
        <a:xfrm>
          <a:off x="4495800" y="2238375"/>
          <a:ext cx="609600" cy="523875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5</xdr:col>
      <xdr:colOff>228600</xdr:colOff>
      <xdr:row>18</xdr:row>
      <xdr:rowOff>66675</xdr:rowOff>
    </xdr:from>
    <xdr:to>
      <xdr:col>7</xdr:col>
      <xdr:colOff>260601</xdr:colOff>
      <xdr:row>23</xdr:row>
      <xdr:rowOff>19051</xdr:rowOff>
    </xdr:to>
    <xdr:sp macro="" textlink="">
      <xdr:nvSpPr>
        <xdr:cNvPr id="483" name="TextBox 157">
          <a:extLst>
            <a:ext uri="{FF2B5EF4-FFF2-40B4-BE49-F238E27FC236}">
              <a16:creationId xmlns:a16="http://schemas.microsoft.com/office/drawing/2014/main" id="{BDB2AD55-8799-4622-9BE6-8FE89908A77F}"/>
            </a:ext>
          </a:extLst>
        </xdr:cNvPr>
        <xdr:cNvSpPr txBox="1"/>
      </xdr:nvSpPr>
      <xdr:spPr>
        <a:xfrm>
          <a:off x="1676400" y="2838450"/>
          <a:ext cx="794001" cy="714376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K2-621/362/3</a:t>
          </a:r>
        </a:p>
        <a:p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133350</xdr:colOff>
      <xdr:row>19</xdr:row>
      <xdr:rowOff>150617</xdr:rowOff>
    </xdr:from>
    <xdr:to>
      <xdr:col>9</xdr:col>
      <xdr:colOff>190500</xdr:colOff>
      <xdr:row>20</xdr:row>
      <xdr:rowOff>57150</xdr:rowOff>
    </xdr:to>
    <xdr:cxnSp macro="">
      <xdr:nvCxnSpPr>
        <xdr:cNvPr id="484" name="Straight Connector 148">
          <a:extLst>
            <a:ext uri="{FF2B5EF4-FFF2-40B4-BE49-F238E27FC236}">
              <a16:creationId xmlns:a16="http://schemas.microsoft.com/office/drawing/2014/main" id="{91B8E461-896C-4C60-8790-3FDF63976B89}"/>
            </a:ext>
          </a:extLst>
        </xdr:cNvPr>
        <xdr:cNvCxnSpPr>
          <a:cxnSpLocks/>
          <a:endCxn id="474" idx="2"/>
        </xdr:cNvCxnSpPr>
      </xdr:nvCxnSpPr>
      <xdr:spPr bwMode="auto">
        <a:xfrm flipV="1">
          <a:off x="2724150" y="3074792"/>
          <a:ext cx="438150" cy="5893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344301</xdr:colOff>
      <xdr:row>19</xdr:row>
      <xdr:rowOff>112900</xdr:rowOff>
    </xdr:from>
    <xdr:to>
      <xdr:col>9</xdr:col>
      <xdr:colOff>26746</xdr:colOff>
      <xdr:row>20</xdr:row>
      <xdr:rowOff>102948</xdr:rowOff>
    </xdr:to>
    <xdr:grpSp>
      <xdr:nvGrpSpPr>
        <xdr:cNvPr id="486" name="Grup 239">
          <a:extLst>
            <a:ext uri="{FF2B5EF4-FFF2-40B4-BE49-F238E27FC236}">
              <a16:creationId xmlns:a16="http://schemas.microsoft.com/office/drawing/2014/main" id="{A5414AA1-FC93-42E3-876E-2A5A7FB237D9}"/>
            </a:ext>
          </a:extLst>
        </xdr:cNvPr>
        <xdr:cNvGrpSpPr/>
      </xdr:nvGrpSpPr>
      <xdr:grpSpPr>
        <a:xfrm rot="3625312">
          <a:off x="2899172" y="3130155"/>
          <a:ext cx="144829" cy="63445"/>
          <a:chOff x="13302191" y="2320613"/>
          <a:chExt cx="139135" cy="57233"/>
        </a:xfrm>
      </xdr:grpSpPr>
      <xdr:cxnSp macro="">
        <xdr:nvCxnSpPr>
          <xdr:cNvPr id="487" name="Straight Connector 81">
            <a:extLst>
              <a:ext uri="{FF2B5EF4-FFF2-40B4-BE49-F238E27FC236}">
                <a16:creationId xmlns:a16="http://schemas.microsoft.com/office/drawing/2014/main" id="{090BC7AC-9D07-B4BB-65E3-A10AD911F98F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8" name="Straight Connector 82">
            <a:extLst>
              <a:ext uri="{FF2B5EF4-FFF2-40B4-BE49-F238E27FC236}">
                <a16:creationId xmlns:a16="http://schemas.microsoft.com/office/drawing/2014/main" id="{79A2632D-67B5-35BF-7333-9C4B04B59189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9" name="Straight Connector 83">
            <a:extLst>
              <a:ext uri="{FF2B5EF4-FFF2-40B4-BE49-F238E27FC236}">
                <a16:creationId xmlns:a16="http://schemas.microsoft.com/office/drawing/2014/main" id="{7791941B-80F2-77F3-828A-D28614461913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0" name="Straight Connector 84">
            <a:extLst>
              <a:ext uri="{FF2B5EF4-FFF2-40B4-BE49-F238E27FC236}">
                <a16:creationId xmlns:a16="http://schemas.microsoft.com/office/drawing/2014/main" id="{6B800DA7-56CA-2784-601F-3C63C2EDA160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333375</xdr:colOff>
      <xdr:row>17</xdr:row>
      <xdr:rowOff>127037</xdr:rowOff>
    </xdr:from>
    <xdr:to>
      <xdr:col>11</xdr:col>
      <xdr:colOff>135469</xdr:colOff>
      <xdr:row>19</xdr:row>
      <xdr:rowOff>106558</xdr:rowOff>
    </xdr:to>
    <xdr:cxnSp macro="">
      <xdr:nvCxnSpPr>
        <xdr:cNvPr id="491" name="Straight Connector 148">
          <a:extLst>
            <a:ext uri="{FF2B5EF4-FFF2-40B4-BE49-F238E27FC236}">
              <a16:creationId xmlns:a16="http://schemas.microsoft.com/office/drawing/2014/main" id="{8D2B4A7C-B831-43F6-827A-2D7673D64E53}"/>
            </a:ext>
          </a:extLst>
        </xdr:cNvPr>
        <xdr:cNvCxnSpPr>
          <a:cxnSpLocks/>
          <a:endCxn id="478" idx="3"/>
        </xdr:cNvCxnSpPr>
      </xdr:nvCxnSpPr>
      <xdr:spPr bwMode="auto">
        <a:xfrm flipV="1">
          <a:off x="3305175" y="2746412"/>
          <a:ext cx="564094" cy="28432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209550</xdr:colOff>
      <xdr:row>18</xdr:row>
      <xdr:rowOff>57150</xdr:rowOff>
    </xdr:from>
    <xdr:to>
      <xdr:col>10</xdr:col>
      <xdr:colOff>272995</xdr:colOff>
      <xdr:row>19</xdr:row>
      <xdr:rowOff>47198</xdr:rowOff>
    </xdr:to>
    <xdr:grpSp>
      <xdr:nvGrpSpPr>
        <xdr:cNvPr id="493" name="Grup 239">
          <a:extLst>
            <a:ext uri="{FF2B5EF4-FFF2-40B4-BE49-F238E27FC236}">
              <a16:creationId xmlns:a16="http://schemas.microsoft.com/office/drawing/2014/main" id="{3491D801-EA2A-44C5-AB69-85D8DC0A4B23}"/>
            </a:ext>
          </a:extLst>
        </xdr:cNvPr>
        <xdr:cNvGrpSpPr/>
      </xdr:nvGrpSpPr>
      <xdr:grpSpPr>
        <a:xfrm rot="3625312">
          <a:off x="3526421" y="2919623"/>
          <a:ext cx="144830" cy="63445"/>
          <a:chOff x="13302191" y="2320613"/>
          <a:chExt cx="139135" cy="57233"/>
        </a:xfrm>
      </xdr:grpSpPr>
      <xdr:cxnSp macro="">
        <xdr:nvCxnSpPr>
          <xdr:cNvPr id="494" name="Straight Connector 81">
            <a:extLst>
              <a:ext uri="{FF2B5EF4-FFF2-40B4-BE49-F238E27FC236}">
                <a16:creationId xmlns:a16="http://schemas.microsoft.com/office/drawing/2014/main" id="{CCFA8094-DB94-184B-36F1-867F931E1DB4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5" name="Straight Connector 82">
            <a:extLst>
              <a:ext uri="{FF2B5EF4-FFF2-40B4-BE49-F238E27FC236}">
                <a16:creationId xmlns:a16="http://schemas.microsoft.com/office/drawing/2014/main" id="{5F43C950-7C4A-99BF-561D-3D9D9B2D48AD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6" name="Straight Connector 83">
            <a:extLst>
              <a:ext uri="{FF2B5EF4-FFF2-40B4-BE49-F238E27FC236}">
                <a16:creationId xmlns:a16="http://schemas.microsoft.com/office/drawing/2014/main" id="{A76306FA-C06B-059B-8716-191D01ACFBE5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7" name="Straight Connector 84">
            <a:extLst>
              <a:ext uri="{FF2B5EF4-FFF2-40B4-BE49-F238E27FC236}">
                <a16:creationId xmlns:a16="http://schemas.microsoft.com/office/drawing/2014/main" id="{61F149C9-64CF-76B9-355F-D38A6DFA5292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28576</xdr:colOff>
      <xdr:row>20</xdr:row>
      <xdr:rowOff>133350</xdr:rowOff>
    </xdr:from>
    <xdr:to>
      <xdr:col>10</xdr:col>
      <xdr:colOff>276226</xdr:colOff>
      <xdr:row>23</xdr:row>
      <xdr:rowOff>95250</xdr:rowOff>
    </xdr:to>
    <xdr:sp macro="" textlink="">
      <xdr:nvSpPr>
        <xdr:cNvPr id="498" name="TextBox 157">
          <a:extLst>
            <a:ext uri="{FF2B5EF4-FFF2-40B4-BE49-F238E27FC236}">
              <a16:creationId xmlns:a16="http://schemas.microsoft.com/office/drawing/2014/main" id="{863AE78B-3982-46F6-98C1-BF06136B53B6}"/>
            </a:ext>
          </a:extLst>
        </xdr:cNvPr>
        <xdr:cNvSpPr txBox="1"/>
      </xdr:nvSpPr>
      <xdr:spPr>
        <a:xfrm>
          <a:off x="3000376" y="3209925"/>
          <a:ext cx="628650" cy="41910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CJ6-T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85724</xdr:colOff>
      <xdr:row>18</xdr:row>
      <xdr:rowOff>47624</xdr:rowOff>
    </xdr:from>
    <xdr:to>
      <xdr:col>12</xdr:col>
      <xdr:colOff>380999</xdr:colOff>
      <xdr:row>23</xdr:row>
      <xdr:rowOff>123825</xdr:rowOff>
    </xdr:to>
    <xdr:sp macro="" textlink="">
      <xdr:nvSpPr>
        <xdr:cNvPr id="499" name="TextBox 157">
          <a:extLst>
            <a:ext uri="{FF2B5EF4-FFF2-40B4-BE49-F238E27FC236}">
              <a16:creationId xmlns:a16="http://schemas.microsoft.com/office/drawing/2014/main" id="{856DB965-AFF2-41C6-92EA-44CDD5221C37}"/>
            </a:ext>
          </a:extLst>
        </xdr:cNvPr>
        <xdr:cNvSpPr txBox="1"/>
      </xdr:nvSpPr>
      <xdr:spPr>
        <a:xfrm>
          <a:off x="3819524" y="2819399"/>
          <a:ext cx="676275" cy="838201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247650</xdr:colOff>
      <xdr:row>16</xdr:row>
      <xdr:rowOff>33338</xdr:rowOff>
    </xdr:from>
    <xdr:to>
      <xdr:col>13</xdr:col>
      <xdr:colOff>0</xdr:colOff>
      <xdr:row>17</xdr:row>
      <xdr:rowOff>17621</xdr:rowOff>
    </xdr:to>
    <xdr:cxnSp macro="">
      <xdr:nvCxnSpPr>
        <xdr:cNvPr id="500" name="Straight Connector 148">
          <a:extLst>
            <a:ext uri="{FF2B5EF4-FFF2-40B4-BE49-F238E27FC236}">
              <a16:creationId xmlns:a16="http://schemas.microsoft.com/office/drawing/2014/main" id="{76ABA437-A362-4DAC-9B5B-A0EE7D108A39}"/>
            </a:ext>
          </a:extLst>
        </xdr:cNvPr>
        <xdr:cNvCxnSpPr>
          <a:cxnSpLocks/>
          <a:endCxn id="482" idx="1"/>
        </xdr:cNvCxnSpPr>
      </xdr:nvCxnSpPr>
      <xdr:spPr bwMode="auto">
        <a:xfrm flipV="1">
          <a:off x="3981450" y="2500313"/>
          <a:ext cx="514350" cy="13668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371475</xdr:colOff>
      <xdr:row>15</xdr:row>
      <xdr:rowOff>66675</xdr:rowOff>
    </xdr:from>
    <xdr:to>
      <xdr:col>13</xdr:col>
      <xdr:colOff>157041</xdr:colOff>
      <xdr:row>16</xdr:row>
      <xdr:rowOff>96242</xdr:rowOff>
    </xdr:to>
    <xdr:sp macro="" textlink="">
      <xdr:nvSpPr>
        <xdr:cNvPr id="502" name="Rectangle 501">
          <a:extLst>
            <a:ext uri="{FF2B5EF4-FFF2-40B4-BE49-F238E27FC236}">
              <a16:creationId xmlns:a16="http://schemas.microsoft.com/office/drawing/2014/main" id="{DBC6B458-D6ED-40C4-9924-8712FE2249D1}"/>
            </a:ext>
          </a:extLst>
        </xdr:cNvPr>
        <xdr:cNvSpPr/>
      </xdr:nvSpPr>
      <xdr:spPr>
        <a:xfrm>
          <a:off x="4486275" y="2381250"/>
          <a:ext cx="166566" cy="18196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13</xdr:col>
      <xdr:colOff>266699</xdr:colOff>
      <xdr:row>13</xdr:row>
      <xdr:rowOff>66674</xdr:rowOff>
    </xdr:from>
    <xdr:to>
      <xdr:col>16</xdr:col>
      <xdr:colOff>180974</xdr:colOff>
      <xdr:row>16</xdr:row>
      <xdr:rowOff>38100</xdr:rowOff>
    </xdr:to>
    <xdr:sp macro="" textlink="">
      <xdr:nvSpPr>
        <xdr:cNvPr id="503" name="TextBox 157">
          <a:extLst>
            <a:ext uri="{FF2B5EF4-FFF2-40B4-BE49-F238E27FC236}">
              <a16:creationId xmlns:a16="http://schemas.microsoft.com/office/drawing/2014/main" id="{B91B5ED9-7E37-4030-BDEA-83C95B9CF3D1}"/>
            </a:ext>
          </a:extLst>
        </xdr:cNvPr>
        <xdr:cNvSpPr txBox="1"/>
      </xdr:nvSpPr>
      <xdr:spPr>
        <a:xfrm>
          <a:off x="4762499" y="2076449"/>
          <a:ext cx="1057275" cy="428626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APP 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10,6</a:t>
          </a:r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KVA</a:t>
          </a:r>
          <a:endParaRPr 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SR 4X16MM = 45M </a:t>
          </a:r>
        </a:p>
        <a:p>
          <a:endParaRPr lang="id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57150</xdr:colOff>
      <xdr:row>16</xdr:row>
      <xdr:rowOff>28575</xdr:rowOff>
    </xdr:from>
    <xdr:to>
      <xdr:col>12</xdr:col>
      <xdr:colOff>120595</xdr:colOff>
      <xdr:row>17</xdr:row>
      <xdr:rowOff>18623</xdr:rowOff>
    </xdr:to>
    <xdr:grpSp>
      <xdr:nvGrpSpPr>
        <xdr:cNvPr id="504" name="Grup 239">
          <a:extLst>
            <a:ext uri="{FF2B5EF4-FFF2-40B4-BE49-F238E27FC236}">
              <a16:creationId xmlns:a16="http://schemas.microsoft.com/office/drawing/2014/main" id="{890E0746-9FB0-4DFE-BDB2-7E90D19AB147}"/>
            </a:ext>
          </a:extLst>
        </xdr:cNvPr>
        <xdr:cNvGrpSpPr/>
      </xdr:nvGrpSpPr>
      <xdr:grpSpPr>
        <a:xfrm rot="3625312">
          <a:off x="4136021" y="2581486"/>
          <a:ext cx="144829" cy="63445"/>
          <a:chOff x="13302191" y="2320613"/>
          <a:chExt cx="139135" cy="57233"/>
        </a:xfrm>
      </xdr:grpSpPr>
      <xdr:cxnSp macro="">
        <xdr:nvCxnSpPr>
          <xdr:cNvPr id="505" name="Straight Connector 81">
            <a:extLst>
              <a:ext uri="{FF2B5EF4-FFF2-40B4-BE49-F238E27FC236}">
                <a16:creationId xmlns:a16="http://schemas.microsoft.com/office/drawing/2014/main" id="{C72BDF87-0CB8-DE50-8E3A-54901AD4643F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6" name="Straight Connector 82">
            <a:extLst>
              <a:ext uri="{FF2B5EF4-FFF2-40B4-BE49-F238E27FC236}">
                <a16:creationId xmlns:a16="http://schemas.microsoft.com/office/drawing/2014/main" id="{621D3BB6-F9E0-6809-2439-5458C038BC4F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7" name="Straight Connector 83">
            <a:extLst>
              <a:ext uri="{FF2B5EF4-FFF2-40B4-BE49-F238E27FC236}">
                <a16:creationId xmlns:a16="http://schemas.microsoft.com/office/drawing/2014/main" id="{BE7324AE-DECB-5A1C-4991-6CA3225997E8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8" name="Straight Connector 84">
            <a:extLst>
              <a:ext uri="{FF2B5EF4-FFF2-40B4-BE49-F238E27FC236}">
                <a16:creationId xmlns:a16="http://schemas.microsoft.com/office/drawing/2014/main" id="{6CC9125F-8AF1-96DD-96A4-2863E2A1BC2A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116681</xdr:colOff>
      <xdr:row>18</xdr:row>
      <xdr:rowOff>104775</xdr:rowOff>
    </xdr:from>
    <xdr:to>
      <xdr:col>9</xdr:col>
      <xdr:colOff>214311</xdr:colOff>
      <xdr:row>19</xdr:row>
      <xdr:rowOff>154780</xdr:rowOff>
    </xdr:to>
    <xdr:sp macro="" textlink="">
      <xdr:nvSpPr>
        <xdr:cNvPr id="510" name="TextBox 509">
          <a:extLst>
            <a:ext uri="{FF2B5EF4-FFF2-40B4-BE49-F238E27FC236}">
              <a16:creationId xmlns:a16="http://schemas.microsoft.com/office/drawing/2014/main" id="{F2C56410-80BC-4F7C-882A-B318B22CC7C6}"/>
            </a:ext>
          </a:extLst>
        </xdr:cNvPr>
        <xdr:cNvSpPr txBox="1"/>
      </xdr:nvSpPr>
      <xdr:spPr>
        <a:xfrm>
          <a:off x="2712244" y="2926556"/>
          <a:ext cx="478630" cy="2047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60M</a:t>
          </a:r>
        </a:p>
      </xdr:txBody>
    </xdr:sp>
    <xdr:clientData/>
  </xdr:twoCellAnchor>
  <xdr:twoCellAnchor>
    <xdr:from>
      <xdr:col>9</xdr:col>
      <xdr:colOff>273843</xdr:colOff>
      <xdr:row>17</xdr:row>
      <xdr:rowOff>95251</xdr:rowOff>
    </xdr:from>
    <xdr:to>
      <xdr:col>10</xdr:col>
      <xdr:colOff>371473</xdr:colOff>
      <xdr:row>18</xdr:row>
      <xdr:rowOff>145257</xdr:rowOff>
    </xdr:to>
    <xdr:sp macro="" textlink="">
      <xdr:nvSpPr>
        <xdr:cNvPr id="511" name="TextBox 510">
          <a:extLst>
            <a:ext uri="{FF2B5EF4-FFF2-40B4-BE49-F238E27FC236}">
              <a16:creationId xmlns:a16="http://schemas.microsoft.com/office/drawing/2014/main" id="{8A94EE6B-44BC-4FD0-B0BF-866BAA113384}"/>
            </a:ext>
          </a:extLst>
        </xdr:cNvPr>
        <xdr:cNvSpPr txBox="1"/>
      </xdr:nvSpPr>
      <xdr:spPr>
        <a:xfrm rot="19890367">
          <a:off x="3250406" y="2762251"/>
          <a:ext cx="478630" cy="2047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60M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583510-2139-4C1B-B1C3-415E106D9F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7870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10</xdr:col>
      <xdr:colOff>414495</xdr:colOff>
      <xdr:row>32</xdr:row>
      <xdr:rowOff>142355</xdr:rowOff>
    </xdr:from>
    <xdr:to>
      <xdr:col>13</xdr:col>
      <xdr:colOff>87923</xdr:colOff>
      <xdr:row>36</xdr:row>
      <xdr:rowOff>22611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DB063154-717D-42FA-9F73-1BFB00068FCC}"/>
            </a:ext>
          </a:extLst>
        </xdr:cNvPr>
        <xdr:cNvSpPr/>
      </xdr:nvSpPr>
      <xdr:spPr>
        <a:xfrm>
          <a:off x="5681820" y="5352530"/>
          <a:ext cx="1502228" cy="527956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133038</xdr:colOff>
      <xdr:row>33</xdr:row>
      <xdr:rowOff>167720</xdr:rowOff>
    </xdr:from>
    <xdr:to>
      <xdr:col>14</xdr:col>
      <xdr:colOff>447919</xdr:colOff>
      <xdr:row>43</xdr:row>
      <xdr:rowOff>74565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67107C3A-9570-494C-AB48-AD8DC411FD14}"/>
            </a:ext>
          </a:extLst>
        </xdr:cNvPr>
        <xdr:cNvSpPr/>
      </xdr:nvSpPr>
      <xdr:spPr>
        <a:xfrm>
          <a:off x="4790763" y="5530295"/>
          <a:ext cx="3362881" cy="15356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RS</a:t>
          </a:r>
          <a:r>
            <a:rPr lang="en-US" sz="2400" b="1" baseline="0">
              <a:solidFill>
                <a:srgbClr val="FFFF00"/>
              </a:solidFill>
            </a:rPr>
            <a:t> TRI MEDIKA KETAPANG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5</xdr:row>
      <xdr:rowOff>0</xdr:rowOff>
    </xdr:from>
    <xdr:to>
      <xdr:col>28</xdr:col>
      <xdr:colOff>38100</xdr:colOff>
      <xdr:row>52</xdr:row>
      <xdr:rowOff>19050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1C0A984-B1CC-14D9-FB8B-8A4B97256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857250"/>
          <a:ext cx="14706600" cy="80772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98541A-12D6-4D94-9BDA-F8F4A2BE6C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250888" y="9818234"/>
          <a:ext cx="627287" cy="800614"/>
        </a:xfrm>
        <a:prstGeom prst="rect">
          <a:avLst/>
        </a:prstGeom>
      </xdr:spPr>
    </xdr:pic>
    <xdr:clientData/>
  </xdr:twoCellAnchor>
  <xdr:oneCellAnchor>
    <xdr:from>
      <xdr:col>18</xdr:col>
      <xdr:colOff>44303</xdr:colOff>
      <xdr:row>24</xdr:row>
      <xdr:rowOff>22151</xdr:rowOff>
    </xdr:from>
    <xdr:ext cx="930349" cy="468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7F99E4E-B0C6-4336-8390-16A7E8435E0B}"/>
            </a:ext>
          </a:extLst>
        </xdr:cNvPr>
        <xdr:cNvSpPr txBox="1"/>
      </xdr:nvSpPr>
      <xdr:spPr>
        <a:xfrm>
          <a:off x="9683603" y="3851201"/>
          <a:ext cx="930349" cy="468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</a:p>
      </xdr:txBody>
    </xdr:sp>
    <xdr:clientData/>
  </xdr:oneCellAnchor>
  <xdr:twoCellAnchor editAs="oneCell">
    <xdr:from>
      <xdr:col>3</xdr:col>
      <xdr:colOff>-1</xdr:colOff>
      <xdr:row>8</xdr:row>
      <xdr:rowOff>0</xdr:rowOff>
    </xdr:from>
    <xdr:to>
      <xdr:col>29</xdr:col>
      <xdr:colOff>66453</xdr:colOff>
      <xdr:row>62</xdr:row>
      <xdr:rowOff>88605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76CFE2-637C-E4DC-6774-7B4771BEC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0348" y="1218314"/>
          <a:ext cx="14952035" cy="846174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2009/kinerja%20PMT%20trip/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Invstasi/Lap%20inv%202007/A-Presentasi2004/2005formnewrev2/2005newformrev2/RKAP2005%20UNIT/TM1/RKAP%20Investas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njun.baheransyah\Downloads\RAB%20PB%20KASNADI.xlsx" TargetMode="External"/><Relationship Id="rId1" Type="http://schemas.openxmlformats.org/officeDocument/2006/relationships/externalLinkPath" Target="/Users/junjun.baheransyah/Downloads/RAB%20PB%20KASNADI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MAT"/>
      <sheetName val="JS"/>
      <sheetName val="INISIATIF STRATEGI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x"/>
      <sheetName val="FORM-B"/>
      <sheetName val="prod03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HARGA SATUAN"/>
      <sheetName val="ca"/>
      <sheetName val="NO. PRK"/>
      <sheetName val="AHS - Personel"/>
      <sheetName val="AHS - Non Personel"/>
      <sheetName val="KEBIJAKAN PB-PD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WAN"/>
      <sheetName val="TRNS-C1"/>
      <sheetName val="chemcal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  <sheetName val="JSꣀߗ_x000f__lambaro.xls_BP⿁_x000f_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  <sheetName val="item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 refreshError="1"/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RAB"/>
      <sheetName val="GAMBAR"/>
      <sheetName val="Peta lokasi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Cove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ca"/>
      <sheetName val="W-NAD"/>
      <sheetName val="sept"/>
      <sheetName val="W1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KKF PT GLORY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35" t="s">
        <v>1133</v>
      </c>
      <c r="C4" s="535"/>
      <c r="D4" s="535"/>
      <c r="E4" s="535"/>
      <c r="F4" s="535"/>
      <c r="G4" s="535"/>
      <c r="H4" s="535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6" t="s">
        <v>0</v>
      </c>
      <c r="C7" s="536" t="s">
        <v>1</v>
      </c>
      <c r="D7" s="537" t="s">
        <v>42</v>
      </c>
      <c r="E7" s="537" t="s">
        <v>43</v>
      </c>
      <c r="F7" s="537" t="s">
        <v>1134</v>
      </c>
      <c r="G7" s="538" t="s">
        <v>41</v>
      </c>
      <c r="H7" s="534" t="s">
        <v>1042</v>
      </c>
      <c r="I7" s="534" t="s">
        <v>1136</v>
      </c>
      <c r="J7" s="534" t="s">
        <v>1026</v>
      </c>
      <c r="K7" s="528" t="s">
        <v>1024</v>
      </c>
      <c r="L7" s="529"/>
    </row>
    <row r="8" spans="1:12" ht="15" customHeight="1">
      <c r="B8" s="536"/>
      <c r="C8" s="536"/>
      <c r="D8" s="537"/>
      <c r="E8" s="537"/>
      <c r="F8" s="537"/>
      <c r="G8" s="538"/>
      <c r="H8" s="534"/>
      <c r="I8" s="534"/>
      <c r="J8" s="534"/>
      <c r="K8" s="530"/>
      <c r="L8" s="531"/>
    </row>
    <row r="9" spans="1:12" ht="15" customHeight="1">
      <c r="B9" s="536"/>
      <c r="C9" s="536"/>
      <c r="D9" s="537"/>
      <c r="E9" s="537"/>
      <c r="F9" s="537"/>
      <c r="G9" s="538"/>
      <c r="H9" s="534"/>
      <c r="I9" s="534"/>
      <c r="J9" s="534"/>
      <c r="K9" s="532"/>
      <c r="L9" s="533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10.6 kVA MCCB 16 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SATUAN'!$C$7:$C$1495,0),0)),"",OFFSET('HARGA SATUAN'!$I$6,MATCH(C13,'HARGA SATUAN'!$C$7:$C$1495,0),0))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NFA2X-T 3x70+1x70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Mtr</v>
      </c>
      <c r="F14" s="138">
        <f t="shared" ca="1" si="2"/>
        <v>120</v>
      </c>
      <c r="G14" s="41">
        <f ca="1">IF(ISERROR(OFFSET('HARGA SATUAN'!$I$6,MATCH(C14,'HARGA SATUAN'!$C$7:$C$1495,0),0)),"",OFFSET('HARGA SATUAN'!$I$6,MATCH(C14,'HARGA SATUAN'!$C$7:$C$1495,0),0))</f>
        <v>54500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NFA2X 4 x 16 mm²</v>
      </c>
      <c r="D15" s="101" t="str">
        <f ca="1">IF(ISERROR(OFFSET('HARGA SATUAN'!$D$6,MATCH(C15,'HARGA SATUAN'!$C$7:$C$1495,0),0)),"",OFFSET('HARGA SATUAN'!$D$6,MATCH(C15,'HARGA SATUAN'!$C$7:$C$1495,0),0))</f>
        <v>MDU-KD</v>
      </c>
      <c r="E15" s="101" t="str">
        <f ca="1">IF(B15="+","Unit",IF(ISERROR(OFFSET('HARGA SATUAN'!$E$6,MATCH(C15,'HARGA SATUAN'!$C$7:$C$1495,0),0)),"",OFFSET('HARGA SATUAN'!$E$6,MATCH(C15,'HARGA SATUAN'!$C$7:$C$1495,0),0)))</f>
        <v>Mtr</v>
      </c>
      <c r="F15" s="138">
        <f t="shared" ca="1" si="2"/>
        <v>45</v>
      </c>
      <c r="G15" s="41">
        <f ca="1">IF(ISERROR(OFFSET('HARGA SATUAN'!$I$6,MATCH(C15,'HARGA SATUAN'!$C$7:$C$1495,0),0)),"",OFFSET('HARGA SATUAN'!$I$6,MATCH(C15,'HARGA SATUAN'!$C$7:$C$1495,0),0))</f>
        <v>13500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 t="str">
        <f t="shared" ca="1" si="0"/>
        <v/>
      </c>
      <c r="C16" s="109" t="str">
        <f t="shared" ca="1" si="1"/>
        <v/>
      </c>
      <c r="D16" s="101" t="str">
        <f ca="1">IF(ISERROR(OFFSET('HARGA SATUAN'!$D$6,MATCH(C16,'HARGA SATUAN'!$C$7:$C$1495,0),0)),"",OFFSET('HARGA SATUAN'!$D$6,MATCH(C16,'HARGA SATUAN'!$C$7:$C$1495,0),0))</f>
        <v/>
      </c>
      <c r="E16" s="101">
        <f ca="1">IF(B16="+","Unit",IF(ISERROR(OFFSET('HARGA SATUAN'!$E$6,MATCH(C16,'HARGA SATUAN'!$C$7:$C$1495,0),0)),"",OFFSET('HARGA SATUAN'!$E$6,MATCH(C16,'HARGA SATUAN'!$C$7:$C$1495,0),0)))</f>
        <v>0</v>
      </c>
      <c r="F16" s="138" t="str">
        <f t="shared" ca="1" si="2"/>
        <v/>
      </c>
      <c r="G16" s="41">
        <f ca="1">IF(ISERROR(OFFSET('HARGA SATUAN'!$I$6,MATCH(C16,'HARGA SATUAN'!$C$7:$C$1495,0),0)),"",OFFSET('HARGA SATUAN'!$I$6,MATCH(C16,'HARGA SATUAN'!$C$7:$C$1495,0),0))</f>
        <v>0</v>
      </c>
      <c r="H16" s="136" t="str">
        <f ca="1">IF(B16="","",#REF!)</f>
        <v/>
      </c>
      <c r="I16" s="136" t="str">
        <f ca="1">IF(B16="","",#REF!)</f>
        <v/>
      </c>
      <c r="J16" s="136" t="str">
        <f ca="1">IF(B16="","",#REF!)</f>
        <v/>
      </c>
      <c r="K16" s="136" t="str">
        <f ca="1">IF(B16="","",#REF!)</f>
        <v/>
      </c>
      <c r="L16" s="136" t="str">
        <f ca="1">IF(C16="","",#REF!)</f>
        <v/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38" t="str">
        <f t="shared" ca="1" si="2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38" t="str">
        <f t="shared" ca="1" si="2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38" t="str">
        <f t="shared" ca="1" si="2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38" t="str">
        <f t="shared" ca="1" si="2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38" t="str">
        <f t="shared" ca="1" si="2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38" t="str">
        <f t="shared" ca="1" si="2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SUMIFS(RAB!$F$14:$F$95,RAB!$C$14:$C$95,C714)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SUMIFS(RAB!$F$14:$F$95,RAB!$C$14:$C$95,C715)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SUMIFS(RAB!$F$14:$F$95,RAB!$C$14:$C$95,C716)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SUMIFS(RAB!$F$14:$F$95,RAB!$C$14:$C$95,C717)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SUMIFS(RAB!$F$14:$F$95,RAB!$C$14:$C$95,C718)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SUMIFS(RAB!$F$14:$F$95,RAB!$C$14:$C$95,C719)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SUMIFS(RAB!$F$14:$F$95,RAB!$C$14:$C$95,C720)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SUMIFS(RAB!$F$14:$F$95,RAB!$C$14:$C$95,C721)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SUMIFS(RAB!$F$14:$F$95,RAB!$C$14:$C$95,C722)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SUMIFS(RAB!$F$14:$F$95,RAB!$C$14:$C$95,C723)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SUMIFS(RAB!$F$14:$F$95,RAB!$C$14:$C$95,C724)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SUMIFS(RAB!$F$14:$F$95,RAB!$C$14:$C$95,C725)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SUMIFS(RAB!$F$14:$F$95,RAB!$C$14:$C$95,C726)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SUMIFS(RAB!$F$14:$F$95,RAB!$C$14:$C$95,C727)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SUMIFS(RAB!$F$14:$F$95,RAB!$C$14:$C$95,C728)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SUMIFS(RAB!$F$14:$F$95,RAB!$C$14:$C$95,C729)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SUMIFS(RAB!$F$14:$F$95,RAB!$C$14:$C$95,C730)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SUMIFS(RAB!$F$14:$F$95,RAB!$C$14:$C$95,C731)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SUMIFS(RAB!$F$14:$F$95,RAB!$C$14:$C$95,C732)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SUMIFS(RAB!$F$14:$F$95,RAB!$C$14:$C$95,C733)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SUMIFS(RAB!$F$14:$F$95,RAB!$C$14:$C$95,C734)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SUMIFS(RAB!$F$14:$F$95,RAB!$C$14:$C$95,C735)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SUMIFS(RAB!$F$14:$F$95,RAB!$C$14:$C$95,C736)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SUMIFS(RAB!$F$14:$F$95,RAB!$C$14:$C$95,C737)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SUMIFS(RAB!$F$14:$F$95,RAB!$C$14:$C$95,C738)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SUMIFS(RAB!$F$14:$F$95,RAB!$C$14:$C$95,C739)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SUMIFS(RAB!$F$14:$F$95,RAB!$C$14:$C$95,C740)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SUMIFS(RAB!$F$14:$F$95,RAB!$C$14:$C$95,C741)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SUMIFS(RAB!$F$14:$F$95,RAB!$C$14:$C$95,C742)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SUMIFS(RAB!$F$14:$F$95,RAB!$C$14:$C$95,C743)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SUMIFS(RAB!$F$14:$F$95,RAB!$C$14:$C$95,C744)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SUMIFS(RAB!$F$14:$F$95,RAB!$C$14:$C$95,C745)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SUMIFS(RAB!$F$14:$F$95,RAB!$C$14:$C$95,C746)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SUMIFS(RAB!$F$14:$F$95,RAB!$C$14:$C$95,C747)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SUMIFS(RAB!$F$14:$F$95,RAB!$C$14:$C$95,C748)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SUMIFS(RAB!$F$14:$F$95,RAB!$C$14:$C$95,C749)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SUMIFS(RAB!$F$14:$F$95,RAB!$C$14:$C$95,C750)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SUMIFS(RAB!$F$14:$F$95,RAB!$C$14:$C$95,C751)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SUMIFS(RAB!$F$14:$F$95,RAB!$C$14:$C$95,C752)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SUMIFS(RAB!$F$14:$F$95,RAB!$C$14:$C$95,C753)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SUMIFS(RAB!$F$14:$F$95,RAB!$C$14:$C$95,C754)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SUMIFS(RAB!$F$14:$F$95,RAB!$C$14:$C$95,C755)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SUMIFS(RAB!$F$14:$F$95,RAB!$C$14:$C$95,C756)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SUMIFS(RAB!$F$14:$F$95,RAB!$C$14:$C$95,C757)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SUMIFS(RAB!$F$14:$F$95,RAB!$C$14:$C$95,C758)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SUMIFS(RAB!$F$14:$F$95,RAB!$C$14:$C$95,C759)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SUMIFS(RAB!$F$14:$F$95,RAB!$C$14:$C$95,C760)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SUMIFS(RAB!$F$14:$F$95,RAB!$C$14:$C$95,C761)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SUMIFS(RAB!$F$14:$F$95,RAB!$C$14:$C$95,C762)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SUMIFS(RAB!$F$14:$F$95,RAB!$C$14:$C$95,C763)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SUMIFS(RAB!$F$14:$F$95,RAB!$C$14:$C$95,C764)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SUMIFS(RAB!$F$14:$F$95,RAB!$C$14:$C$95,C765)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SUMIFS(RAB!$F$14:$F$95,RAB!$C$14:$C$95,C766)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SUMIFS(RAB!$F$14:$F$95,RAB!$C$14:$C$95,C767)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SUMIFS(RAB!$F$14:$F$95,RAB!$C$14:$C$95,C768)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SUMIFS(RAB!$F$14:$F$95,RAB!$C$14:$C$95,C769)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SUMIFS(RAB!$F$14:$F$95,RAB!$C$14:$C$95,C770)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SUMIFS(RAB!$F$14:$F$95,RAB!$C$14:$C$95,C771)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SUMIFS(RAB!$F$14:$F$95,RAB!$C$14:$C$95,C772)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SUMIFS(RAB!$F$14:$F$95,RAB!$C$14:$C$95,C773)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SUMIFS(RAB!$F$14:$F$95,RAB!$C$14:$C$95,C774)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SUMIFS(RAB!$F$14:$F$95,RAB!$C$14:$C$95,C775)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SUMIFS(RAB!$F$14:$F$95,RAB!$C$14:$C$95,C776)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SUMIFS(RAB!$F$14:$F$95,RAB!$C$14:$C$95,C777)</f>
        <v>1</v>
      </c>
      <c r="E777" s="26">
        <f t="shared" ca="1" si="33"/>
        <v>1</v>
      </c>
      <c r="F777" s="26">
        <f ca="1">IF(D777=0,0,SUM($E$713:E777))</f>
        <v>2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SUMIFS(RAB!$F$14:$F$95,RAB!$C$14:$C$95,C778)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SUMIFS(RAB!$F$14:$F$95,RAB!$C$14:$C$95,C779)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SUMIFS(RAB!$F$14:$F$95,RAB!$C$14:$C$95,C780)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SUMIFS(RAB!$F$14:$F$95,RAB!$C$14:$C$95,C781)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SUMIFS(RAB!$F$14:$F$95,RAB!$C$14:$C$95,C782)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SUMIFS(RAB!$F$14:$F$95,RAB!$C$14:$C$95,C783)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SUMIFS(RAB!$F$14:$F$95,RAB!$C$14:$C$95,C784)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SUMIFS(RAB!$F$14:$F$95,RAB!$C$14:$C$95,C785)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SUMIFS(RAB!$F$14:$F$95,RAB!$C$14:$C$95,C786)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SUMIFS(RAB!$F$14:$F$95,RAB!$C$14:$C$95,C787)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SUMIFS(RAB!$F$14:$F$95,RAB!$C$14:$C$95,C788)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SUMIFS(RAB!$F$14:$F$95,RAB!$C$14:$C$95,C789)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SUMIFS(RAB!$F$14:$F$95,RAB!$C$14:$C$95,C790)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SUMIFS(RAB!$F$14:$F$95,RAB!$C$14:$C$95,C791)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SUMIFS(RAB!$F$14:$F$95,RAB!$C$14:$C$95,C792)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SUMIFS(RAB!$F$14:$F$95,RAB!$C$14:$C$95,C793)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SUMIFS(RAB!$F$14:$F$95,RAB!$C$14:$C$95,C794)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SUMIFS(RAB!$F$14:$F$95,RAB!$C$14:$C$95,C795)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SUMIFS(RAB!$F$14:$F$95,RAB!$C$14:$C$95,C796)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SUMIFS(RAB!$F$14:$F$95,RAB!$C$14:$C$95,C797)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SUMIFS(RAB!$F$14:$F$95,RAB!$C$14:$C$95,C798)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SUMIFS(RAB!$F$14:$F$95,RAB!$C$14:$C$95,C799)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SUMIFS(RAB!$F$14:$F$95,RAB!$C$14:$C$95,C800)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SUMIFS(RAB!$F$14:$F$95,RAB!$C$14:$C$95,C801)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SUMIFS(RAB!$F$14:$F$95,RAB!$C$14:$C$95,C802)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SUMIFS(RAB!$F$14:$F$95,RAB!$C$14:$C$95,C803)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SUMIFS(RAB!$F$14:$F$95,RAB!$C$14:$C$95,C804)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SUMIFS(RAB!$F$14:$F$95,RAB!$C$14:$C$95,C805)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SUMIFS(RAB!$F$14:$F$95,RAB!$C$14:$C$95,C806)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SUMIFS(RAB!$F$14:$F$95,RAB!$C$14:$C$95,C807)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SUMIFS(RAB!$F$14:$F$95,RAB!$C$14:$C$95,C808)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SUMIFS(RAB!$F$14:$F$95,RAB!$C$14:$C$95,C809)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SUMIFS(RAB!$F$14:$F$95,RAB!$C$14:$C$95,C810)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SUMIFS(RAB!$F$14:$F$95,RAB!$C$14:$C$95,C811)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SUMIFS(RAB!$F$14:$F$95,RAB!$C$14:$C$95,C812)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SUMIFS(RAB!$F$14:$F$95,RAB!$C$14:$C$95,C813)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SUMIFS(RAB!$F$14:$F$95,RAB!$C$14:$C$95,C814)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SUMIFS(RAB!$F$14:$F$95,RAB!$C$14:$C$95,C815)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SUMIFS(RAB!$F$14:$F$95,RAB!$C$14:$C$95,C816)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SUMIFS(RAB!$F$14:$F$95,RAB!$C$14:$C$95,C817)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SUMIFS(RAB!$F$14:$F$95,RAB!$C$14:$C$95,C818)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SUMIFS(RAB!$F$14:$F$95,RAB!$C$14:$C$95,C819)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SUMIFS(RAB!$F$14:$F$95,RAB!$C$14:$C$95,C820)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SUMIFS(RAB!$F$14:$F$95,RAB!$C$14:$C$95,C821)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SUMIFS(RAB!$F$14:$F$95,RAB!$C$14:$C$95,C822)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SUMIFS(RAB!$F$14:$F$95,RAB!$C$14:$C$95,C823)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SUMIFS(RAB!$F$14:$F$95,RAB!$C$14:$C$95,C824)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SUMIFS(RAB!$F$14:$F$95,RAB!$C$14:$C$95,C825)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SUMIFS(RAB!$F$14:$F$95,RAB!$C$14:$C$95,C826)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SUMIFS(RAB!$F$14:$F$95,RAB!$C$14:$C$95,C827)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SUMIFS(RAB!$F$14:$F$95,RAB!$C$14:$C$95,C828)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SUMIFS(RAB!$F$14:$F$95,RAB!$C$14:$C$95,C829)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SUMIFS(RAB!$F$14:$F$95,RAB!$C$14:$C$95,C830)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SUMIFS(RAB!$F$14:$F$95,RAB!$C$14:$C$95,C831)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SUMIFS(RAB!$F$14:$F$95,RAB!$C$14:$C$95,C832)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SUMIFS(RAB!$F$14:$F$95,RAB!$C$14:$C$95,C833)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SUMIFS(RAB!$F$14:$F$95,RAB!$C$14:$C$95,C834)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SUMIFS(RAB!$F$14:$F$95,RAB!$C$14:$C$95,C835)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SUMIFS(RAB!$F$14:$F$95,RAB!$C$14:$C$95,C836)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SUMIFS(RAB!$F$14:$F$95,RAB!$C$14:$C$95,C837)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SUMIFS(RAB!$F$14:$F$95,RAB!$C$14:$C$95,C838)</f>
        <v>120</v>
      </c>
      <c r="E838" s="26">
        <f t="shared" ca="1" si="34"/>
        <v>1</v>
      </c>
      <c r="F838" s="26">
        <f ca="1">IF(D838=0,0,SUM($E$713:E838))</f>
        <v>3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SUMIFS(RAB!$F$14:$F$95,RAB!$C$14:$C$95,C839)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SUMIFS(RAB!$F$14:$F$95,RAB!$C$14:$C$95,C840)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SUMIFS(RAB!$F$14:$F$95,RAB!$C$14:$C$95,C841)</f>
        <v>45</v>
      </c>
      <c r="E841" s="26">
        <f t="shared" ca="1" si="34"/>
        <v>1</v>
      </c>
      <c r="F841" s="26">
        <f ca="1">IF(D841=0,0,SUM($E$713:E841))</f>
        <v>4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SUMIFS(RAB!$F$14:$F$95,RAB!$C$14:$C$95,C842)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SUMIFS(RAB!$F$14:$F$95,RAB!$C$14:$C$95,C843)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SUMIFS(RAB!$F$14:$F$95,RAB!$C$14:$C$95,C844)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SUMIFS(RAB!$F$14:$F$95,RAB!$C$14:$C$95,C845)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SUMIFS(RAB!$F$14:$F$95,RAB!$C$14:$C$95,C846)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SUMIFS(RAB!$F$14:$F$95,RAB!$C$14:$C$95,C847)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SUMIFS(RAB!$F$14:$F$95,RAB!$C$14:$C$95,C848)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SUMIFS(RAB!$F$14:$F$95,RAB!$C$14:$C$95,C849)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SUMIFS(RAB!$F$14:$F$95,RAB!$C$14:$C$95,C850)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SUMIFS(RAB!$F$14:$F$95,RAB!$C$14:$C$95,C851)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SUMIFS(RAB!$F$14:$F$95,RAB!$C$14:$C$95,C852)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SUMIFS(RAB!$F$14:$F$95,RAB!$C$14:$C$95,C853)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SUMIFS(RAB!$F$14:$F$95,RAB!$C$14:$C$95,C854)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SUMIFS(RAB!$F$14:$F$95,RAB!$C$14:$C$95,C855)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SUMIFS(RAB!$F$14:$F$95,RAB!$C$14:$C$95,C856)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SUMIFS(RAB!$F$14:$F$95,RAB!$C$14:$C$95,C857)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SUMIFS(RAB!$F$14:$F$95,RAB!$C$14:$C$95,C858)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SUMIFS(RAB!$F$14:$F$95,RAB!$C$14:$C$95,C859)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SUMIFS(RAB!$F$14:$F$95,RAB!$C$14:$C$95,C860)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SUMIFS(RAB!$F$14:$F$95,RAB!$C$14:$C$95,C861)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SUMIFS(RAB!$F$14:$F$95,RAB!$C$14:$C$95,C862)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SUMIFS(RAB!$F$14:$F$95,RAB!$C$14:$C$95,C863)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SUMIFS(RAB!$F$14:$F$95,RAB!$C$14:$C$95,C864)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SUMIFS(RAB!$F$14:$F$95,RAB!$C$14:$C$95,C865)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SUMIFS(RAB!$F$14:$F$95,RAB!$C$14:$C$95,C866)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SUMIFS(RAB!$F$14:$F$95,RAB!$C$14:$C$95,C867)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SUMIFS(RAB!$F$14:$F$95,RAB!$C$14:$C$95,C868)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SUMIFS(RAB!$F$14:$F$95,RAB!$C$14:$C$95,C869)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SUMIFS(RAB!$F$14:$F$95,RAB!$C$14:$C$95,C870)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SUMIFS(RAB!$F$14:$F$95,RAB!$C$14:$C$95,C871)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SUMIFS(RAB!$F$14:$F$95,RAB!$C$14:$C$95,C872)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SUMIFS(RAB!$F$14:$F$95,RAB!$C$14:$C$95,C873)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SUMIFS(RAB!$F$14:$F$95,RAB!$C$14:$C$95,C874)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SUMIFS(RAB!$F$14:$F$95,RAB!$C$14:$C$95,C875)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SUMIFS(RAB!$F$14:$F$95,RAB!$C$14:$C$95,C876)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SUMIFS(RAB!$F$14:$F$95,RAB!$C$14:$C$95,C877)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SUMIFS(RAB!$F$14:$F$95,RAB!$C$14:$C$95,C878)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SUMIFS(RAB!$F$14:$F$95,RAB!$C$14:$C$95,C879)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SUMIFS(RAB!$F$14:$F$95,RAB!$C$14:$C$95,C880)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SUMIFS(RAB!$F$14:$F$95,RAB!$C$14:$C$95,C881)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SUMIFS(RAB!$F$14:$F$95,RAB!$C$14:$C$95,C882)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SUMIFS(RAB!$F$14:$F$95,RAB!$C$14:$C$95,C883)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SUMIFS(RAB!$F$14:$F$95,RAB!$C$14:$C$95,C884)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SUMIFS(RAB!$F$14:$F$95,RAB!$C$14:$C$95,C885)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SUMIFS(RAB!$F$14:$F$95,RAB!$C$14:$C$95,C886)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SUMIFS(RAB!$F$14:$F$95,RAB!$C$14:$C$95,C887)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SUMIFS(RAB!$F$14:$F$95,RAB!$C$14:$C$95,C888)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SUMIFS(RAB!$F$14:$F$95,RAB!$C$14:$C$95,C889)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SUMIFS(RAB!$F$14:$F$95,RAB!$C$14:$C$95,C890)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SUMIFS(RAB!$F$14:$F$95,RAB!$C$14:$C$95,C891)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SUMIFS(RAB!$F$14:$F$95,RAB!$C$14:$C$95,C892)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SUMIFS(RAB!$F$14:$F$95,RAB!$C$14:$C$95,C893)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SUMIFS(RAB!$F$14:$F$95,RAB!$C$14:$C$95,C894)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SUMIFS(RAB!$F$14:$F$95,RAB!$C$14:$C$95,C895)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SUMIFS(RAB!$F$14:$F$95,RAB!$C$14:$C$95,C896)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SUMIFS(RAB!$F$14:$F$95,RAB!$C$14:$C$95,C897)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SUMIFS(RAB!$F$14:$F$95,RAB!$C$14:$C$95,C898)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SUMIFS(RAB!$F$14:$F$95,RAB!$C$14:$C$95,C899)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SUMIFS(RAB!$F$14:$F$95,RAB!$C$14:$C$95,C900)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SUMIFS(RAB!$F$14:$F$95,RAB!$C$14:$C$95,C901)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SUMIFS(RAB!$F$14:$F$95,RAB!$C$14:$C$95,C902)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SUMIFS(RAB!$F$14:$F$95,RAB!$C$14:$C$95,C903)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SUMIFS(RAB!$F$14:$F$95,RAB!$C$14:$C$95,C904)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SUMIFS(RAB!$F$14:$F$95,RAB!$C$14:$C$95,C905)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SUMIFS(RAB!$F$14:$F$95,RAB!$C$14:$C$95,C906)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SUMIFS(RAB!$F$14:$F$95,RAB!$C$14:$C$95,C907)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SUMIFS(RAB!$F$14:$F$95,RAB!$C$14:$C$95,C908)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SUMIFS(RAB!$F$14:$F$95,RAB!$C$14:$C$95,C909)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SUMIFS(RAB!$F$14:$F$95,RAB!$C$14:$C$95,C910)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SUMIFS(RAB!$F$14:$F$95,RAB!$C$14:$C$95,C911)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SUMIFS(RAB!$F$14:$F$95,RAB!$C$14:$C$95,C912)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SUMIFS(RAB!$F$14:$F$95,RAB!$C$14:$C$95,C913)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SUMIFS(RAB!$F$14:$F$95,RAB!$C$14:$C$95,C914)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SUMIFS(RAB!$F$14:$F$95,RAB!$C$14:$C$95,C915)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SUMIFS(RAB!$F$14:$F$95,RAB!$C$14:$C$95,C916)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SUMIFS(RAB!$F$14:$F$95,RAB!$C$14:$C$95,C917)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SUMIFS(RAB!$F$14:$F$95,RAB!$C$14:$C$95,C918)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SUMIFS(RAB!$F$14:$F$95,RAB!$C$14:$C$95,C919)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SUMIFS(RAB!$F$14:$F$95,RAB!$C$14:$C$95,C920)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SUMIFS(RAB!$F$14:$F$95,RAB!$C$14:$C$95,C921)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SUMIFS(RAB!$F$14:$F$95,RAB!$C$14:$C$95,C922)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SUMIFS(RAB!$F$14:$F$95,RAB!$C$14:$C$95,C923)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SUMIFS(RAB!$F$14:$F$95,RAB!$C$14:$C$95,C924)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SUMIFS(RAB!$F$14:$F$95,RAB!$C$14:$C$95,C925)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SUMIFS(RAB!$F$14:$F$95,RAB!$C$14:$C$95,C926)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SUMIFS(RAB!$F$14:$F$95,RAB!$C$14:$C$95,C927)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SUMIFS(RAB!$F$14:$F$95,RAB!$C$14:$C$95,C928)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SUMIFS(RAB!$F$14:$F$95,RAB!$C$14:$C$95,C929)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SUMIFS(RAB!$F$14:$F$95,RAB!$C$14:$C$95,C930)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SUMIFS(RAB!$F$14:$F$95,RAB!$C$14:$C$95,C931)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SUMIFS(RAB!$F$14:$F$95,RAB!$C$14:$C$95,C932)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SUMIFS(RAB!$F$14:$F$95,RAB!$C$14:$C$95,C933)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SUMIFS(RAB!$F$14:$F$95,RAB!$C$14:$C$95,C934)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SUMIFS(RAB!$F$14:$F$95,RAB!$C$14:$C$95,C935)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SUMIFS(RAB!$F$14:$F$95,RAB!$C$14:$C$95,C936)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SUMIFS(RAB!$F$14:$F$95,RAB!$C$14:$C$95,C937)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SUMIFS(RAB!$F$14:$F$95,RAB!$C$14:$C$95,C938)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SUMIFS(RAB!$F$14:$F$95,RAB!$C$14:$C$95,C939)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SUMIFS(RAB!$F$14:$F$95,RAB!$C$14:$C$95,C940)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SUMIFS(RAB!$F$14:$F$95,RAB!$C$14:$C$95,C941)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SUMIFS(RAB!$F$14:$F$95,RAB!$C$14:$C$95,C942)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SUMIFS(RAB!$F$14:$F$95,RAB!$C$14:$C$95,C943)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SUMIFS(RAB!$F$14:$F$95,RAB!$C$14:$C$95,C944)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SUMIFS(RAB!$F$14:$F$95,RAB!$C$14:$C$95,C945)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SUMIFS(RAB!$F$14:$F$95,RAB!$C$14:$C$95,C946)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SUMIFS(RAB!$F$14:$F$95,RAB!$C$14:$C$95,C947)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SUMIFS(RAB!$F$14:$F$95,RAB!$C$14:$C$95,C948)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SUMIFS(RAB!$F$14:$F$95,RAB!$C$14:$C$95,C949)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SUMIFS(RAB!$F$14:$F$95,RAB!$C$14:$C$95,C950)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SUMIFS(RAB!$F$14:$F$95,RAB!$C$14:$C$95,C951)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SUMIFS(RAB!$F$14:$F$95,RAB!$C$14:$C$95,C952)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SUMIFS(RAB!$F$14:$F$95,RAB!$C$14:$C$95,C953)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SUMIFS(RAB!$F$14:$F$95,RAB!$C$14:$C$95,C954)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SUMIFS(RAB!$F$14:$F$95,RAB!$C$14:$C$95,C955)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SUMIFS(RAB!$F$14:$F$95,RAB!$C$14:$C$95,C956)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SUMIFS(RAB!$F$14:$F$95,RAB!$C$14:$C$95,C957)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SUMIFS(RAB!$F$14:$F$95,RAB!$C$14:$C$95,C958)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SUMIFS(RAB!$F$14:$F$95,RAB!$C$14:$C$95,C959)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SUMIFS(RAB!$F$14:$F$95,RAB!$C$14:$C$95,C960)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SUMIFS(RAB!$F$14:$F$95,RAB!$C$14:$C$95,C961)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SUMIFS(RAB!$F$14:$F$95,RAB!$C$14:$C$95,C962)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SUMIFS(RAB!$F$14:$F$95,RAB!$C$14:$C$95,C963)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SUMIFS(RAB!$F$14:$F$95,RAB!$C$14:$C$95,C964)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SUMIFS(RAB!$F$14:$F$95,RAB!$C$14:$C$95,C965)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SUMIFS(RAB!$F$14:$F$95,RAB!$C$14:$C$95,C966)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SUMIFS(RAB!$F$14:$F$95,RAB!$C$14:$C$95,C967)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SUMIFS(RAB!$F$14:$F$95,RAB!$C$14:$C$95,C968)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SUMIFS(RAB!$F$14:$F$95,RAB!$C$14:$C$95,C969)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SUMIFS(RAB!$F$14:$F$95,RAB!$C$14:$C$95,C970)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SUMIFS(RAB!$F$14:$F$95,RAB!$C$14:$C$95,C971)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SUMIFS(RAB!$F$14:$F$95,RAB!$C$14:$C$95,C972)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SUMIFS(RAB!$F$14:$F$95,RAB!$C$14:$C$95,C973)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SUMIFS(RAB!$F$14:$F$95,RAB!$C$14:$C$95,C974)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SUMIFS(RAB!$F$14:$F$95,RAB!$C$14:$C$95,C975)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SUMIFS(RAB!$F$14:$F$95,RAB!$C$14:$C$95,C976)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SUMIFS(RAB!$F$14:$F$95,RAB!$C$14:$C$95,C977)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SUMIFS(RAB!$F$14:$F$95,RAB!$C$14:$C$95,C978)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SUMIFS(RAB!$F$14:$F$95,RAB!$C$14:$C$95,C979)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SUMIFS(RAB!$F$14:$F$95,RAB!$C$14:$C$95,C980)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SUMIFS(RAB!$F$14:$F$95,RAB!$C$14:$C$95,C981)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SUMIFS(RAB!$F$14:$F$95,RAB!$C$14:$C$95,C982)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SUMIFS(RAB!$F$14:$F$95,RAB!$C$14:$C$95,C983)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SUMIFS(RAB!$F$14:$F$95,RAB!$C$14:$C$95,C984)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SUMIFS(RAB!$F$14:$F$95,RAB!$C$14:$C$95,C985)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SUMIFS(RAB!$F$14:$F$95,RAB!$C$14:$C$95,C986)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SUMIFS(RAB!$F$14:$F$95,RAB!$C$14:$C$95,C987)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SUMIFS(RAB!$F$14:$F$95,RAB!$C$14:$C$95,C988)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SUMIFS(RAB!$F$14:$F$95,RAB!$C$14:$C$95,C989)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SUMIFS(RAB!$F$14:$F$95,RAB!$C$14:$C$95,C990)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SUMIFS(RAB!$F$14:$F$95,RAB!$C$14:$C$95,C991)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SUMIFS(RAB!$F$14:$F$95,RAB!$C$14:$C$95,C992)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SUMIFS(RAB!$F$14:$F$95,RAB!$C$14:$C$95,C993)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SUMIFS(RAB!$F$14:$F$95,RAB!$C$14:$C$95,C994)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SUMIFS(RAB!$F$14:$F$95,RAB!$C$14:$C$95,C995)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SUMIFS(RAB!$F$14:$F$95,RAB!$C$14:$C$95,C996)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SUMIFS(RAB!$F$14:$F$95,RAB!$C$14:$C$95,C997)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SUMIFS(RAB!$F$14:$F$95,RAB!$C$14:$C$95,C998)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SUMIFS(RAB!$F$14:$F$95,RAB!$C$14:$C$95,C999)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SUMIFS(RAB!$F$14:$F$95,RAB!$C$14:$C$95,C1000)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SUMIFS(RAB!$F$14:$F$95,RAB!$C$14:$C$95,C1001)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SUMIFS(RAB!$F$14:$F$95,RAB!$C$14:$C$95,C1002)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SUMIFS(RAB!$F$14:$F$95,RAB!$C$14:$C$95,C1003)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SUMIFS(RAB!$F$14:$F$95,RAB!$C$14:$C$95,C1004)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SUMIFS(RAB!$F$14:$F$95,RAB!$C$14:$C$95,C1005)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SUMIFS(RAB!$F$14:$F$95,RAB!$C$14:$C$95,C1006)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SUMIFS(RAB!$F$14:$F$95,RAB!$C$14:$C$95,C1007)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SUMIFS(RAB!$F$14:$F$95,RAB!$C$14:$C$95,C1008)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SUMIFS(RAB!$F$14:$F$95,RAB!$C$14:$C$95,C1009)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SUMIFS(RAB!$F$14:$F$95,RAB!$C$14:$C$95,C1010)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SUMIFS(RAB!$F$14:$F$95,RAB!$C$14:$C$95,C1011)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SUMIFS(RAB!$F$14:$F$95,RAB!$C$14:$C$95,C1012)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SUMIFS(RAB!$F$14:$F$95,RAB!$C$14:$C$95,C1013)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SUMIFS(RAB!$F$14:$F$95,RAB!$C$14:$C$95,C1014)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SUMIFS(RAB!$F$14:$F$95,RAB!$C$14:$C$95,C1015)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SUMIFS(RAB!$F$14:$F$95,RAB!$C$14:$C$95,C1016)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SUMIFS(RAB!$F$14:$F$95,RAB!$C$14:$C$95,C1017)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SUMIFS(RAB!$F$14:$F$95,RAB!$C$14:$C$95,C1018)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SUMIFS(RAB!$F$14:$F$95,RAB!$C$14:$C$95,C1019)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SUMIFS(RAB!$F$14:$F$95,RAB!$C$14:$C$95,C1020)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SUMIFS(RAB!$F$14:$F$95,RAB!$C$14:$C$95,C1021)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SUMIFS(RAB!$F$14:$F$95,RAB!$C$14:$C$95,C1022)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SUMIFS(RAB!$F$14:$F$95,RAB!$C$14:$C$95,C1023)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SUMIFS(RAB!$F$14:$F$95,RAB!$C$14:$C$95,C1024)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SUMIFS(RAB!$F$14:$F$95,RAB!$C$14:$C$95,C1025)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SUMIFS(RAB!$F$14:$F$95,RAB!$C$14:$C$95,C1026)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SUMIFS(RAB!$F$14:$F$95,RAB!$C$14:$C$95,C1027)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SUMIFS(RAB!$F$14:$F$95,RAB!$C$14:$C$95,C1028)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SUMIFS(RAB!$F$14:$F$95,RAB!$C$14:$C$95,C1029)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SUMIFS(RAB!$F$14:$F$95,RAB!$C$14:$C$95,C1030)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SUMIFS(RAB!$F$14:$F$95,RAB!$C$14:$C$95,C1031)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SUMIFS(RAB!$F$14:$F$95,RAB!$C$14:$C$95,C1032)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SUMIFS(RAB!$F$14:$F$95,RAB!$C$14:$C$95,C1033)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SUMIFS(RAB!$F$14:$F$95,RAB!$C$14:$C$95,C1034)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SUMIFS(RAB!$F$14:$F$95,RAB!$C$14:$C$95,C1035)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SUMIFS(RAB!$F$14:$F$95,RAB!$C$14:$C$95,C1036)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SUMIFS(RAB!$F$14:$F$95,RAB!$C$14:$C$95,C1037)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SUMIFS(RAB!$F$14:$F$95,RAB!$C$14:$C$95,C1038)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SUMIFS(RAB!$F$14:$F$95,RAB!$C$14:$C$95,C1039)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SUMIFS(RAB!$F$14:$F$95,RAB!$C$14:$C$95,C1040)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SUMIFS(RAB!$F$14:$F$95,RAB!$C$14:$C$95,C1041)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SUMIFS(RAB!$F$14:$F$95,RAB!$C$14:$C$95,C1042)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SUMIFS(RAB!$F$14:$F$95,RAB!$C$14:$C$95,C1043)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SUMIFS(RAB!$F$14:$F$95,RAB!$C$14:$C$95,C1044)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SUMIFS(RAB!$F$14:$F$95,RAB!$C$14:$C$95,C1045)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SUMIFS(RAB!$F$14:$F$95,RAB!$C$14:$C$95,C1046)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SUMIFS(RAB!$F$14:$F$95,RAB!$C$14:$C$95,C1047)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SUMIFS(RAB!$F$14:$F$95,RAB!$C$14:$C$95,C1048)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SUMIFS(RAB!$F$14:$F$95,RAB!$C$14:$C$95,C1049)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SUMIFS(RAB!$F$14:$F$95,RAB!$C$14:$C$95,C1050)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SUMIFS(RAB!$F$14:$F$95,RAB!$C$14:$C$95,C1051)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SUMIFS(RAB!$F$14:$F$95,RAB!$C$14:$C$95,C1052)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SUMIFS(RAB!$F$14:$F$95,RAB!$C$14:$C$95,C1053)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SUMIFS(RAB!$F$14:$F$95,RAB!$C$14:$C$95,C1054)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SUMIFS(RAB!$F$14:$F$95,RAB!$C$14:$C$95,C1055)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SUMIFS(RAB!$F$14:$F$95,RAB!$C$14:$C$95,C1056)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SUMIFS(RAB!$F$14:$F$95,RAB!$C$14:$C$95,C1057)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SUMIFS(RAB!$F$14:$F$95,RAB!$C$14:$C$95,C1058)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SUMIFS(RAB!$F$14:$F$95,RAB!$C$14:$C$95,C1059)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SUMIFS(RAB!$F$14:$F$95,RAB!$C$14:$C$95,C1060)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SUMIFS(RAB!$F$14:$F$95,RAB!$C$14:$C$95,C1061)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SUMIFS(RAB!$F$14:$F$95,RAB!$C$14:$C$95,C1062)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SUMIFS(RAB!$F$14:$F$95,RAB!$C$14:$C$95,C1063)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SUMIFS(RAB!$F$14:$F$95,RAB!$C$14:$C$95,C1064)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SUMIFS(RAB!$F$14:$F$95,RAB!$C$14:$C$95,C1065)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SUMIFS(RAB!$F$14:$F$95,RAB!$C$14:$C$95,C1066)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SUMIFS(RAB!$F$14:$F$95,RAB!$C$14:$C$95,C1067)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SUMIFS(RAB!$F$14:$F$95,RAB!$C$14:$C$95,C1068)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SUMIFS(RAB!$F$14:$F$95,RAB!$C$14:$C$95,C1069)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SUMIFS(RAB!$F$14:$F$95,RAB!$C$14:$C$95,C1070)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SUMIFS(RAB!$F$14:$F$95,RAB!$C$14:$C$95,C1071)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SUMIFS(RAB!$F$14:$F$95,RAB!$C$14:$C$95,C1072)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SUMIFS(RAB!$F$14:$F$95,RAB!$C$14:$C$95,C1073)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SUMIFS(RAB!$F$14:$F$95,RAB!$C$14:$C$95,C1074)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SUMIFS(RAB!$F$14:$F$95,RAB!$C$14:$C$95,C1075)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SUMIFS(RAB!$F$14:$F$95,RAB!$C$14:$C$95,C1076)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SUMIFS(RAB!$F$14:$F$95,RAB!$C$14:$C$95,C1077)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SUMIFS(RAB!$F$14:$F$95,RAB!$C$14:$C$95,C1078)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SUMIFS(RAB!$F$14:$F$95,RAB!$C$14:$C$95,C1079)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SUMIFS(RAB!$F$14:$F$95,RAB!$C$14:$C$95,C1080)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SUMIFS(RAB!$F$14:$F$95,RAB!$C$14:$C$95,C1081)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SUMIFS(RAB!$F$14:$F$95,RAB!$C$14:$C$95,C1082)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SUMIFS(RAB!$F$14:$F$95,RAB!$C$14:$C$95,C1083)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SUMIFS(RAB!$F$14:$F$95,RAB!$C$14:$C$95,C1084)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SUMIFS(RAB!$F$14:$F$95,RAB!$C$14:$C$95,C1085)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SUMIFS(RAB!$F$14:$F$95,RAB!$C$14:$C$95,C1086)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SUMIFS(RAB!$F$14:$F$95,RAB!$C$14:$C$95,C1087)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SUMIFS(RAB!$F$14:$F$95,RAB!$C$14:$C$95,C1088)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SUMIFS(RAB!$F$14:$F$95,RAB!$C$14:$C$95,C1089)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SUMIFS(RAB!$F$14:$F$95,RAB!$C$14:$C$95,C1090)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SUMIFS(RAB!$F$14:$F$95,RAB!$C$14:$C$95,C1091)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SUMIFS(RAB!$F$14:$F$95,RAB!$C$14:$C$95,C1092)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SUMIFS(RAB!$F$14:$F$95,RAB!$C$14:$C$95,C1093)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SUMIFS(RAB!$F$14:$F$95,RAB!$C$14:$C$95,C1094)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SUMIFS(RAB!$F$14:$F$95,RAB!$C$14:$C$95,C1095)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SUMIFS(RAB!$F$14:$F$95,RAB!$C$14:$C$95,C1096)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SUMIFS(RAB!$F$14:$F$95,RAB!$C$14:$C$95,C1097)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SUMIFS(RAB!$F$14:$F$95,RAB!$C$14:$C$95,C1098)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SUMIFS(RAB!$F$14:$F$95,RAB!$C$14:$C$95,C1099)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SUMIFS(RAB!$F$14:$F$95,RAB!$C$14:$C$95,C1100)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SUMIFS(RAB!$F$14:$F$95,RAB!$C$14:$C$95,C1101)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SUMIFS(RAB!$F$14:$F$95,RAB!$C$14:$C$95,C1102)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SUMIFS(RAB!$F$14:$F$95,RAB!$C$14:$C$95,C1103)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SUMIFS(RAB!$F$14:$F$95,RAB!$C$14:$C$95,C1104)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SUMIFS(RAB!$F$14:$F$95,RAB!$C$14:$C$95,C1105)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SUMIFS(RAB!$F$14:$F$95,RAB!$C$14:$C$95,C1106)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SUMIFS(RAB!$F$14:$F$95,RAB!$C$14:$C$95,C1107)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SUMIFS(RAB!$F$14:$F$95,RAB!$C$14:$C$95,C1108)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SUMIFS(RAB!$F$14:$F$95,RAB!$C$14:$C$95,C1109)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SUMIFS(RAB!$F$14:$F$95,RAB!$C$14:$C$95,C1110)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SUMIFS(RAB!$F$14:$F$95,RAB!$C$14:$C$95,C1111)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SUMIFS(RAB!$F$14:$F$95,RAB!$C$14:$C$95,C1112)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SUMIFS(RAB!$F$14:$F$95,RAB!$C$14:$C$95,C1113)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SUMIFS(RAB!$F$14:$F$95,RAB!$C$14:$C$95,C1114)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SUMIFS(RAB!$F$14:$F$95,RAB!$C$14:$C$95,C1115)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SUMIFS(RAB!$F$14:$F$95,RAB!$C$14:$C$95,C1116)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SUMIFS(RAB!$F$14:$F$95,RAB!$C$14:$C$95,C1117)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SUMIFS(RAB!$F$14:$F$95,RAB!$C$14:$C$95,C1118)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SUMIFS(RAB!$F$14:$F$95,RAB!$C$14:$C$95,C1119)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SUMIFS(RAB!$F$14:$F$95,RAB!$C$14:$C$95,C1120)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SUMIFS(RAB!$F$14:$F$95,RAB!$C$14:$C$95,C1121)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SUMIFS(RAB!$F$14:$F$95,RAB!$C$14:$C$95,C1122)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SUMIFS(RAB!$F$14:$F$95,RAB!$C$14:$C$95,C1123)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SUMIFS(RAB!$F$14:$F$95,RAB!$C$14:$C$95,C1124)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SUMIFS(RAB!$F$14:$F$95,RAB!$C$14:$C$95,C1125)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SUMIFS(RAB!$F$14:$F$95,RAB!$C$14:$C$95,C1126)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SUMIFS(RAB!$F$14:$F$95,RAB!$C$14:$C$95,C1127)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SUMIFS(RAB!$F$14:$F$95,RAB!$C$14:$C$95,C1128)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SUMIFS(RAB!$F$14:$F$95,RAB!$C$14:$C$95,C1129)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SUMIFS(RAB!$F$14:$F$95,RAB!$C$14:$C$95,C1130)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SUMIFS(RAB!$F$14:$F$95,RAB!$C$14:$C$95,C1131)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SUMIFS(RAB!$F$14:$F$95,RAB!$C$14:$C$95,C1132)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SUMIFS(RAB!$F$14:$F$95,RAB!$C$14:$C$95,C1133)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SUMIFS(RAB!$F$14:$F$95,RAB!$C$14:$C$95,C1134)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SUMIFS(RAB!$F$14:$F$95,RAB!$C$14:$C$95,C1135)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SUMIFS(RAB!$F$14:$F$95,RAB!$C$14:$C$95,C1136)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SUMIFS(RAB!$F$14:$F$95,RAB!$C$14:$C$95,C1137)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SUMIFS(RAB!$F$14:$F$95,RAB!$C$14:$C$95,C1138)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SUMIFS(RAB!$F$14:$F$95,RAB!$C$14:$C$95,C1139)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SUMIFS(RAB!$F$14:$F$95,RAB!$C$14:$C$95,C1140)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SUMIFS(RAB!$F$14:$F$95,RAB!$C$14:$C$95,C1141)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SUMIFS(RAB!$F$14:$F$95,RAB!$C$14:$C$95,C1142)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SUMIFS(RAB!$F$14:$F$95,RAB!$C$14:$C$95,C1143)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SUMIFS(RAB!$F$14:$F$95,RAB!$C$14:$C$95,C1144)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SUMIFS(RAB!$F$14:$F$95,RAB!$C$14:$C$95,C1145)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SUMIFS(RAB!$F$14:$F$95,RAB!$C$14:$C$95,C1146)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SUMIFS(RAB!$F$14:$F$95,RAB!$C$14:$C$95,C1147)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SUMIFS(RAB!$F$14:$F$95,RAB!$C$14:$C$95,C1148)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SUMIFS(RAB!$F$14:$F$95,RAB!$C$14:$C$95,C1149)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SUMIFS(RAB!$F$14:$F$95,RAB!$C$14:$C$95,C1150)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SUMIFS(RAB!$F$14:$F$95,RAB!$C$14:$C$95,C1151)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SUMIFS(RAB!$F$14:$F$95,RAB!$C$14:$C$95,C1152)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SUMIFS(RAB!$F$14:$F$95,RAB!$C$14:$C$95,C1153)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SUMIFS(RAB!$F$14:$F$95,RAB!$C$14:$C$95,C1154)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SUMIFS(RAB!$F$14:$F$95,RAB!$C$14:$C$95,C1155)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SUMIFS(RAB!$F$14:$F$95,RAB!$C$14:$C$95,C1156)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SUMIFS(RAB!$F$14:$F$95,RAB!$C$14:$C$95,C1157)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SUMIFS(RAB!$F$14:$F$95,RAB!$C$14:$C$95,C1158)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SUMIFS(RAB!$F$14:$F$95,RAB!$C$14:$C$95,C1159)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SUMIFS(RAB!$F$14:$F$95,RAB!$C$14:$C$95,C1160)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SUMIFS(RAB!$F$14:$F$95,RAB!$C$14:$C$95,C1161)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SUMIFS(RAB!$F$14:$F$95,RAB!$C$14:$C$95,C1162)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SUMIFS(RAB!$F$14:$F$95,RAB!$C$14:$C$95,C1163)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SUMIFS(RAB!$F$14:$F$95,RAB!$C$14:$C$95,C1164)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SUMIFS(RAB!$F$14:$F$95,RAB!$C$14:$C$95,C1165)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SUMIFS(RAB!$F$14:$F$95,RAB!$C$14:$C$95,C1166)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SUMIFS(RAB!$F$14:$F$95,RAB!$C$14:$C$95,C1167)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SUMIFS(RAB!$F$14:$F$95,RAB!$C$14:$C$95,C1168)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SUMIFS(RAB!$F$14:$F$95,RAB!$C$14:$C$95,C1169)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SUMIFS(RAB!$F$14:$F$95,RAB!$C$14:$C$95,C1170)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SUMIFS(RAB!$F$14:$F$95,RAB!$C$14:$C$95,C1171)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SUMIFS(RAB!$F$14:$F$95,RAB!$C$14:$C$95,C1172)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SUMIFS(RAB!$F$14:$F$95,RAB!$C$14:$C$95,C1173)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SUMIFS(RAB!$F$14:$F$95,RAB!$C$14:$C$95,C1174)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SUMIFS(RAB!$F$14:$F$95,RAB!$C$14:$C$95,C1175)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SUMIFS(RAB!$F$14:$F$95,RAB!$C$14:$C$95,C1176)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SUMIFS(RAB!$F$14:$F$95,RAB!$C$14:$C$95,C1177)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SUMIFS(RAB!$F$14:$F$95,RAB!$C$14:$C$95,C1178)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SUMIFS(RAB!$F$14:$F$95,RAB!$C$14:$C$95,C1179)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SUMIFS(RAB!$F$14:$F$95,RAB!$C$14:$C$95,C1180)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SUMIFS(RAB!$F$14:$F$95,RAB!$C$14:$C$95,C1181)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SUMIFS(RAB!$F$14:$F$95,RAB!$C$14:$C$95,C1182)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SUMIFS(RAB!$F$14:$F$95,RAB!$C$14:$C$95,C1183)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SUMIFS(RAB!$F$14:$F$95,RAB!$C$14:$C$95,C1184)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SUMIFS(RAB!$F$14:$F$95,RAB!$C$14:$C$95,C1185)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SUMIFS(RAB!$F$14:$F$95,RAB!$C$14:$C$95,C1186)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SUMIFS(RAB!$F$14:$F$95,RAB!$C$14:$C$95,C1187)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SUMIFS(RAB!$F$14:$F$95,RAB!$C$14:$C$95,C1188)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SUMIFS(RAB!$F$14:$F$95,RAB!$C$14:$C$95,C1189)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SUMIFS(RAB!$F$14:$F$95,RAB!$C$14:$C$95,C1190)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SUMIFS(RAB!$F$14:$F$95,RAB!$C$14:$C$95,C1191)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SUMIFS(RAB!$F$14:$F$95,RAB!$C$14:$C$95,C1192)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SUMIFS(RAB!$F$14:$F$95,RAB!$C$14:$C$95,C1193)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SUMIFS(RAB!$F$14:$F$95,RAB!$C$14:$C$95,C1194)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SUMIFS(RAB!$F$14:$F$95,RAB!$C$14:$C$95,C1195)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SUMIFS(RAB!$F$14:$F$95,RAB!$C$14:$C$95,C1196)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SUMIFS(RAB!$F$14:$F$95,RAB!$C$14:$C$95,C1197)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SUMIFS(RAB!$F$14:$F$95,RAB!$C$14:$C$95,C1198)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SUMIFS(RAB!$F$14:$F$95,RAB!$C$14:$C$95,C1199)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SUMIFS(RAB!$F$14:$F$95,RAB!$C$14:$C$95,C1200)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SUMIFS(RAB!$F$14:$F$95,RAB!$C$14:$C$95,C1201)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SUMIFS(RAB!$F$14:$F$95,RAB!$C$14:$C$95,C1202)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SUMIFS(RAB!$F$14:$F$95,RAB!$C$14:$C$95,C1203)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SUMIFS(RAB!$F$14:$F$95,RAB!$C$14:$C$95,C1204)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SUMIFS(RAB!$F$14:$F$95,RAB!$C$14:$C$95,C1205)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SUMIFS(RAB!$F$14:$F$95,RAB!$C$14:$C$95,C1206)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SUMIFS(RAB!$F$14:$F$95,RAB!$C$14:$C$95,C1207)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SUMIFS(RAB!$F$14:$F$95,RAB!$C$14:$C$95,C1208)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SUMIFS(RAB!$F$14:$F$95,RAB!$C$14:$C$95,C1209)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SUMIFS(RAB!$F$14:$F$95,RAB!$C$14:$C$95,C1210)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SUMIFS(RAB!$F$14:$F$95,RAB!$C$14:$C$95,C1211)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SUMIFS(RAB!$F$14:$F$95,RAB!$C$14:$C$95,C1212)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SUMIFS(RAB!$F$14:$F$95,RAB!$C$14:$C$95,C1213)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SUMIFS(RAB!$F$14:$F$95,RAB!$C$14:$C$95,C1214)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SUMIFS(RAB!$F$14:$F$95,RAB!$C$14:$C$95,C1215)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SUMIFS(RAB!$F$14:$F$95,RAB!$C$14:$C$95,C1216)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SUMIFS(RAB!$F$14:$F$95,RAB!$C$14:$C$95,C1217)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SUMIFS(RAB!$F$14:$F$95,RAB!$C$14:$C$95,C1218)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SUMIFS(RAB!$F$14:$F$95,RAB!$C$14:$C$95,C1219)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SUMIFS(RAB!$F$14:$F$95,RAB!$C$14:$C$95,C1220)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SUMIFS(RAB!$F$14:$F$95,RAB!$C$14:$C$95,C1221)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SUMIFS(RAB!$F$14:$F$95,RAB!$C$14:$C$95,C1222)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SUMIFS(RAB!$F$14:$F$95,RAB!$C$14:$C$95,C1223)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SUMIFS(RAB!$F$14:$F$95,RAB!$C$14:$C$95,C1224)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SUMIFS(RAB!$F$14:$F$95,RAB!$C$14:$C$95,C1225)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SUMIFS(RAB!$F$14:$F$95,RAB!$C$14:$C$95,C1226)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SUMIFS(RAB!$F$14:$F$95,RAB!$C$14:$C$95,C1227)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SUMIFS(RAB!$F$14:$F$95,RAB!$C$14:$C$95,C1228)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SUMIFS(RAB!$F$14:$F$95,RAB!$C$14:$C$95,C1229)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SUMIFS(RAB!$F$14:$F$95,RAB!$C$14:$C$95,C1230)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SUMIFS(RAB!$F$14:$F$95,RAB!$C$14:$C$95,C1231)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SUMIFS(RAB!$F$14:$F$95,RAB!$C$14:$C$95,C1232)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SUMIFS(RAB!$F$14:$F$95,RAB!$C$14:$C$95,C1233)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SUMIFS(RAB!$F$14:$F$95,RAB!$C$14:$C$95,C1234)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SUMIFS(RAB!$F$14:$F$95,RAB!$C$14:$C$95,C1235)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SUMIFS(RAB!$F$14:$F$95,RAB!$C$14:$C$95,C1236)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SUMIFS(RAB!$F$14:$F$95,RAB!$C$14:$C$95,C1237)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SUMIFS(RAB!$F$14:$F$95,RAB!$C$14:$C$95,C1238)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SUMIFS(RAB!$F$14:$F$95,RAB!$C$14:$C$95,C1239)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SUMIFS(RAB!$F$14:$F$95,RAB!$C$14:$C$95,C1240)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SUMIFS(RAB!$F$14:$F$95,RAB!$C$14:$C$95,C1241)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SUMIFS(RAB!$F$14:$F$95,RAB!$C$14:$C$95,C1242)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SUMIFS(RAB!$F$14:$F$95,RAB!$C$14:$C$95,C1243)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SUMIFS(RAB!$F$14:$F$95,RAB!$C$14:$C$95,C1244)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SUMIFS(RAB!$F$14:$F$95,RAB!$C$14:$C$95,C1245)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SUMIFS(RAB!$F$14:$F$95,RAB!$C$14:$C$95,C1246)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SUMIFS(RAB!$F$14:$F$95,RAB!$C$14:$C$95,C1247)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SUMIFS(RAB!$F$14:$F$95,RAB!$C$14:$C$95,C1248)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SUMIFS(RAB!$F$14:$F$95,RAB!$C$14:$C$95,C1249)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SUMIFS(RAB!$F$14:$F$95,RAB!$C$14:$C$95,C1250)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SUMIFS(RAB!$F$14:$F$95,RAB!$C$14:$C$95,C1251)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SUMIFS(RAB!$F$14:$F$95,RAB!$C$14:$C$95,C1252)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SUMIFS(RAB!$F$14:$F$95,RAB!$C$14:$C$95,C1253)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SUMIFS(RAB!$F$14:$F$95,RAB!$C$14:$C$95,C1254)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SUMIFS(RAB!$F$14:$F$95,RAB!$C$14:$C$95,C1255)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SUMIFS(RAB!$F$14:$F$95,RAB!$C$14:$C$95,C1256)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SUMIFS(RAB!$F$14:$F$95,RAB!$C$14:$C$95,C1257)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SUMIFS(RAB!$F$14:$F$95,RAB!$C$14:$C$95,C1258)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SUMIFS(RAB!$F$14:$F$95,RAB!$C$14:$C$95,C1259)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SUMIFS(RAB!$F$14:$F$95,RAB!$C$14:$C$95,C1260)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SUMIFS(RAB!$F$14:$F$95,RAB!$C$14:$C$95,C1261)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SUMIFS(RAB!$F$14:$F$95,RAB!$C$14:$C$95,C1262)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SUMIFS(RAB!$F$14:$F$95,RAB!$C$14:$C$95,C1263)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SUMIFS(RAB!$F$14:$F$95,RAB!$C$14:$C$95,C1264)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SUMIFS(RAB!$F$14:$F$95,RAB!$C$14:$C$95,C1265)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SUMIFS(RAB!$F$14:$F$95,RAB!$C$14:$C$95,C1266)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SUMIFS(RAB!$F$14:$F$95,RAB!$C$14:$C$95,C1267)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SUMIFS(RAB!$F$14:$F$95,RAB!$C$14:$C$95,C1268)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SUMIFS(RAB!$F$14:$F$95,RAB!$C$14:$C$95,C1269)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SUMIFS(RAB!$F$14:$F$95,RAB!$C$14:$C$95,C1270)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SUMIFS(RAB!$F$14:$F$95,RAB!$C$14:$C$95,C1271)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SUMIFS(RAB!$F$14:$F$95,RAB!$C$14:$C$95,C1272)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SUMIFS(RAB!$F$14:$F$95,RAB!$C$14:$C$95,C1273)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SUMIFS(RAB!$F$14:$F$95,RAB!$C$14:$C$95,C1274)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SUMIFS(RAB!$F$14:$F$95,RAB!$C$14:$C$95,C1275)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SUMIFS(RAB!$F$14:$F$95,RAB!$C$14:$C$95,C1276)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SUMIFS(RAB!$F$14:$F$95,RAB!$C$14:$C$95,C1277)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SUMIFS(RAB!$F$14:$F$95,RAB!$C$14:$C$95,C1278)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SUMIFS(RAB!$F$14:$F$95,RAB!$C$14:$C$95,C1279)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SUMIFS(RAB!$F$14:$F$95,RAB!$C$14:$C$95,C1280)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SUMIFS(RAB!$F$14:$F$95,RAB!$C$14:$C$95,C1281)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SUMIFS(RAB!$F$14:$F$95,RAB!$C$14:$C$95,C1282)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SUMIFS(RAB!$F$14:$F$95,RAB!$C$14:$C$95,C1283)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SUMIFS(RAB!$F$14:$F$95,RAB!$C$14:$C$95,C1284)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SUMIFS(RAB!$F$14:$F$95,RAB!$C$14:$C$95,C1285)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SUMIFS(RAB!$F$14:$F$95,RAB!$C$14:$C$95,C1286)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SUMIFS(RAB!$F$14:$F$95,RAB!$C$14:$C$95,C1287)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SUMIFS(RAB!$F$14:$F$95,RAB!$C$14:$C$95,C1288)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SUMIFS(RAB!$F$14:$F$95,RAB!$C$14:$C$95,C1289)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SUMIFS(RAB!$F$14:$F$95,RAB!$C$14:$C$95,C1290)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SUMIFS(RAB!$F$14:$F$95,RAB!$C$14:$C$95,C1291)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SUMIFS(RAB!$F$14:$F$95,RAB!$C$14:$C$95,C1292)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SUMIFS(RAB!$F$14:$F$95,RAB!$C$14:$C$95,C1293)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SUMIFS(RAB!$F$14:$F$95,RAB!$C$14:$C$95,C1294)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SUMIFS(RAB!$F$14:$F$95,RAB!$C$14:$C$95,C1295)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SUMIFS(RAB!$F$14:$F$95,RAB!$C$14:$C$95,C1296)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SUMIFS(RAB!$F$14:$F$95,RAB!$C$14:$C$95,C1297)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SUMIFS(RAB!$F$14:$F$95,RAB!$C$14:$C$95,C1298)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SUMIFS(RAB!$F$14:$F$95,RAB!$C$14:$C$95,C1299)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SUMIFS(RAB!$F$14:$F$95,RAB!$C$14:$C$95,C1300)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SUMIFS(RAB!$F$14:$F$95,RAB!$C$14:$C$95,C1301)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SUMIFS(RAB!$F$14:$F$95,RAB!$C$14:$C$95,C1302)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SUMIFS(RAB!$F$14:$F$95,RAB!$C$14:$C$95,C1303)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SUMIFS(RAB!$F$14:$F$95,RAB!$C$14:$C$95,C1304)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SUMIFS(RAB!$F$14:$F$95,RAB!$C$14:$C$95,C1305)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SUMIFS(RAB!$F$14:$F$95,RAB!$C$14:$C$95,C1306)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SUMIFS(RAB!$F$14:$F$95,RAB!$C$14:$C$95,C1307)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SUMIFS(RAB!$F$14:$F$95,RAB!$C$14:$C$95,C1308)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SUMIFS(RAB!$F$14:$F$95,RAB!$C$14:$C$95,C1309)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SUMIFS(RAB!$F$14:$F$95,RAB!$C$14:$C$95,C1310)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SUMIFS(RAB!$F$14:$F$95,RAB!$C$14:$C$95,C1311)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SUMIFS(RAB!$F$14:$F$95,RAB!$C$14:$C$95,C1312)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SUMIFS(RAB!$F$14:$F$95,RAB!$C$14:$C$95,C1313)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SUMIFS(RAB!$F$14:$F$95,RAB!$C$14:$C$95,C1314)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SUMIFS(RAB!$F$14:$F$95,RAB!$C$14:$C$95,C1315)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SUMIFS(RAB!$F$14:$F$95,RAB!$C$14:$C$95,C1316)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SUMIFS(RAB!$F$14:$F$95,RAB!$C$14:$C$95,C1317)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SUMIFS(RAB!$F$14:$F$95,RAB!$C$14:$C$95,C1318)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SUMIFS(RAB!$F$14:$F$95,RAB!$C$14:$C$95,C1319)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SUMIFS(RAB!$F$14:$F$95,RAB!$C$14:$C$95,C1320)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3" priority="5" operator="equal">
      <formula>0</formula>
    </cfRule>
  </conditionalFormatting>
  <conditionalFormatting sqref="A10:L65536">
    <cfRule type="cellIs" dxfId="52" priority="1" operator="equal">
      <formula>0</formula>
    </cfRule>
  </conditionalFormatting>
  <conditionalFormatting sqref="C12:C711">
    <cfRule type="cellIs" dxfId="51" priority="66" stopIfTrue="1" operator="equal">
      <formula>0</formula>
    </cfRule>
  </conditionalFormatting>
  <conditionalFormatting sqref="E712:E65536">
    <cfRule type="cellIs" dxfId="50" priority="16" stopIfTrue="1" operator="equal">
      <formula>0</formula>
    </cfRule>
  </conditionalFormatting>
  <conditionalFormatting sqref="G1:G11 E6:E11 E1:E3 H7 H10:H11 F10:F711 G712:G65536">
    <cfRule type="cellIs" dxfId="49" priority="69" stopIfTrue="1" operator="equal">
      <formula>0</formula>
    </cfRule>
  </conditionalFormatting>
  <conditionalFormatting sqref="G12:H711">
    <cfRule type="cellIs" dxfId="48" priority="12" stopIfTrue="1" operator="equal">
      <formula>0</formula>
    </cfRule>
  </conditionalFormatting>
  <conditionalFormatting sqref="I7:K7">
    <cfRule type="cellIs" dxfId="47" priority="4" stopIfTrue="1" operator="equal">
      <formula>0</formula>
    </cfRule>
  </conditionalFormatting>
  <conditionalFormatting sqref="I10:L711">
    <cfRule type="cellIs" dxfId="46" priority="2" stopIfTrue="1" operator="equal">
      <formula>0</formula>
    </cfRule>
  </conditionalFormatting>
  <conditionalFormatting sqref="L1:L6">
    <cfRule type="cellIs" dxfId="45" priority="10" operator="equal">
      <formula>0</formula>
    </cfRule>
  </conditionalFormatting>
  <conditionalFormatting sqref="M1:IV1048576 A8:G9">
    <cfRule type="cellIs" dxfId="44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55" t="s">
        <v>1127</v>
      </c>
      <c r="C4" s="555"/>
      <c r="D4" s="555"/>
      <c r="E4" s="555"/>
      <c r="F4" s="555"/>
      <c r="G4" s="555"/>
      <c r="H4" s="555"/>
      <c r="I4" s="555"/>
      <c r="J4" s="555"/>
      <c r="K4" s="55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8" t="str">
        <f>RAB!G6</f>
        <v>IKA BINTA ADRIYANI</v>
      </c>
      <c r="H6" s="548"/>
      <c r="I6" s="548"/>
      <c r="J6" s="548"/>
      <c r="K6" s="548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HARJOWINANGUN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56" t="s">
        <v>0</v>
      </c>
      <c r="C11" s="558" t="s">
        <v>1</v>
      </c>
      <c r="D11" s="561" t="s">
        <v>42</v>
      </c>
      <c r="E11" s="561" t="s">
        <v>43</v>
      </c>
      <c r="F11" s="561" t="s">
        <v>2</v>
      </c>
      <c r="G11" s="562" t="s">
        <v>41</v>
      </c>
      <c r="H11" s="561" t="s">
        <v>3</v>
      </c>
      <c r="I11" s="561"/>
      <c r="J11" s="561"/>
      <c r="K11" s="565"/>
      <c r="M11" s="33"/>
      <c r="N11" s="33"/>
      <c r="O11" s="33"/>
      <c r="P11" s="33"/>
      <c r="R11" s="34"/>
      <c r="S11" s="74"/>
      <c r="T11" s="74"/>
    </row>
    <row r="12" spans="1:21" ht="15" customHeight="1">
      <c r="B12" s="557"/>
      <c r="C12" s="559"/>
      <c r="D12" s="551"/>
      <c r="E12" s="551"/>
      <c r="F12" s="551"/>
      <c r="G12" s="563"/>
      <c r="H12" s="553" t="s">
        <v>46</v>
      </c>
      <c r="I12" s="553" t="s">
        <v>5</v>
      </c>
      <c r="J12" s="551" t="s">
        <v>47</v>
      </c>
      <c r="K12" s="552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7"/>
      <c r="C13" s="560"/>
      <c r="D13" s="551"/>
      <c r="E13" s="551"/>
      <c r="F13" s="551"/>
      <c r="G13" s="564"/>
      <c r="H13" s="554"/>
      <c r="I13" s="554"/>
      <c r="J13" s="551"/>
      <c r="K13" s="552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SATUAN'!$C$7:$C$1495,0),0)),"",OFFSET('HARGA SATUAN'!$D$6,MATCH(C16,'HARGA SATUAN'!$C$7:$C$1495,0),0))</f>
        <v>HDW</v>
      </c>
      <c r="E16" s="101" t="str">
        <f ca="1">IF(B16="+","Unit",IF(ISERROR(OFFSET('HARGA SATUAN'!$E$6,MATCH(C16,'HARGA SATUAN'!$C$7:$C$1495,0),0)),"",OFFSET('HARGA SATUAN'!$E$6,MATCH(C16,'HARGA SATUAN'!$C$7:$C$1495,0),0)))</f>
        <v>Btg</v>
      </c>
      <c r="F16" s="101">
        <f t="shared" ref="F16:F36" ca="1" si="5">IF(ISERROR(OFFSET($D$56,MATCH(A16,$F$57:$F$76,0),0)),"",OFFSET($D$56,MATCH(A16,$F$57:$F$76,0),0))</f>
        <v>1</v>
      </c>
      <c r="G16" s="41">
        <f ca="1">IF(ISERROR(OFFSET('HARGA SATUAN'!$I$6,MATCH(C16,'HARGA SATUAN'!$C$7:$C$1495,0),0)),"",OFFSET('HARGA SATUAN'!$I$6,MATCH(C16,'HARGA SATUAN'!$C$7:$C$1495,0),0))</f>
        <v>3382600</v>
      </c>
      <c r="H16" s="42">
        <f t="shared" ca="1" si="1"/>
        <v>0</v>
      </c>
      <c r="I16" s="42">
        <f t="shared" ca="1" si="2"/>
        <v>3382600</v>
      </c>
      <c r="J16" s="42">
        <f t="shared" ca="1" si="3"/>
        <v>0</v>
      </c>
      <c r="K16" s="43">
        <f t="shared" ca="1" si="0"/>
        <v>3382600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23" ca="1" si="6">IF(C17="","",A17)</f>
        <v>2</v>
      </c>
      <c r="C17" s="109" t="str">
        <f t="shared" ca="1" si="4"/>
        <v>Tiang Beton 12M-200 daN+E</v>
      </c>
      <c r="D17" s="101" t="str">
        <f ca="1">IF(ISERROR(OFFSET('HARGA SATUAN'!$D$6,MATCH(C17,'HARGA SATUAN'!$C$7:$C$1495,0),0)),"",OFFSET('HARGA SATUAN'!$D$6,MATCH(C17,'HARGA SATUAN'!$C$7:$C$1495,0),0))</f>
        <v>HDW</v>
      </c>
      <c r="E17" s="101" t="str">
        <f ca="1">IF(B17="+","Unit",IF(ISERROR(OFFSET('HARGA SATUAN'!$E$6,MATCH(C17,'HARGA SATUAN'!$C$7:$C$1495,0),0)),"",OFFSET('HARGA SATUAN'!$E$6,MATCH(C17,'HARGA SATUAN'!$C$7:$C$1495,0),0)))</f>
        <v>Btg</v>
      </c>
      <c r="F17" s="101">
        <f t="shared" ca="1" si="5"/>
        <v>1</v>
      </c>
      <c r="G17" s="41">
        <f ca="1">IF(ISERROR(OFFSET('HARGA SATUAN'!$I$6,MATCH(C17,'HARGA SATUAN'!$C$7:$C$1495,0),0)),"",OFFSET('HARGA SATUAN'!$I$6,MATCH(C17,'HARGA SATUAN'!$C$7:$C$1495,0),0))</f>
        <v>5800000</v>
      </c>
      <c r="H17" s="42">
        <f t="shared" ca="1" si="1"/>
        <v>0</v>
      </c>
      <c r="I17" s="42">
        <f t="shared" ca="1" si="2"/>
        <v>5800000</v>
      </c>
      <c r="J17" s="42">
        <f t="shared" ca="1" si="3"/>
        <v>0</v>
      </c>
      <c r="K17" s="43">
        <f t="shared" ca="1" si="0"/>
        <v>5800000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9" t="s">
        <v>1008</v>
      </c>
      <c r="D38" s="549"/>
      <c r="E38" s="549"/>
      <c r="F38" s="549"/>
      <c r="G38" s="77" t="s">
        <v>9</v>
      </c>
      <c r="H38" s="55">
        <f ca="1">SUM(H14:H37)</f>
        <v>0</v>
      </c>
      <c r="I38" s="55">
        <f ca="1">SUM(I14:I37)</f>
        <v>9182600</v>
      </c>
      <c r="J38" s="55">
        <f ca="1">SUM(J14:J37)</f>
        <v>0</v>
      </c>
      <c r="K38" s="55">
        <f ca="1">SUM(K14:K37)</f>
        <v>9182600</v>
      </c>
      <c r="L38" s="44"/>
      <c r="R38" s="99"/>
      <c r="S38" s="99"/>
      <c r="T38" s="99"/>
    </row>
    <row r="39" spans="1:20" s="36" customFormat="1">
      <c r="A39" s="30"/>
      <c r="B39" s="56"/>
      <c r="C39" s="550" t="s">
        <v>462</v>
      </c>
      <c r="D39" s="550"/>
      <c r="E39" s="550"/>
      <c r="F39" s="550"/>
      <c r="G39" s="59" t="s">
        <v>9</v>
      </c>
      <c r="H39" s="60">
        <f ca="1">H38*0.1</f>
        <v>0</v>
      </c>
      <c r="I39" s="60">
        <f ca="1">I38*0.1</f>
        <v>918260</v>
      </c>
      <c r="J39" s="60">
        <f ca="1">J38*0.1</f>
        <v>0</v>
      </c>
      <c r="K39" s="60">
        <f ca="1">K38*0.1</f>
        <v>918260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39" t="s">
        <v>463</v>
      </c>
      <c r="D40" s="539"/>
      <c r="E40" s="539"/>
      <c r="F40" s="539"/>
      <c r="G40" s="61" t="s">
        <v>9</v>
      </c>
      <c r="H40" s="78">
        <f ca="1">SUM(H38:H39)</f>
        <v>0</v>
      </c>
      <c r="I40" s="78">
        <f ca="1">SUM(I38:I39)</f>
        <v>10100860</v>
      </c>
      <c r="J40" s="61">
        <f ca="1">SUM(J38:J39)</f>
        <v>0</v>
      </c>
      <c r="K40" s="61">
        <f ca="1">SUM(K38:K39)</f>
        <v>10100860</v>
      </c>
      <c r="L40" s="44"/>
      <c r="R40" s="99"/>
      <c r="S40" s="99"/>
      <c r="T40" s="99"/>
    </row>
    <row r="41" spans="1:20" s="36" customFormat="1">
      <c r="A41" s="30"/>
      <c r="B41" s="542" t="e">
        <f ca="1">"Terbilang : ( "&amp;L42&amp;" Rupiah )"</f>
        <v>#NAME?</v>
      </c>
      <c r="C41" s="543"/>
      <c r="D41" s="543"/>
      <c r="E41" s="543"/>
      <c r="F41" s="543"/>
      <c r="G41" s="543"/>
      <c r="H41" s="543"/>
      <c r="I41" s="543"/>
      <c r="J41" s="543"/>
      <c r="K41" s="544"/>
      <c r="L41" s="44"/>
      <c r="R41" s="58"/>
      <c r="S41" s="58"/>
      <c r="T41" s="58"/>
    </row>
    <row r="42" spans="1:20" s="36" customFormat="1">
      <c r="A42" s="30"/>
      <c r="B42" s="545"/>
      <c r="C42" s="546"/>
      <c r="D42" s="546"/>
      <c r="E42" s="546"/>
      <c r="F42" s="546"/>
      <c r="G42" s="546"/>
      <c r="H42" s="546"/>
      <c r="I42" s="546"/>
      <c r="J42" s="546"/>
      <c r="K42" s="547"/>
      <c r="L42" s="62" t="e">
        <f ca="1">PROPER([92]!terbilang(K40))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0"/>
      <c r="I45" s="540"/>
      <c r="J45" s="541"/>
      <c r="K45" s="541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0"/>
      <c r="I46" s="540"/>
      <c r="J46" s="541"/>
      <c r="K46" s="541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0"/>
      <c r="I47" s="540"/>
      <c r="J47" s="541"/>
      <c r="K47" s="541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0"/>
      <c r="I52" s="540"/>
      <c r="J52" s="541"/>
      <c r="K52" s="541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SUMIFS(RAB!$F$14:$F$95,RAB!$C$14:$C$95,'REKAP TIANG'!C57)</f>
        <v>1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SUMIFS(RAB!$F$14:$F$95,RAB!$C$14:$C$95,'REKAP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SUMIFS(RAB!$F$14:$F$95,RAB!$C$14:$C$95,'REKAP TIANG'!C59)</f>
        <v>1</v>
      </c>
      <c r="E59" s="24">
        <f t="shared" ca="1" si="12"/>
        <v>1</v>
      </c>
      <c r="F59" s="24">
        <f ca="1">IF(D59=0,0,SUM($E$56:E59))</f>
        <v>2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SUMIFS(RAB!$F$14:$F$95,RAB!$C$14:$C$95,'REKAP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SUMIFS(RAB!$F$14:$F$95,RAB!$C$14:$C$95,'REKAP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SUMIFS(RAB!$F$14:$F$95,RAB!$C$14:$C$95,'REKAP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SUMIFS(RAB!$F$14:$F$95,RAB!$C$14:$C$95,'REKAP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SUMIFS(RAB!$F$14:$F$95,RAB!$C$14:$C$95,'REKAP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SUMIFS(RAB!$F$14:$F$95,RAB!$C$14:$C$95,'REKAP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SUMIFS(RAB!$F$14:$F$95,RAB!$C$14:$C$95,'REKAP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SUMIFS(RAB!$F$14:$F$95,RAB!$C$14:$C$95,'REKAP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SUMIFS(RAB!$F$14:$F$95,RAB!$C$14:$C$95,'REKAP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SUMIFS(RAB!$F$14:$F$95,RAB!$C$14:$C$95,'REKAP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SUMIFS(RAB!$F$14:$F$95,RAB!$C$14:$C$95,'REKAP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SUMIFS(RAB!$F$14:$F$95,RAB!$C$14:$C$95,'REKAP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SUMIFS(RAB!$F$14:$F$95,RAB!$C$14:$C$95,'REKAP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SUMIFS(RAB!$F$14:$F$95,RAB!$C$14:$C$95,'REKAP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SUMIFS(RAB!$F$14:$F$95,RAB!$C$14:$C$95,'REKAP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SUMIFS(RAB!$F$14:$F$95,RAB!$C$14:$C$95,'REKAP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SUMIFS(RAB!$F$14:$F$95,RAB!$C$14:$C$95,'REKAP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3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2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C16" sqref="C16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55" t="s">
        <v>1034</v>
      </c>
      <c r="C4" s="555"/>
      <c r="D4" s="555"/>
      <c r="E4" s="555"/>
      <c r="F4" s="555"/>
      <c r="G4" s="555"/>
      <c r="H4" s="555"/>
      <c r="I4" s="555"/>
      <c r="J4" s="555"/>
      <c r="K4" s="55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8" t="str">
        <f>RAB!G6</f>
        <v>IKA BINTA ADRIYANI</v>
      </c>
      <c r="H6" s="548"/>
      <c r="I6" s="548"/>
      <c r="J6" s="548"/>
      <c r="K6" s="548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HARJOWINANGUN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56" t="s">
        <v>0</v>
      </c>
      <c r="C11" s="558" t="s">
        <v>1</v>
      </c>
      <c r="D11" s="561" t="s">
        <v>42</v>
      </c>
      <c r="E11" s="561" t="s">
        <v>43</v>
      </c>
      <c r="F11" s="561" t="s">
        <v>2</v>
      </c>
      <c r="G11" s="562" t="s">
        <v>41</v>
      </c>
      <c r="H11" s="561" t="s">
        <v>3</v>
      </c>
      <c r="I11" s="561"/>
      <c r="J11" s="561"/>
      <c r="K11" s="565"/>
      <c r="M11" s="33"/>
      <c r="N11" s="33"/>
      <c r="O11" s="33"/>
      <c r="P11" s="33"/>
      <c r="R11" s="34"/>
      <c r="S11" s="74"/>
      <c r="T11" s="74"/>
    </row>
    <row r="12" spans="1:21" ht="15" customHeight="1">
      <c r="B12" s="557"/>
      <c r="C12" s="559"/>
      <c r="D12" s="551"/>
      <c r="E12" s="551"/>
      <c r="F12" s="551"/>
      <c r="G12" s="563"/>
      <c r="H12" s="553" t="s">
        <v>46</v>
      </c>
      <c r="I12" s="553" t="s">
        <v>5</v>
      </c>
      <c r="J12" s="551" t="s">
        <v>47</v>
      </c>
      <c r="K12" s="552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7"/>
      <c r="C13" s="560"/>
      <c r="D13" s="551"/>
      <c r="E13" s="551"/>
      <c r="F13" s="551"/>
      <c r="G13" s="564"/>
      <c r="H13" s="554"/>
      <c r="I13" s="554"/>
      <c r="J13" s="551"/>
      <c r="K13" s="552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10.6 kVA MCCB 16 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SATUAN'!$C$7:$C$1495,0),0)),"",OFFSET('HARGA SATUAN'!$I$6,MATCH(C17,'HARGA SATUAN'!$C$7:$C$1495,0),0))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NFA2X-T 3x70+1x70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Mtr</v>
      </c>
      <c r="F18" s="101">
        <f t="shared" ca="1" si="6"/>
        <v>120</v>
      </c>
      <c r="G18" s="41">
        <f ca="1">IF(ISERROR(OFFSET('HARGA SATUAN'!$I$6,MATCH(C18,'HARGA SATUAN'!$C$7:$C$1495,0),0)),"",OFFSET('HARGA SATUAN'!$I$6,MATCH(C18,'HARGA SATUAN'!$C$7:$C$1495,0),0))</f>
        <v>54500</v>
      </c>
      <c r="H18" s="42">
        <f t="shared" ca="1" si="1"/>
        <v>6540000</v>
      </c>
      <c r="I18" s="42">
        <f t="shared" ca="1" si="2"/>
        <v>0</v>
      </c>
      <c r="J18" s="42">
        <f t="shared" ca="1" si="3"/>
        <v>0</v>
      </c>
      <c r="K18" s="43">
        <f t="shared" ca="1" si="0"/>
        <v>6540000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NFA2X 4 x 16 mm²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Mtr</v>
      </c>
      <c r="F19" s="101">
        <f t="shared" ca="1" si="6"/>
        <v>45</v>
      </c>
      <c r="G19" s="41">
        <f ca="1">IF(ISERROR(OFFSET('HARGA SATUAN'!$I$6,MATCH(C19,'HARGA SATUAN'!$C$7:$C$1495,0),0)),"",OFFSET('HARGA SATUAN'!$I$6,MATCH(C19,'HARGA SATUAN'!$C$7:$C$1495,0),0))</f>
        <v>13500</v>
      </c>
      <c r="H19" s="42">
        <f t="shared" ca="1" si="1"/>
        <v>607500</v>
      </c>
      <c r="I19" s="42">
        <f t="shared" ca="1" si="2"/>
        <v>0</v>
      </c>
      <c r="J19" s="42">
        <f t="shared" ca="1" si="3"/>
        <v>0</v>
      </c>
      <c r="K19" s="43">
        <f t="shared" ca="1" si="0"/>
        <v>607500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6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6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6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6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6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6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6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6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6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6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6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6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6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6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6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6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ca="1" si="6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6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6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6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6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6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6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6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6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6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6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6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6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6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6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6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6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6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6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6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6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6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6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6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6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6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6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6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6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6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6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6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6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6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6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6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6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6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6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6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6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6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6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6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6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13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13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3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3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3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3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3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3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3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3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3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3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3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3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3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3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3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3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3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3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3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3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3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3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3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3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3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3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3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3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3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3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3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3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3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3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3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3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3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3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3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3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3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3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3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3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3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3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3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3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3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3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3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3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3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3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3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3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3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3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3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3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3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20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20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0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0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0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0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0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0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0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0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0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0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0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0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0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0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0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0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0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0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9" t="s">
        <v>1008</v>
      </c>
      <c r="D168" s="549"/>
      <c r="E168" s="549"/>
      <c r="F168" s="549"/>
      <c r="G168" s="77" t="s">
        <v>9</v>
      </c>
      <c r="H168" s="55">
        <f ca="1">SUM(H14:H167)</f>
        <v>12139800</v>
      </c>
      <c r="I168" s="55">
        <f ca="1">SUM(I14:I167)</f>
        <v>0</v>
      </c>
      <c r="J168" s="55">
        <f ca="1">SUM(J14:J167)</f>
        <v>0</v>
      </c>
      <c r="K168" s="55">
        <f ca="1">SUM(K14:K167)</f>
        <v>12139800</v>
      </c>
      <c r="L168" s="44"/>
      <c r="R168" s="99"/>
      <c r="S168" s="99"/>
      <c r="T168" s="99"/>
    </row>
    <row r="169" spans="1:20" s="36" customFormat="1">
      <c r="A169" s="30"/>
      <c r="B169" s="56"/>
      <c r="C169" s="550" t="s">
        <v>462</v>
      </c>
      <c r="D169" s="550"/>
      <c r="E169" s="550"/>
      <c r="F169" s="550"/>
      <c r="G169" s="59" t="s">
        <v>9</v>
      </c>
      <c r="H169" s="60">
        <f ca="1">H168*0.1</f>
        <v>1213980</v>
      </c>
      <c r="I169" s="60">
        <f ca="1">I168*0.1</f>
        <v>0</v>
      </c>
      <c r="J169" s="60">
        <f ca="1">J168*0.1</f>
        <v>0</v>
      </c>
      <c r="K169" s="60">
        <f ca="1">K168*0.1</f>
        <v>1213980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39" t="s">
        <v>463</v>
      </c>
      <c r="D170" s="539"/>
      <c r="E170" s="539"/>
      <c r="F170" s="539"/>
      <c r="G170" s="61" t="s">
        <v>9</v>
      </c>
      <c r="H170" s="78">
        <f ca="1">SUM(H168:H169)</f>
        <v>13353780</v>
      </c>
      <c r="I170" s="78">
        <f ca="1">SUM(I168:I169)</f>
        <v>0</v>
      </c>
      <c r="J170" s="61">
        <f ca="1">SUM(J168:J169)</f>
        <v>0</v>
      </c>
      <c r="K170" s="61">
        <f ca="1">SUM(K168:K169)</f>
        <v>13353780</v>
      </c>
      <c r="L170" s="44"/>
      <c r="R170" s="99"/>
      <c r="S170" s="99"/>
      <c r="T170" s="99"/>
    </row>
    <row r="171" spans="1:20" s="36" customFormat="1">
      <c r="A171" s="30"/>
      <c r="B171" s="542" t="e">
        <f ca="1">"Terbilang : ( "&amp;L172&amp;" Rupiah )"</f>
        <v>#NAME?</v>
      </c>
      <c r="C171" s="543"/>
      <c r="D171" s="543"/>
      <c r="E171" s="543"/>
      <c r="F171" s="543"/>
      <c r="G171" s="543"/>
      <c r="H171" s="543"/>
      <c r="I171" s="543"/>
      <c r="J171" s="543"/>
      <c r="K171" s="544"/>
      <c r="L171" s="44"/>
      <c r="R171" s="58"/>
      <c r="S171" s="58"/>
      <c r="T171" s="58"/>
    </row>
    <row r="172" spans="1:20" s="36" customFormat="1">
      <c r="A172" s="30"/>
      <c r="B172" s="545"/>
      <c r="C172" s="546"/>
      <c r="D172" s="546"/>
      <c r="E172" s="546"/>
      <c r="F172" s="546"/>
      <c r="G172" s="546"/>
      <c r="H172" s="546"/>
      <c r="I172" s="546"/>
      <c r="J172" s="546"/>
      <c r="K172" s="547"/>
      <c r="L172" s="62" t="e">
        <f ca="1">PROPER([92]!terbilang(K170))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0"/>
      <c r="I175" s="540"/>
      <c r="J175" s="541"/>
      <c r="K175" s="541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0"/>
      <c r="I176" s="540"/>
      <c r="J176" s="541"/>
      <c r="K176" s="541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0"/>
      <c r="I177" s="540"/>
      <c r="J177" s="541"/>
      <c r="K177" s="541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0"/>
      <c r="I182" s="540"/>
      <c r="J182" s="541"/>
      <c r="K182" s="541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SUMIFS(RAB!$F$14:$F$95,RAB!$C$14:$C$95,C224)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SUMIFS(RAB!$F$14:$F$95,RAB!$C$14:$C$95,C225)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SUMIFS(RAB!$F$14:$F$95,RAB!$C$14:$C$95,C226)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SUMIFS(RAB!$F$14:$F$95,RAB!$C$14:$C$95,C227)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SUMIFS(RAB!$F$14:$F$95,RAB!$C$14:$C$95,C228)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SUMIFS(RAB!$F$14:$F$95,RAB!$C$14:$C$95,C229)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SUMIFS(RAB!$F$14:$F$95,RAB!$C$14:$C$95,C230)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SUMIFS(RAB!$F$14:$F$95,RAB!$C$14:$C$95,C231)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SUMIFS(RAB!$F$14:$F$95,RAB!$C$14:$C$95,C232)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SUMIFS(RAB!$F$14:$F$95,RAB!$C$14:$C$95,C233)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SUMIFS(RAB!$F$14:$F$95,RAB!$C$14:$C$95,C234)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SUMIFS(RAB!$F$14:$F$95,RAB!$C$14:$C$95,C235)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SUMIFS(RAB!$F$14:$F$95,RAB!$C$14:$C$95,C236)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SUMIFS(RAB!$F$14:$F$95,RAB!$C$14:$C$95,C237)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SUMIFS(RAB!$F$14:$F$95,RAB!$C$14:$C$95,C238)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SUMIFS(RAB!$F$14:$F$95,RAB!$C$14:$C$95,C239)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SUMIFS(RAB!$F$14:$F$95,RAB!$C$14:$C$95,C240)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SUMIFS(RAB!$F$14:$F$95,RAB!$C$14:$C$95,C241)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SUMIFS(RAB!$F$14:$F$95,RAB!$C$14:$C$95,C242)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SUMIFS(RAB!$F$14:$F$95,RAB!$C$14:$C$95,C243)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SUMIFS(RAB!$F$14:$F$95,RAB!$C$14:$C$95,C244)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SUMIFS(RAB!$F$14:$F$95,RAB!$C$14:$C$95,C245)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SUMIFS(RAB!$F$14:$F$95,RAB!$C$14:$C$95,C246)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SUMIFS(RAB!$F$14:$F$95,RAB!$C$14:$C$95,C247)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SUMIFS(RAB!$F$14:$F$95,RAB!$C$14:$C$95,C248)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SUMIFS(RAB!$F$14:$F$95,RAB!$C$14:$C$95,C249)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SUMIFS(RAB!$F$14:$F$95,RAB!$C$14:$C$95,C250)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SUMIFS(RAB!$F$14:$F$95,RAB!$C$14:$C$95,C251)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SUMIFS(RAB!$F$14:$F$95,RAB!$C$14:$C$95,C252)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SUMIFS(RAB!$F$14:$F$95,RAB!$C$14:$C$95,C253)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SUMIFS(RAB!$F$14:$F$95,RAB!$C$14:$C$95,C254)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SUMIFS(RAB!$F$14:$F$95,RAB!$C$14:$C$95,C255)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SUMIFS(RAB!$F$14:$F$95,RAB!$C$14:$C$95,C256)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SUMIFS(RAB!$F$14:$F$95,RAB!$C$14:$C$95,C257)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SUMIFS(RAB!$F$14:$F$95,RAB!$C$14:$C$95,C258)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SUMIFS(RAB!$F$14:$F$95,RAB!$C$14:$C$95,C259)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SUMIFS(RAB!$F$14:$F$95,RAB!$C$14:$C$95,C260)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SUMIFS(RAB!$F$14:$F$95,RAB!$C$14:$C$95,C261)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SUMIFS(RAB!$F$14:$F$95,RAB!$C$14:$C$95,C262)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SUMIFS(RAB!$F$14:$F$95,RAB!$C$14:$C$95,C263)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SUMIFS(RAB!$F$14:$F$95,RAB!$C$14:$C$95,C264)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SUMIFS(RAB!$F$14:$F$95,RAB!$C$14:$C$95,C265)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SUMIFS(RAB!$F$14:$F$95,RAB!$C$14:$C$95,C266)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SUMIFS(RAB!$F$14:$F$95,RAB!$C$14:$C$95,C267)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SUMIFS(RAB!$F$14:$F$95,RAB!$C$14:$C$95,C268)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SUMIFS(RAB!$F$14:$F$95,RAB!$C$14:$C$95,C269)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SUMIFS(RAB!$F$14:$F$95,RAB!$C$14:$C$95,C270)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SUMIFS(RAB!$F$14:$F$95,RAB!$C$14:$C$95,C271)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SUMIFS(RAB!$F$14:$F$95,RAB!$C$14:$C$95,C272)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SUMIFS(RAB!$F$14:$F$95,RAB!$C$14:$C$95,C273)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SUMIFS(RAB!$F$14:$F$95,RAB!$C$14:$C$95,C274)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SUMIFS(RAB!$F$14:$F$95,RAB!$C$14:$C$95,C275)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SUMIFS(RAB!$F$14:$F$95,RAB!$C$14:$C$95,C276)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SUMIFS(RAB!$F$14:$F$95,RAB!$C$14:$C$95,C277)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SUMIFS(RAB!$F$14:$F$95,RAB!$C$14:$C$95,C278)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SUMIFS(RAB!$F$14:$F$95,RAB!$C$14:$C$95,C279)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SUMIFS(RAB!$F$14:$F$95,RAB!$C$14:$C$95,C280)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SUMIFS(RAB!$F$14:$F$95,RAB!$C$14:$C$95,C281)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SUMIFS(RAB!$F$14:$F$95,RAB!$C$14:$C$95,C282)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SUMIFS(RAB!$F$14:$F$95,RAB!$C$14:$C$95,C283)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SUMIFS(RAB!$F$14:$F$95,RAB!$C$14:$C$95,C284)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SUMIFS(RAB!$F$14:$F$95,RAB!$C$14:$C$95,C285)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SUMIFS(RAB!$F$14:$F$95,RAB!$C$14:$C$95,C286)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SUMIFS(RAB!$F$14:$F$95,RAB!$C$14:$C$95,C287)</f>
        <v>1</v>
      </c>
      <c r="E287" s="24">
        <f t="shared" ca="1" si="21"/>
        <v>1</v>
      </c>
      <c r="F287" s="24">
        <f ca="1">IF(D287=0,0,SUM($E$223:E287))</f>
        <v>2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SUMIFS(RAB!$F$14:$F$95,RAB!$C$14:$C$95,C288)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SUMIFS(RAB!$F$14:$F$95,RAB!$C$14:$C$95,C289)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SUMIFS(RAB!$F$14:$F$95,RAB!$C$14:$C$95,C290)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SUMIFS(RAB!$F$14:$F$95,RAB!$C$14:$C$95,C291)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SUMIFS(RAB!$F$14:$F$95,RAB!$C$14:$C$95,C292)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SUMIFS(RAB!$F$14:$F$95,RAB!$C$14:$C$95,C293)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SUMIFS(RAB!$F$14:$F$95,RAB!$C$14:$C$95,C294)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SUMIFS(RAB!$F$14:$F$95,RAB!$C$14:$C$95,C295)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SUMIFS(RAB!$F$14:$F$95,RAB!$C$14:$C$95,C296)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SUMIFS(RAB!$F$14:$F$95,RAB!$C$14:$C$95,C297)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SUMIFS(RAB!$F$14:$F$95,RAB!$C$14:$C$95,C298)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SUMIFS(RAB!$F$14:$F$95,RAB!$C$14:$C$95,C299)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SUMIFS(RAB!$F$14:$F$95,RAB!$C$14:$C$95,C300)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SUMIFS(RAB!$F$14:$F$95,RAB!$C$14:$C$95,C301)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SUMIFS(RAB!$F$14:$F$95,RAB!$C$14:$C$95,C302)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SUMIFS(RAB!$F$14:$F$95,RAB!$C$14:$C$95,C303)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SUMIFS(RAB!$F$14:$F$95,RAB!$C$14:$C$95,C304)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SUMIFS(RAB!$F$14:$F$95,RAB!$C$14:$C$95,C305)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SUMIFS(RAB!$F$14:$F$95,RAB!$C$14:$C$95,C306)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SUMIFS(RAB!$F$14:$F$95,RAB!$C$14:$C$95,C307)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SUMIFS(RAB!$F$14:$F$95,RAB!$C$14:$C$95,C308)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SUMIFS(RAB!$F$14:$F$95,RAB!$C$14:$C$95,C309)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SUMIFS(RAB!$F$14:$F$95,RAB!$C$14:$C$95,C310)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SUMIFS(RAB!$F$14:$F$95,RAB!$C$14:$C$95,C311)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SUMIFS(RAB!$F$14:$F$95,RAB!$C$14:$C$95,C312)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SUMIFS(RAB!$F$14:$F$95,RAB!$C$14:$C$95,C313)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SUMIFS(RAB!$F$14:$F$95,RAB!$C$14:$C$95,C314)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SUMIFS(RAB!$F$14:$F$95,RAB!$C$14:$C$95,C315)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SUMIFS(RAB!$F$14:$F$95,RAB!$C$14:$C$95,C316)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SUMIFS(RAB!$F$14:$F$95,RAB!$C$14:$C$95,C317)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SUMIFS(RAB!$F$14:$F$95,RAB!$C$14:$C$95,C318)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SUMIFS(RAB!$F$14:$F$95,RAB!$C$14:$C$95,C319)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SUMIFS(RAB!$F$14:$F$95,RAB!$C$14:$C$95,C320)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SUMIFS(RAB!$F$14:$F$95,RAB!$C$14:$C$95,C321)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SUMIFS(RAB!$F$14:$F$95,RAB!$C$14:$C$95,C322)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SUMIFS(RAB!$F$14:$F$95,RAB!$C$14:$C$95,C323)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SUMIFS(RAB!$F$14:$F$95,RAB!$C$14:$C$95,C324)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SUMIFS(RAB!$F$14:$F$95,RAB!$C$14:$C$95,C325)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SUMIFS(RAB!$F$14:$F$95,RAB!$C$14:$C$95,C326)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SUMIFS(RAB!$F$14:$F$95,RAB!$C$14:$C$95,C327)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SUMIFS(RAB!$F$14:$F$95,RAB!$C$14:$C$95,C328)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SUMIFS(RAB!$F$14:$F$95,RAB!$C$14:$C$95,C329)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SUMIFS(RAB!$F$14:$F$95,RAB!$C$14:$C$95,C330)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SUMIFS(RAB!$F$14:$F$95,RAB!$C$14:$C$95,C331)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SUMIFS(RAB!$F$14:$F$95,RAB!$C$14:$C$95,C332)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SUMIFS(RAB!$F$14:$F$95,RAB!$C$14:$C$95,C333)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SUMIFS(RAB!$F$14:$F$95,RAB!$C$14:$C$95,C334)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SUMIFS(RAB!$F$14:$F$95,RAB!$C$14:$C$95,C335)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SUMIFS(RAB!$F$14:$F$95,RAB!$C$14:$C$95,C336)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SUMIFS(RAB!$F$14:$F$95,RAB!$C$14:$C$95,C337)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SUMIFS(RAB!$F$14:$F$95,RAB!$C$14:$C$95,C338)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SUMIFS(RAB!$F$14:$F$95,RAB!$C$14:$C$95,C339)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SUMIFS(RAB!$F$14:$F$95,RAB!$C$14:$C$95,C340)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SUMIFS(RAB!$F$14:$F$95,RAB!$C$14:$C$95,C341)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SUMIFS(RAB!$F$14:$F$95,RAB!$C$14:$C$95,C342)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SUMIFS(RAB!$F$14:$F$95,RAB!$C$14:$C$95,C343)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SUMIFS(RAB!$F$14:$F$95,RAB!$C$14:$C$95,C344)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SUMIFS(RAB!$F$14:$F$95,RAB!$C$14:$C$95,C345)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SUMIFS(RAB!$F$14:$F$95,RAB!$C$14:$C$95,C346)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SUMIFS(RAB!$F$14:$F$95,RAB!$C$14:$C$95,C347)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SUMIFS(RAB!$F$14:$F$95,RAB!$C$14:$C$95,C348)</f>
        <v>120</v>
      </c>
      <c r="E348" s="24">
        <f t="shared" ca="1" si="22"/>
        <v>1</v>
      </c>
      <c r="F348" s="24">
        <f ca="1">IF(D348=0,0,SUM($E$223:E348))</f>
        <v>3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SUMIFS(RAB!$F$14:$F$95,RAB!$C$14:$C$95,C349)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SUMIFS(RAB!$F$14:$F$95,RAB!$C$14:$C$95,C350)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SUMIFS(RAB!$F$14:$F$95,RAB!$C$14:$C$95,C351)</f>
        <v>45</v>
      </c>
      <c r="E351" s="24">
        <f t="shared" ca="1" si="22"/>
        <v>1</v>
      </c>
      <c r="F351" s="24">
        <f ca="1">IF(D351=0,0,SUM($E$223:E351))</f>
        <v>4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SUMIFS(RAB!$F$14:$F$95,RAB!$C$14:$C$95,C352)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SUMIFS(RAB!$F$14:$F$95,RAB!$C$14:$C$95,C353)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SUMIFS(RAB!$F$14:$F$95,RAB!$C$14:$C$95,C354)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SUMIFS(RAB!$F$14:$F$95,RAB!$C$14:$C$95,C355)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SUMIFS(RAB!$F$14:$F$95,RAB!$C$14:$C$95,C356)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SUMIFS(RAB!$F$14:$F$95,RAB!$C$14:$C$95,C357)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SUMIFS(RAB!$F$14:$F$95,RAB!$C$14:$C$95,C358)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SUMIFS(RAB!$F$14:$F$95,RAB!$C$14:$C$95,C359)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SUMIFS(RAB!$F$14:$F$95,RAB!$C$14:$C$95,C360)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SUMIFS(RAB!$F$14:$F$95,RAB!$C$14:$C$95,C361)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SUMIFS(RAB!$F$14:$F$95,RAB!$C$14:$C$95,C362)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SUMIFS(RAB!$F$14:$F$95,RAB!$C$14:$C$95,C363)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SUMIFS(RAB!$F$14:$F$95,RAB!$C$14:$C$95,C364)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SUMIFS(RAB!$F$14:$F$95,RAB!$C$14:$C$95,C365)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SUMIFS(RAB!$F$14:$F$95,RAB!$C$14:$C$95,C366)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SUMIFS(RAB!$F$14:$F$95,RAB!$C$14:$C$95,C367)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SUMIFS(RAB!$F$14:$F$95,RAB!$C$14:$C$95,C368)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SUMIFS(RAB!$F$14:$F$95,RAB!$C$14:$C$95,C369)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SUMIFS(RAB!$F$14:$F$95,RAB!$C$14:$C$95,C370)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SUMIFS(RAB!$F$14:$F$95,RAB!$C$14:$C$95,C371)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SUMIFS(RAB!$F$14:$F$95,RAB!$C$14:$C$95,C372)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SUMIFS(RAB!$F$14:$F$95,RAB!$C$14:$C$95,C373)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1" priority="5" operator="equal">
      <formula>0</formula>
    </cfRule>
  </conditionalFormatting>
  <conditionalFormatting sqref="C16:C165">
    <cfRule type="cellIs" dxfId="40" priority="4" stopIfTrue="1" operator="equal">
      <formula>0</formula>
    </cfRule>
  </conditionalFormatting>
  <conditionalFormatting sqref="C16:E165">
    <cfRule type="cellIs" dxfId="39" priority="1" operator="equal">
      <formula>0</formula>
    </cfRule>
  </conditionalFormatting>
  <conditionalFormatting sqref="D224:F373">
    <cfRule type="cellIs" dxfId="38" priority="8" operator="equal">
      <formula>0</formula>
    </cfRule>
  </conditionalFormatting>
  <conditionalFormatting sqref="E1:E3 G1:G115 E6:E15 H12:I12 N13 F14:F15 H14:K115 E166:K166 G166:G223 E167:F167 H167:K167">
    <cfRule type="cellIs" dxfId="37" priority="43" stopIfTrue="1" operator="equal">
      <formula>0</formula>
    </cfRule>
  </conditionalFormatting>
  <conditionalFormatting sqref="E171:E65536">
    <cfRule type="cellIs" dxfId="36" priority="9" stopIfTrue="1" operator="equal">
      <formula>0</formula>
    </cfRule>
  </conditionalFormatting>
  <conditionalFormatting sqref="G224">
    <cfRule type="cellIs" dxfId="35" priority="10" operator="equal">
      <formula>0</formula>
    </cfRule>
  </conditionalFormatting>
  <conditionalFormatting sqref="G225:G65536">
    <cfRule type="cellIs" dxfId="34" priority="14" stopIfTrue="1" operator="equal">
      <formula>0</formula>
    </cfRule>
  </conditionalFormatting>
  <conditionalFormatting sqref="R14:T166 G116:K165">
    <cfRule type="cellIs" dxfId="33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0"/>
    </row>
    <row r="4" spans="4:4" ht="57" customHeight="1">
      <c r="D4" s="390">
        <v>3</v>
      </c>
    </row>
    <row r="5" spans="4:4" ht="57" customHeight="1">
      <c r="D5" s="390">
        <v>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1437" activePane="bottomRight" state="frozen"/>
      <selection activeCell="D209" sqref="D209"/>
      <selection pane="topRight" activeCell="D209" sqref="D209"/>
      <selection pane="bottomLeft" activeCell="D209" sqref="D209"/>
      <selection pane="bottomRight" activeCell="C1441" sqref="C1441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7" t="s">
        <v>41</v>
      </c>
      <c r="C2" s="567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8" t="s">
        <v>23</v>
      </c>
      <c r="C4" s="569" t="s">
        <v>1012</v>
      </c>
      <c r="D4" s="569" t="s">
        <v>42</v>
      </c>
      <c r="E4" s="568" t="s">
        <v>43</v>
      </c>
      <c r="F4" s="108" t="s">
        <v>1599</v>
      </c>
      <c r="G4" s="108" t="s">
        <v>1598</v>
      </c>
      <c r="H4" s="566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8"/>
      <c r="C5" s="569"/>
      <c r="D5" s="569"/>
      <c r="E5" s="568"/>
      <c r="F5" s="93"/>
      <c r="G5" s="93"/>
      <c r="H5" s="566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(IF(D8="JASA",G8*'[93]DETAIL USULAN'!$K$58,0))+(IF(D8="HDW",G8*'[93]DETAIL USULAN'!$J$58,0))+(IF(D8="MDU",G8*'[93]DETAIL USULAN'!$I$58,0))+(IF(D8="MDU-KD",G8*'[93]DETAIL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1609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1608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95" t="s">
        <v>1613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 t="shared" ref="I217" si="22">IF($I$5=$G$4,G217,(IF($I$5=$F$4,F217,0)))</f>
        <v>205700</v>
      </c>
      <c r="J217" s="163">
        <f t="shared" ref="J217" si="23">IF(D217="MDU-KD",1,0)</f>
        <v>1</v>
      </c>
      <c r="K217" s="155">
        <f t="shared" ref="K217" si="24"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 t="shared" ref="N217" si="25">IF(L217=0,M217,L217)</f>
        <v>114</v>
      </c>
      <c r="O217" s="155">
        <f t="shared" ref="O217" si="26"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96" t="s">
        <v>1614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 t="shared" ref="I229" si="27">IF($I$5=$G$4,G229,(IF($I$5=$F$4,F229,0)))</f>
        <v>53300</v>
      </c>
      <c r="J229" s="163">
        <f t="shared" ref="J229" si="28">IF(D229="MDU-KD",1,0)</f>
        <v>1</v>
      </c>
      <c r="K229" s="155">
        <f t="shared" ref="K229" si="29"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 t="shared" ref="N229" si="30">IF(L229=0,M229,L229)</f>
        <v>122</v>
      </c>
      <c r="O229" s="155">
        <f t="shared" ref="O229" si="31"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3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3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3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3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3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3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3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3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3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32"/>
        <v>12700</v>
      </c>
      <c r="J267" s="163">
        <f t="shared" ref="J267:J331" si="33">IF(D267="MDU-KD",1,0)</f>
        <v>0</v>
      </c>
      <c r="K267" s="155">
        <f t="shared" ref="K267:K331" si="3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35">IF(L267=0,M267,L267)</f>
        <v>201227140.79893059</v>
      </c>
      <c r="O267" s="155">
        <f t="shared" ref="O267:O331" si="3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32"/>
        <v>31544.499999999996</v>
      </c>
      <c r="J268" s="163">
        <f t="shared" si="33"/>
        <v>0</v>
      </c>
      <c r="K268" s="155">
        <f t="shared" si="3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35"/>
        <v>201227141.79893059</v>
      </c>
      <c r="O268" s="155">
        <f t="shared" si="3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32"/>
        <v>10700</v>
      </c>
      <c r="J269" s="163">
        <f t="shared" si="33"/>
        <v>0</v>
      </c>
      <c r="K269" s="155">
        <f t="shared" si="3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35"/>
        <v>201227142.79893059</v>
      </c>
      <c r="O269" s="155">
        <f t="shared" si="3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32"/>
        <v>13000</v>
      </c>
      <c r="J270" s="163">
        <f t="shared" si="33"/>
        <v>0</v>
      </c>
      <c r="K270" s="155">
        <f t="shared" si="3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35"/>
        <v>201227143.79893059</v>
      </c>
      <c r="O270" s="155">
        <f t="shared" si="3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32"/>
        <v>14800</v>
      </c>
      <c r="J271" s="163">
        <f t="shared" si="33"/>
        <v>0</v>
      </c>
      <c r="K271" s="155">
        <f t="shared" si="3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35"/>
        <v>201227144.79893059</v>
      </c>
      <c r="O271" s="155">
        <f t="shared" si="3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32"/>
        <v>18900</v>
      </c>
      <c r="J272" s="163">
        <f t="shared" si="33"/>
        <v>0</v>
      </c>
      <c r="K272" s="155">
        <f t="shared" si="3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35"/>
        <v>201227145.79893059</v>
      </c>
      <c r="O272" s="155">
        <f t="shared" si="3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32"/>
        <v>331500</v>
      </c>
      <c r="J273" s="163">
        <f t="shared" si="33"/>
        <v>1</v>
      </c>
      <c r="K273" s="155">
        <f t="shared" si="3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35"/>
        <v>138</v>
      </c>
      <c r="O273" s="155">
        <f t="shared" si="3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32"/>
        <v>402600</v>
      </c>
      <c r="J274" s="163">
        <f t="shared" si="33"/>
        <v>1</v>
      </c>
      <c r="K274" s="155">
        <f t="shared" si="3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35"/>
        <v>139</v>
      </c>
      <c r="O274" s="155">
        <f t="shared" si="3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32"/>
        <v>0</v>
      </c>
      <c r="J275" s="163">
        <f t="shared" si="33"/>
        <v>0</v>
      </c>
      <c r="K275" s="155">
        <f t="shared" si="3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35"/>
        <v>0</v>
      </c>
      <c r="O275" s="155">
        <f t="shared" si="3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32"/>
        <v>0</v>
      </c>
      <c r="J276" s="163">
        <f t="shared" si="33"/>
        <v>0</v>
      </c>
      <c r="K276" s="155">
        <f t="shared" si="3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35"/>
        <v>0</v>
      </c>
      <c r="O276" s="155">
        <f t="shared" si="3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32"/>
        <v>38700</v>
      </c>
      <c r="J277" s="163">
        <f t="shared" si="33"/>
        <v>0</v>
      </c>
      <c r="K277" s="155">
        <f t="shared" si="3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35"/>
        <v>201227146.79893059</v>
      </c>
      <c r="O277" s="155">
        <f t="shared" si="3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32"/>
        <v>44900</v>
      </c>
      <c r="J278" s="163">
        <f t="shared" si="33"/>
        <v>0</v>
      </c>
      <c r="K278" s="155">
        <f t="shared" si="3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35"/>
        <v>201227147.79893059</v>
      </c>
      <c r="O278" s="155">
        <f t="shared" si="3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32"/>
        <v>49000</v>
      </c>
      <c r="J279" s="163">
        <f t="shared" si="33"/>
        <v>0</v>
      </c>
      <c r="K279" s="155">
        <f t="shared" si="3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35"/>
        <v>201227148.79893059</v>
      </c>
      <c r="O279" s="155">
        <f t="shared" si="3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496" t="s">
        <v>1615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 t="shared" ref="I280" si="37">IF($I$5=$G$4,G280,(IF($I$5=$F$4,F280,0)))</f>
        <v>49000</v>
      </c>
      <c r="J280" s="163">
        <f t="shared" ref="J280" si="38">IF(D280="MDU-KD",1,0)</f>
        <v>0</v>
      </c>
      <c r="K280" s="155">
        <f t="shared" ref="K280" si="39"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ref="N280" si="40">IF(L280=0,M280,L280)</f>
        <v>201227149.79893059</v>
      </c>
      <c r="O280" s="155">
        <f t="shared" ref="O280" si="41"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32"/>
        <v>64300</v>
      </c>
      <c r="J281" s="163">
        <f t="shared" si="33"/>
        <v>0</v>
      </c>
      <c r="K281" s="155">
        <f t="shared" si="3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35"/>
        <v>201227150.79893059</v>
      </c>
      <c r="O281" s="155">
        <f t="shared" si="3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32"/>
        <v>92500</v>
      </c>
      <c r="J282" s="163">
        <f t="shared" si="33"/>
        <v>0</v>
      </c>
      <c r="K282" s="155">
        <f t="shared" si="3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35"/>
        <v>201227151.79893059</v>
      </c>
      <c r="O282" s="155">
        <f t="shared" si="3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32"/>
        <v>100800</v>
      </c>
      <c r="J283" s="163">
        <f t="shared" si="33"/>
        <v>0</v>
      </c>
      <c r="K283" s="155">
        <f t="shared" si="3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35"/>
        <v>201227152.79893059</v>
      </c>
      <c r="O283" s="155">
        <f t="shared" si="3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32"/>
        <v>118100</v>
      </c>
      <c r="J284" s="163">
        <f t="shared" si="33"/>
        <v>0</v>
      </c>
      <c r="K284" s="155">
        <f t="shared" si="3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35"/>
        <v>201227153.79893059</v>
      </c>
      <c r="O284" s="155">
        <f t="shared" si="3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32"/>
        <v>128800</v>
      </c>
      <c r="J285" s="163">
        <f t="shared" si="33"/>
        <v>0</v>
      </c>
      <c r="K285" s="155">
        <f t="shared" si="3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35"/>
        <v>201227154.79893059</v>
      </c>
      <c r="O285" s="155">
        <f t="shared" si="3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33"/>
        <v>0</v>
      </c>
      <c r="K286" s="155">
        <f t="shared" si="3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35"/>
        <v>201227155.79893059</v>
      </c>
      <c r="O286" s="155">
        <f t="shared" si="3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32"/>
        <v>55600</v>
      </c>
      <c r="J287" s="163">
        <f t="shared" si="33"/>
        <v>0</v>
      </c>
      <c r="K287" s="155">
        <f t="shared" si="3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35"/>
        <v>201227156.79893059</v>
      </c>
      <c r="O287" s="155">
        <f t="shared" si="3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32"/>
        <v>69300</v>
      </c>
      <c r="J288" s="163">
        <f t="shared" si="33"/>
        <v>0</v>
      </c>
      <c r="K288" s="155">
        <f t="shared" si="3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35"/>
        <v>201227157.79893059</v>
      </c>
      <c r="O288" s="155">
        <f t="shared" si="3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32"/>
        <v>73300</v>
      </c>
      <c r="J289" s="163">
        <f t="shared" si="33"/>
        <v>0</v>
      </c>
      <c r="K289" s="155">
        <f t="shared" si="3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35"/>
        <v>201227158.79893059</v>
      </c>
      <c r="O289" s="155">
        <f t="shared" si="3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32"/>
        <v>77000</v>
      </c>
      <c r="J290" s="163">
        <f t="shared" si="33"/>
        <v>0</v>
      </c>
      <c r="K290" s="155">
        <f t="shared" si="3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35"/>
        <v>201227159.79893059</v>
      </c>
      <c r="O290" s="155">
        <f t="shared" si="3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32"/>
        <v>97000</v>
      </c>
      <c r="J291" s="163">
        <f t="shared" si="33"/>
        <v>0</v>
      </c>
      <c r="K291" s="155">
        <f t="shared" si="3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35"/>
        <v>201227160.79893059</v>
      </c>
      <c r="O291" s="155">
        <f t="shared" si="3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33"/>
        <v>0</v>
      </c>
      <c r="K292" s="155">
        <f t="shared" si="3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35"/>
        <v>201227161.79893059</v>
      </c>
      <c r="O292" s="155">
        <f t="shared" si="3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32"/>
        <v>153400</v>
      </c>
      <c r="J293" s="163">
        <f t="shared" si="33"/>
        <v>0</v>
      </c>
      <c r="K293" s="155">
        <f t="shared" si="3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35"/>
        <v>201227162.79893059</v>
      </c>
      <c r="O293" s="155">
        <f t="shared" si="3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32"/>
        <v>138500</v>
      </c>
      <c r="J294" s="163">
        <f t="shared" si="33"/>
        <v>0</v>
      </c>
      <c r="K294" s="155">
        <f t="shared" si="3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35"/>
        <v>201227163.79893059</v>
      </c>
      <c r="O294" s="155">
        <f t="shared" si="3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32"/>
        <v>127000</v>
      </c>
      <c r="J295" s="163">
        <f t="shared" si="33"/>
        <v>0</v>
      </c>
      <c r="K295" s="155">
        <f t="shared" si="3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35"/>
        <v>201227164.79893059</v>
      </c>
      <c r="O295" s="155">
        <f t="shared" si="3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32"/>
        <v>162600</v>
      </c>
      <c r="J296" s="163">
        <f t="shared" si="33"/>
        <v>0</v>
      </c>
      <c r="K296" s="155">
        <f t="shared" si="3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35"/>
        <v>201227165.79893059</v>
      </c>
      <c r="O296" s="155">
        <f t="shared" si="3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32"/>
        <v>173800</v>
      </c>
      <c r="J297" s="163">
        <f t="shared" si="33"/>
        <v>0</v>
      </c>
      <c r="K297" s="155">
        <f t="shared" si="3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35"/>
        <v>201227166.79893059</v>
      </c>
      <c r="O297" s="155">
        <f t="shared" si="3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32"/>
        <v>19200</v>
      </c>
      <c r="J298" s="163">
        <f t="shared" si="33"/>
        <v>0</v>
      </c>
      <c r="K298" s="155">
        <f t="shared" si="3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35"/>
        <v>201227167.79893059</v>
      </c>
      <c r="O298" s="155">
        <f t="shared" si="3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33"/>
        <v>0</v>
      </c>
      <c r="K299" s="155">
        <f t="shared" si="3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35"/>
        <v>201227168.79893059</v>
      </c>
      <c r="O299" s="155">
        <f t="shared" si="3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32"/>
        <v>24400</v>
      </c>
      <c r="J300" s="163">
        <f t="shared" si="33"/>
        <v>0</v>
      </c>
      <c r="K300" s="155">
        <f t="shared" si="3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35"/>
        <v>201227169.79893059</v>
      </c>
      <c r="O300" s="155">
        <f t="shared" si="3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32"/>
        <v>26200</v>
      </c>
      <c r="J301" s="163">
        <f t="shared" si="33"/>
        <v>0</v>
      </c>
      <c r="K301" s="155">
        <f t="shared" si="3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35"/>
        <v>201227170.79893059</v>
      </c>
      <c r="O301" s="155">
        <f t="shared" si="3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32"/>
        <v>29100</v>
      </c>
      <c r="J302" s="163">
        <f t="shared" si="33"/>
        <v>0</v>
      </c>
      <c r="K302" s="155">
        <f t="shared" si="3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35"/>
        <v>201227171.79893059</v>
      </c>
      <c r="O302" s="155">
        <f t="shared" si="3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32"/>
        <v>39500</v>
      </c>
      <c r="J303" s="163">
        <f t="shared" si="33"/>
        <v>0</v>
      </c>
      <c r="K303" s="155">
        <f t="shared" si="3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35"/>
        <v>201227172.79893059</v>
      </c>
      <c r="O303" s="155">
        <f t="shared" si="3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32"/>
        <v>51500</v>
      </c>
      <c r="J304" s="163">
        <f t="shared" si="33"/>
        <v>0</v>
      </c>
      <c r="K304" s="155">
        <f t="shared" si="3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35"/>
        <v>201227173.79893059</v>
      </c>
      <c r="O304" s="155">
        <f t="shared" si="3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32"/>
        <v>76500</v>
      </c>
      <c r="J305" s="163">
        <f t="shared" si="33"/>
        <v>0</v>
      </c>
      <c r="K305" s="155">
        <f t="shared" si="3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35"/>
        <v>201227174.79893059</v>
      </c>
      <c r="O305" s="155">
        <f t="shared" si="3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33"/>
        <v>0</v>
      </c>
      <c r="K306" s="155">
        <f t="shared" si="3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35"/>
        <v>201227175.79893059</v>
      </c>
      <c r="O306" s="155">
        <f t="shared" si="3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32"/>
        <v>25600</v>
      </c>
      <c r="J307" s="163">
        <f t="shared" si="33"/>
        <v>0</v>
      </c>
      <c r="K307" s="155">
        <f t="shared" si="3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35"/>
        <v>201227176.79893059</v>
      </c>
      <c r="O307" s="155">
        <f t="shared" si="3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32"/>
        <v>28600</v>
      </c>
      <c r="J308" s="163">
        <f t="shared" si="33"/>
        <v>0</v>
      </c>
      <c r="K308" s="155">
        <f t="shared" si="3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35"/>
        <v>201227177.79893059</v>
      </c>
      <c r="O308" s="155">
        <f t="shared" si="3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32"/>
        <v>42400</v>
      </c>
      <c r="J309" s="163">
        <f t="shared" si="33"/>
        <v>0</v>
      </c>
      <c r="K309" s="155">
        <f t="shared" si="3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35"/>
        <v>201227178.79893059</v>
      </c>
      <c r="O309" s="155">
        <f t="shared" si="3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32"/>
        <v>53500</v>
      </c>
      <c r="J310" s="163">
        <f t="shared" si="33"/>
        <v>0</v>
      </c>
      <c r="K310" s="155">
        <f t="shared" si="3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35"/>
        <v>201227179.79893059</v>
      </c>
      <c r="O310" s="155">
        <f t="shared" si="3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32"/>
        <v>66800</v>
      </c>
      <c r="J311" s="163">
        <f t="shared" si="33"/>
        <v>0</v>
      </c>
      <c r="K311" s="155">
        <f t="shared" si="3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35"/>
        <v>201227180.79893059</v>
      </c>
      <c r="O311" s="155">
        <f t="shared" si="3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32"/>
        <v>88000</v>
      </c>
      <c r="J312" s="163">
        <f t="shared" si="33"/>
        <v>0</v>
      </c>
      <c r="K312" s="155">
        <f t="shared" si="3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35"/>
        <v>201227181.79893059</v>
      </c>
      <c r="O312" s="155">
        <f t="shared" si="3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32"/>
        <v>110900</v>
      </c>
      <c r="J313" s="163">
        <f t="shared" si="33"/>
        <v>0</v>
      </c>
      <c r="K313" s="155">
        <f t="shared" si="3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35"/>
        <v>201227182.79893059</v>
      </c>
      <c r="O313" s="155">
        <f t="shared" si="3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32"/>
        <v>190300</v>
      </c>
      <c r="J314" s="163">
        <f t="shared" si="33"/>
        <v>0</v>
      </c>
      <c r="K314" s="155">
        <f t="shared" si="3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35"/>
        <v>201227183.79893059</v>
      </c>
      <c r="O314" s="155">
        <f t="shared" si="3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32"/>
        <v>219900</v>
      </c>
      <c r="J315" s="163">
        <f t="shared" si="33"/>
        <v>0</v>
      </c>
      <c r="K315" s="155">
        <f t="shared" si="3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35"/>
        <v>201227184.79893059</v>
      </c>
      <c r="O315" s="155">
        <f t="shared" si="3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32"/>
        <v>176100</v>
      </c>
      <c r="J316" s="163">
        <f t="shared" si="33"/>
        <v>0</v>
      </c>
      <c r="K316" s="155">
        <f t="shared" si="3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35"/>
        <v>201227185.79893059</v>
      </c>
      <c r="O316" s="155">
        <f t="shared" si="3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32"/>
        <v>0</v>
      </c>
      <c r="J317" s="163">
        <f t="shared" si="33"/>
        <v>0</v>
      </c>
      <c r="K317" s="155">
        <f t="shared" si="3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35"/>
        <v>0</v>
      </c>
      <c r="O317" s="155">
        <f t="shared" si="3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32"/>
        <v>0</v>
      </c>
      <c r="J318" s="163">
        <f t="shared" si="33"/>
        <v>0</v>
      </c>
      <c r="K318" s="155">
        <f t="shared" si="3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35"/>
        <v>0</v>
      </c>
      <c r="O318" s="155">
        <f t="shared" si="3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32"/>
        <v>125000</v>
      </c>
      <c r="J319" s="163">
        <f t="shared" si="33"/>
        <v>0</v>
      </c>
      <c r="K319" s="155">
        <f t="shared" si="3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35"/>
        <v>201227186.79893059</v>
      </c>
      <c r="O319" s="155">
        <f t="shared" si="3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32"/>
        <v>74000</v>
      </c>
      <c r="J320" s="163">
        <f t="shared" si="33"/>
        <v>0</v>
      </c>
      <c r="K320" s="155">
        <f t="shared" si="3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35"/>
        <v>201227187.79893059</v>
      </c>
      <c r="O320" s="155">
        <f t="shared" si="3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32"/>
        <v>4500</v>
      </c>
      <c r="J321" s="163">
        <f t="shared" si="33"/>
        <v>0</v>
      </c>
      <c r="K321" s="155">
        <f t="shared" si="3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35"/>
        <v>201227188.79893059</v>
      </c>
      <c r="O321" s="155">
        <f t="shared" si="3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32"/>
        <v>3888</v>
      </c>
      <c r="J322" s="163">
        <f t="shared" si="33"/>
        <v>0</v>
      </c>
      <c r="K322" s="155">
        <f t="shared" si="3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35"/>
        <v>201227189.79893059</v>
      </c>
      <c r="O322" s="155">
        <f t="shared" si="3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32"/>
        <v>2900</v>
      </c>
      <c r="J323" s="163">
        <f t="shared" si="33"/>
        <v>0</v>
      </c>
      <c r="K323" s="155">
        <f t="shared" si="3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35"/>
        <v>201227190.79893059</v>
      </c>
      <c r="O323" s="155">
        <f t="shared" si="3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32"/>
        <v>11500</v>
      </c>
      <c r="J324" s="163">
        <f t="shared" si="33"/>
        <v>0</v>
      </c>
      <c r="K324" s="155">
        <f t="shared" si="3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35"/>
        <v>201227191.79893059</v>
      </c>
      <c r="O324" s="155">
        <f t="shared" si="3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42">IF($I$5=$G$4,G325,(IF($I$5=$F$4,F325,0)))</f>
        <v>6100</v>
      </c>
      <c r="J325" s="163">
        <f t="shared" si="33"/>
        <v>0</v>
      </c>
      <c r="K325" s="155">
        <f t="shared" si="3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35"/>
        <v>201227192.79893059</v>
      </c>
      <c r="O325" s="155">
        <f t="shared" si="3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42"/>
        <v>58600</v>
      </c>
      <c r="J326" s="163">
        <f t="shared" si="33"/>
        <v>0</v>
      </c>
      <c r="K326" s="155">
        <f t="shared" si="3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35"/>
        <v>201227193.79893059</v>
      </c>
      <c r="O326" s="155">
        <f t="shared" si="3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42"/>
        <v>15400</v>
      </c>
      <c r="J327" s="163">
        <f t="shared" si="33"/>
        <v>0</v>
      </c>
      <c r="K327" s="155">
        <f t="shared" si="3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35"/>
        <v>201227194.79893059</v>
      </c>
      <c r="O327" s="155">
        <f t="shared" si="3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42"/>
        <v>5300</v>
      </c>
      <c r="J328" s="163">
        <f t="shared" si="33"/>
        <v>0</v>
      </c>
      <c r="K328" s="155">
        <f t="shared" si="3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35"/>
        <v>201227195.79893059</v>
      </c>
      <c r="O328" s="155">
        <f t="shared" si="3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42"/>
        <v>8900</v>
      </c>
      <c r="J329" s="163">
        <f t="shared" si="33"/>
        <v>0</v>
      </c>
      <c r="K329" s="155">
        <f t="shared" si="3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35"/>
        <v>201227196.79893059</v>
      </c>
      <c r="O329" s="155">
        <f t="shared" si="3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42"/>
        <v>15800</v>
      </c>
      <c r="J330" s="163">
        <f t="shared" si="33"/>
        <v>0</v>
      </c>
      <c r="K330" s="155">
        <f t="shared" si="3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5"/>
        <v>201227197.79893059</v>
      </c>
      <c r="O330" s="155">
        <f t="shared" si="3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42"/>
        <v>13800</v>
      </c>
      <c r="J331" s="163">
        <f t="shared" si="33"/>
        <v>0</v>
      </c>
      <c r="K331" s="155">
        <f t="shared" si="3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5"/>
        <v>201227198.79893059</v>
      </c>
      <c r="O331" s="155">
        <f t="shared" si="3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42"/>
        <v>18100</v>
      </c>
      <c r="J332" s="163">
        <f t="shared" ref="J332:J395" si="43">IF(D332="MDU-KD",1,0)</f>
        <v>0</v>
      </c>
      <c r="K332" s="155">
        <f t="shared" ref="K332:K395" si="44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45">IF(L332=0,M332,L332)</f>
        <v>201227199.79893059</v>
      </c>
      <c r="O332" s="155">
        <f t="shared" ref="O332:O395" si="46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42"/>
        <v>19800</v>
      </c>
      <c r="J333" s="163">
        <f t="shared" si="43"/>
        <v>0</v>
      </c>
      <c r="K333" s="155">
        <f t="shared" si="4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5"/>
        <v>201227200.79893059</v>
      </c>
      <c r="O333" s="155">
        <f t="shared" si="46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42"/>
        <v>23100</v>
      </c>
      <c r="J334" s="163">
        <f t="shared" si="43"/>
        <v>0</v>
      </c>
      <c r="K334" s="155">
        <f t="shared" si="4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45"/>
        <v>201227201.79893059</v>
      </c>
      <c r="O334" s="155">
        <f t="shared" si="46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42"/>
        <v>38500</v>
      </c>
      <c r="J335" s="163">
        <f t="shared" si="43"/>
        <v>0</v>
      </c>
      <c r="K335" s="155">
        <f t="shared" si="4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45"/>
        <v>201227202.79893059</v>
      </c>
      <c r="O335" s="155">
        <f t="shared" si="46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42"/>
        <v>22900</v>
      </c>
      <c r="J336" s="163">
        <f t="shared" si="43"/>
        <v>0</v>
      </c>
      <c r="K336" s="155">
        <f t="shared" si="4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45"/>
        <v>201227203.79893059</v>
      </c>
      <c r="O336" s="155">
        <f t="shared" si="46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42"/>
        <v>25000</v>
      </c>
      <c r="J337" s="163">
        <f t="shared" si="43"/>
        <v>0</v>
      </c>
      <c r="K337" s="155">
        <f t="shared" si="44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45"/>
        <v>201227204.79893059</v>
      </c>
      <c r="O337" s="155">
        <f t="shared" si="46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42"/>
        <v>25000</v>
      </c>
      <c r="J338" s="163">
        <f t="shared" si="43"/>
        <v>0</v>
      </c>
      <c r="K338" s="155">
        <f t="shared" si="44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45"/>
        <v>201227205.79893059</v>
      </c>
      <c r="O338" s="155">
        <f t="shared" si="46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42"/>
        <v>18400</v>
      </c>
      <c r="J339" s="163">
        <f t="shared" si="43"/>
        <v>0</v>
      </c>
      <c r="K339" s="155">
        <f t="shared" si="44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45"/>
        <v>201227206.79893059</v>
      </c>
      <c r="O339" s="155">
        <f t="shared" si="46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42"/>
        <v>18400</v>
      </c>
      <c r="J340" s="163">
        <f t="shared" si="43"/>
        <v>0</v>
      </c>
      <c r="K340" s="155">
        <f t="shared" si="44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45"/>
        <v>201227207.79893059</v>
      </c>
      <c r="O340" s="155">
        <f t="shared" si="46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42"/>
        <v>18400</v>
      </c>
      <c r="J341" s="163">
        <f t="shared" si="43"/>
        <v>0</v>
      </c>
      <c r="K341" s="155">
        <f t="shared" si="44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45"/>
        <v>201227208.79893059</v>
      </c>
      <c r="O341" s="155">
        <f t="shared" si="46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42"/>
        <v>61300</v>
      </c>
      <c r="J342" s="163">
        <f t="shared" si="43"/>
        <v>0</v>
      </c>
      <c r="K342" s="155">
        <f t="shared" si="44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45"/>
        <v>201227209.79893059</v>
      </c>
      <c r="O342" s="155">
        <f t="shared" si="46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42"/>
        <v>61300</v>
      </c>
      <c r="J343" s="163">
        <f t="shared" si="43"/>
        <v>0</v>
      </c>
      <c r="K343" s="155">
        <f t="shared" si="44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45"/>
        <v>201227210.79893059</v>
      </c>
      <c r="O343" s="155">
        <f t="shared" si="46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42"/>
        <v>61300</v>
      </c>
      <c r="J344" s="163">
        <f t="shared" si="43"/>
        <v>0</v>
      </c>
      <c r="K344" s="155">
        <f t="shared" si="44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45"/>
        <v>201227211.79893059</v>
      </c>
      <c r="O344" s="155">
        <f t="shared" si="46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42"/>
        <v>64500</v>
      </c>
      <c r="J345" s="163">
        <f t="shared" si="43"/>
        <v>0</v>
      </c>
      <c r="K345" s="155">
        <f t="shared" si="44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45"/>
        <v>201227212.79893059</v>
      </c>
      <c r="O345" s="155">
        <f t="shared" si="46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42"/>
        <v>69000</v>
      </c>
      <c r="J346" s="163">
        <f t="shared" si="43"/>
        <v>0</v>
      </c>
      <c r="K346" s="155">
        <f t="shared" si="44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45"/>
        <v>201227213.79893059</v>
      </c>
      <c r="O346" s="155">
        <f t="shared" si="46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42"/>
        <v>82500</v>
      </c>
      <c r="J347" s="163">
        <f t="shared" si="43"/>
        <v>0</v>
      </c>
      <c r="K347" s="155">
        <f t="shared" si="44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45"/>
        <v>201227214.79893059</v>
      </c>
      <c r="O347" s="155">
        <f t="shared" si="46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42"/>
        <v>79800</v>
      </c>
      <c r="J348" s="163">
        <f t="shared" si="43"/>
        <v>0</v>
      </c>
      <c r="K348" s="155">
        <f t="shared" si="44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45"/>
        <v>201227215.79893059</v>
      </c>
      <c r="O348" s="155">
        <f t="shared" si="46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42"/>
        <v>72100</v>
      </c>
      <c r="J349" s="163">
        <f t="shared" si="43"/>
        <v>0</v>
      </c>
      <c r="K349" s="155">
        <f t="shared" si="44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45"/>
        <v>201227216.79893059</v>
      </c>
      <c r="O349" s="155">
        <f t="shared" si="46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42"/>
        <v>86800</v>
      </c>
      <c r="J350" s="163">
        <f t="shared" si="43"/>
        <v>0</v>
      </c>
      <c r="K350" s="155">
        <f t="shared" si="44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45"/>
        <v>201227217.79893059</v>
      </c>
      <c r="O350" s="155">
        <f t="shared" si="46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42"/>
        <v>105600</v>
      </c>
      <c r="J351" s="163">
        <f t="shared" si="43"/>
        <v>0</v>
      </c>
      <c r="K351" s="155">
        <f t="shared" si="44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45"/>
        <v>201227218.79893059</v>
      </c>
      <c r="O351" s="155">
        <f t="shared" si="46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42"/>
        <v>491900</v>
      </c>
      <c r="J352" s="163">
        <f t="shared" si="43"/>
        <v>0</v>
      </c>
      <c r="K352" s="155">
        <f t="shared" si="44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45"/>
        <v>201227219.79893059</v>
      </c>
      <c r="O352" s="155">
        <f t="shared" si="46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42"/>
        <v>29555</v>
      </c>
      <c r="J353" s="163">
        <f t="shared" si="43"/>
        <v>0</v>
      </c>
      <c r="K353" s="155">
        <f t="shared" si="44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45"/>
        <v>201227220.79893059</v>
      </c>
      <c r="O353" s="155">
        <f t="shared" si="46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42"/>
        <v>37200</v>
      </c>
      <c r="J354" s="163">
        <f t="shared" si="43"/>
        <v>0</v>
      </c>
      <c r="K354" s="155">
        <f t="shared" si="44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45"/>
        <v>201227221.79893059</v>
      </c>
      <c r="O354" s="155">
        <f t="shared" si="46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42"/>
        <v>29600</v>
      </c>
      <c r="J355" s="163">
        <f t="shared" si="43"/>
        <v>0</v>
      </c>
      <c r="K355" s="155">
        <f t="shared" si="44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45"/>
        <v>201227222.79893059</v>
      </c>
      <c r="O355" s="155">
        <f t="shared" si="46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42"/>
        <v>37144</v>
      </c>
      <c r="J356" s="163">
        <f t="shared" si="43"/>
        <v>0</v>
      </c>
      <c r="K356" s="155">
        <f t="shared" si="44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45"/>
        <v>201227223.79893059</v>
      </c>
      <c r="O356" s="155">
        <f t="shared" si="46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42"/>
        <v>5700</v>
      </c>
      <c r="J357" s="163">
        <f t="shared" si="43"/>
        <v>0</v>
      </c>
      <c r="K357" s="155">
        <f t="shared" si="44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45"/>
        <v>201227224.79893059</v>
      </c>
      <c r="O357" s="155">
        <f t="shared" si="46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42"/>
        <v>5700</v>
      </c>
      <c r="J358" s="163">
        <f t="shared" si="43"/>
        <v>0</v>
      </c>
      <c r="K358" s="155">
        <f t="shared" si="44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45"/>
        <v>201227225.79893059</v>
      </c>
      <c r="O358" s="155">
        <f t="shared" si="46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42"/>
        <v>10700</v>
      </c>
      <c r="J359" s="163">
        <f t="shared" si="43"/>
        <v>0</v>
      </c>
      <c r="K359" s="155">
        <f t="shared" si="44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45"/>
        <v>201227226.79893059</v>
      </c>
      <c r="O359" s="155">
        <f t="shared" si="46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42"/>
        <v>6200</v>
      </c>
      <c r="J360" s="163">
        <f t="shared" si="43"/>
        <v>0</v>
      </c>
      <c r="K360" s="155">
        <f t="shared" si="44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45"/>
        <v>201227227.79893059</v>
      </c>
      <c r="O360" s="155">
        <f t="shared" si="46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42"/>
        <v>446100</v>
      </c>
      <c r="J361" s="163">
        <f t="shared" si="43"/>
        <v>0</v>
      </c>
      <c r="K361" s="155">
        <f t="shared" si="44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45"/>
        <v>201227228.79893059</v>
      </c>
      <c r="O361" s="155">
        <f t="shared" si="46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42"/>
        <v>45796</v>
      </c>
      <c r="J362" s="163">
        <f t="shared" si="43"/>
        <v>0</v>
      </c>
      <c r="K362" s="155">
        <f t="shared" si="44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45"/>
        <v>201227229.79893059</v>
      </c>
      <c r="O362" s="155">
        <f t="shared" si="46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42"/>
        <v>0</v>
      </c>
      <c r="J363" s="163">
        <f t="shared" si="43"/>
        <v>0</v>
      </c>
      <c r="K363" s="155">
        <f t="shared" si="44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45"/>
        <v>0</v>
      </c>
      <c r="O363" s="155">
        <f t="shared" si="46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42"/>
        <v>0</v>
      </c>
      <c r="J364" s="163">
        <f t="shared" si="43"/>
        <v>0</v>
      </c>
      <c r="K364" s="155">
        <f t="shared" si="44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45"/>
        <v>0</v>
      </c>
      <c r="O364" s="155">
        <f t="shared" si="46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42"/>
        <v>37000</v>
      </c>
      <c r="J365" s="163">
        <f t="shared" si="43"/>
        <v>0</v>
      </c>
      <c r="K365" s="155">
        <f t="shared" si="44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45"/>
        <v>201227230.79893059</v>
      </c>
      <c r="O365" s="155">
        <f t="shared" si="46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42"/>
        <v>55500</v>
      </c>
      <c r="J366" s="163">
        <f t="shared" si="43"/>
        <v>0</v>
      </c>
      <c r="K366" s="155">
        <f t="shared" si="44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45"/>
        <v>201227231.79893059</v>
      </c>
      <c r="O366" s="155">
        <f t="shared" si="46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42"/>
        <v>67800</v>
      </c>
      <c r="J367" s="163">
        <f t="shared" si="43"/>
        <v>0</v>
      </c>
      <c r="K367" s="155">
        <f t="shared" si="44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45"/>
        <v>201227232.79893059</v>
      </c>
      <c r="O367" s="155">
        <f t="shared" si="46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42"/>
        <v>98600</v>
      </c>
      <c r="J368" s="163">
        <f t="shared" si="43"/>
        <v>0</v>
      </c>
      <c r="K368" s="155">
        <f t="shared" si="44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45"/>
        <v>201227233.79893059</v>
      </c>
      <c r="O368" s="155">
        <f t="shared" si="46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42"/>
        <v>135199</v>
      </c>
      <c r="J369" s="163">
        <f t="shared" si="43"/>
        <v>0</v>
      </c>
      <c r="K369" s="155">
        <f t="shared" si="44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45"/>
        <v>201227234.79893059</v>
      </c>
      <c r="O369" s="155">
        <f t="shared" si="46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42"/>
        <v>7789</v>
      </c>
      <c r="J370" s="163">
        <f t="shared" si="43"/>
        <v>0</v>
      </c>
      <c r="K370" s="155">
        <f t="shared" si="44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45"/>
        <v>201227235.79893059</v>
      </c>
      <c r="O370" s="155">
        <f t="shared" si="46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42"/>
        <v>47459</v>
      </c>
      <c r="J371" s="163">
        <f t="shared" si="43"/>
        <v>0</v>
      </c>
      <c r="K371" s="155">
        <f t="shared" si="44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45"/>
        <v>201227236.79893059</v>
      </c>
      <c r="O371" s="155">
        <f t="shared" si="46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42"/>
        <v>112500</v>
      </c>
      <c r="J372" s="163">
        <f t="shared" si="43"/>
        <v>0</v>
      </c>
      <c r="K372" s="155">
        <f t="shared" si="44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45"/>
        <v>201227237.79893059</v>
      </c>
      <c r="O372" s="155">
        <f t="shared" si="46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42"/>
        <v>35800</v>
      </c>
      <c r="J373" s="163">
        <f t="shared" si="43"/>
        <v>0</v>
      </c>
      <c r="K373" s="155">
        <f t="shared" si="44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45"/>
        <v>201227238.79893059</v>
      </c>
      <c r="O373" s="155">
        <f t="shared" si="46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42"/>
        <v>36000</v>
      </c>
      <c r="J374" s="163">
        <f t="shared" si="43"/>
        <v>0</v>
      </c>
      <c r="K374" s="155">
        <f t="shared" si="44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45"/>
        <v>201227239.79893059</v>
      </c>
      <c r="O374" s="155">
        <f t="shared" si="46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42"/>
        <v>36000</v>
      </c>
      <c r="J375" s="163">
        <f t="shared" si="43"/>
        <v>0</v>
      </c>
      <c r="K375" s="155">
        <f t="shared" si="44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45"/>
        <v>201227240.79893059</v>
      </c>
      <c r="O375" s="155">
        <f t="shared" si="46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42"/>
        <v>40000</v>
      </c>
      <c r="J376" s="163">
        <f t="shared" si="43"/>
        <v>0</v>
      </c>
      <c r="K376" s="155">
        <f t="shared" si="44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45"/>
        <v>201227241.79893059</v>
      </c>
      <c r="O376" s="155">
        <f t="shared" si="46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42"/>
        <v>55000</v>
      </c>
      <c r="J377" s="163">
        <f t="shared" si="43"/>
        <v>0</v>
      </c>
      <c r="K377" s="155">
        <f t="shared" si="44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45"/>
        <v>201227242.79893059</v>
      </c>
      <c r="O377" s="155">
        <f t="shared" si="46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42"/>
        <v>45500</v>
      </c>
      <c r="J378" s="163">
        <f t="shared" si="43"/>
        <v>0</v>
      </c>
      <c r="K378" s="155">
        <f t="shared" si="44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45"/>
        <v>201227243.79893059</v>
      </c>
      <c r="O378" s="155">
        <f t="shared" si="46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42"/>
        <v>45500</v>
      </c>
      <c r="J379" s="163">
        <f t="shared" si="43"/>
        <v>0</v>
      </c>
      <c r="K379" s="155">
        <f t="shared" si="44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45"/>
        <v>201227244.79893059</v>
      </c>
      <c r="O379" s="155">
        <f t="shared" si="46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42"/>
        <v>45500</v>
      </c>
      <c r="J380" s="163">
        <f t="shared" si="43"/>
        <v>0</v>
      </c>
      <c r="K380" s="155">
        <f t="shared" si="44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45"/>
        <v>201227245.79893059</v>
      </c>
      <c r="O380" s="155">
        <f t="shared" si="46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42"/>
        <v>45500</v>
      </c>
      <c r="J381" s="163">
        <f t="shared" si="43"/>
        <v>0</v>
      </c>
      <c r="K381" s="155">
        <f t="shared" si="44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45"/>
        <v>201227246.79893059</v>
      </c>
      <c r="O381" s="155">
        <f t="shared" si="46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42"/>
        <v>7938</v>
      </c>
      <c r="J382" s="163">
        <f t="shared" si="43"/>
        <v>0</v>
      </c>
      <c r="K382" s="155">
        <f t="shared" si="44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45"/>
        <v>201227247.79893059</v>
      </c>
      <c r="O382" s="155">
        <f t="shared" si="46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42"/>
        <v>30000</v>
      </c>
      <c r="J383" s="163">
        <f t="shared" si="43"/>
        <v>0</v>
      </c>
      <c r="K383" s="155">
        <f t="shared" si="44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45"/>
        <v>201227248.79893059</v>
      </c>
      <c r="O383" s="155">
        <f t="shared" si="46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42"/>
        <v>26500</v>
      </c>
      <c r="J384" s="163">
        <f t="shared" si="43"/>
        <v>0</v>
      </c>
      <c r="K384" s="155">
        <f t="shared" si="44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45"/>
        <v>201227249.79893059</v>
      </c>
      <c r="O384" s="155">
        <f t="shared" si="46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43"/>
        <v>0</v>
      </c>
      <c r="K385" s="155">
        <f t="shared" si="44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45"/>
        <v>201227250.79893059</v>
      </c>
      <c r="O385" s="155">
        <f t="shared" si="46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42"/>
        <v>26500</v>
      </c>
      <c r="J386" s="163">
        <f t="shared" si="43"/>
        <v>0</v>
      </c>
      <c r="K386" s="155">
        <f t="shared" si="44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45"/>
        <v>201227251.79893059</v>
      </c>
      <c r="O386" s="155">
        <f t="shared" si="46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42"/>
        <v>26500</v>
      </c>
      <c r="J387" s="163">
        <f t="shared" si="43"/>
        <v>0</v>
      </c>
      <c r="K387" s="155">
        <f t="shared" si="44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45"/>
        <v>201227252.79893059</v>
      </c>
      <c r="O387" s="155">
        <f t="shared" si="46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42"/>
        <v>33600</v>
      </c>
      <c r="J388" s="163">
        <f t="shared" si="43"/>
        <v>0</v>
      </c>
      <c r="K388" s="155">
        <f t="shared" si="44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45"/>
        <v>201227253.79893059</v>
      </c>
      <c r="O388" s="155">
        <f t="shared" si="46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42"/>
        <v>33600</v>
      </c>
      <c r="J389" s="163">
        <f t="shared" si="43"/>
        <v>0</v>
      </c>
      <c r="K389" s="155">
        <f t="shared" si="44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45"/>
        <v>201227254.79893059</v>
      </c>
      <c r="O389" s="155">
        <f t="shared" si="46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47">IF($I$5=$G$4,G390,(IF($I$5=$F$4,F390,0)))</f>
        <v>33600</v>
      </c>
      <c r="J390" s="163">
        <f t="shared" si="43"/>
        <v>0</v>
      </c>
      <c r="K390" s="155">
        <f t="shared" si="44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45"/>
        <v>201227255.79893059</v>
      </c>
      <c r="O390" s="155">
        <f t="shared" si="46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47"/>
        <v>33600</v>
      </c>
      <c r="J391" s="163">
        <f t="shared" si="43"/>
        <v>0</v>
      </c>
      <c r="K391" s="155">
        <f t="shared" si="44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45"/>
        <v>201227256.79893059</v>
      </c>
      <c r="O391" s="155">
        <f t="shared" si="46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47"/>
        <v>32600</v>
      </c>
      <c r="J392" s="163">
        <f t="shared" si="43"/>
        <v>0</v>
      </c>
      <c r="K392" s="155">
        <f t="shared" si="44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45"/>
        <v>201227257.79893059</v>
      </c>
      <c r="O392" s="155">
        <f t="shared" si="46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47"/>
        <v>45000</v>
      </c>
      <c r="J393" s="163">
        <f t="shared" si="43"/>
        <v>0</v>
      </c>
      <c r="K393" s="155">
        <f t="shared" si="44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45"/>
        <v>201227258.79893059</v>
      </c>
      <c r="O393" s="155">
        <f t="shared" si="46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47"/>
        <v>92500</v>
      </c>
      <c r="J394" s="163">
        <f t="shared" si="43"/>
        <v>0</v>
      </c>
      <c r="K394" s="155">
        <f t="shared" si="4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45"/>
        <v>201227259.79893059</v>
      </c>
      <c r="O394" s="155">
        <f t="shared" si="46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47"/>
        <v>67700</v>
      </c>
      <c r="J395" s="163">
        <f t="shared" si="43"/>
        <v>0</v>
      </c>
      <c r="K395" s="155">
        <f t="shared" si="4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45"/>
        <v>201227260.79893059</v>
      </c>
      <c r="O395" s="155">
        <f t="shared" si="46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47"/>
        <v>13100</v>
      </c>
      <c r="J396" s="163">
        <f t="shared" ref="J396:J459" si="48">IF(D396="MDU-KD",1,0)</f>
        <v>0</v>
      </c>
      <c r="K396" s="155">
        <f t="shared" ref="K396:K459" si="49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50">IF(L396=0,M396,L396)</f>
        <v>201227261.79893059</v>
      </c>
      <c r="O396" s="155">
        <f t="shared" ref="O396:O459" si="51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47"/>
        <v>404600</v>
      </c>
      <c r="J397" s="163">
        <f t="shared" si="48"/>
        <v>0</v>
      </c>
      <c r="K397" s="155">
        <f t="shared" si="4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50"/>
        <v>201227262.79893059</v>
      </c>
      <c r="O397" s="155">
        <f t="shared" si="51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47"/>
        <v>445573.55999999994</v>
      </c>
      <c r="J398" s="163">
        <f t="shared" si="48"/>
        <v>0</v>
      </c>
      <c r="K398" s="155">
        <f t="shared" si="4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50"/>
        <v>201227263.79893059</v>
      </c>
      <c r="O398" s="155">
        <f t="shared" si="51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47"/>
        <v>89200</v>
      </c>
      <c r="J399" s="163">
        <f t="shared" si="48"/>
        <v>0</v>
      </c>
      <c r="K399" s="155">
        <f t="shared" si="4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50"/>
        <v>201227264.79893059</v>
      </c>
      <c r="O399" s="155">
        <f t="shared" si="51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47"/>
        <v>95000</v>
      </c>
      <c r="J400" s="163">
        <f t="shared" si="48"/>
        <v>0</v>
      </c>
      <c r="K400" s="155">
        <f t="shared" si="4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50"/>
        <v>201227265.79893059</v>
      </c>
      <c r="O400" s="155">
        <f t="shared" si="51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47"/>
        <v>15500</v>
      </c>
      <c r="J401" s="163">
        <f t="shared" si="48"/>
        <v>0</v>
      </c>
      <c r="K401" s="155">
        <f t="shared" si="49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50"/>
        <v>201227266.79893059</v>
      </c>
      <c r="O401" s="155">
        <f t="shared" si="51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47"/>
        <v>37700</v>
      </c>
      <c r="J402" s="163">
        <f t="shared" si="48"/>
        <v>0</v>
      </c>
      <c r="K402" s="155">
        <f t="shared" si="49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50"/>
        <v>201227267.79893059</v>
      </c>
      <c r="O402" s="155">
        <f t="shared" si="51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47"/>
        <v>28100</v>
      </c>
      <c r="J403" s="163">
        <f t="shared" si="48"/>
        <v>0</v>
      </c>
      <c r="K403" s="155">
        <f t="shared" si="49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50"/>
        <v>201227268.79893059</v>
      </c>
      <c r="O403" s="155">
        <f t="shared" si="51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47"/>
        <v>22400</v>
      </c>
      <c r="J404" s="163">
        <f t="shared" si="48"/>
        <v>0</v>
      </c>
      <c r="K404" s="155">
        <f t="shared" si="49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50"/>
        <v>201227269.79893059</v>
      </c>
      <c r="O404" s="155">
        <f t="shared" si="51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47"/>
        <v>15900</v>
      </c>
      <c r="J405" s="163">
        <f t="shared" si="48"/>
        <v>0</v>
      </c>
      <c r="K405" s="155">
        <f t="shared" si="49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50"/>
        <v>201227270.79893059</v>
      </c>
      <c r="O405" s="155">
        <f t="shared" si="51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47"/>
        <v>22500</v>
      </c>
      <c r="J406" s="163">
        <f t="shared" si="48"/>
        <v>0</v>
      </c>
      <c r="K406" s="155">
        <f t="shared" si="49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50"/>
        <v>201227271.79893059</v>
      </c>
      <c r="O406" s="155">
        <f t="shared" si="51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47"/>
        <v>36500</v>
      </c>
      <c r="J407" s="163">
        <f t="shared" si="48"/>
        <v>0</v>
      </c>
      <c r="K407" s="155">
        <f t="shared" si="49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50"/>
        <v>201227272.79893059</v>
      </c>
      <c r="O407" s="155">
        <f t="shared" si="51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47"/>
        <v>10800</v>
      </c>
      <c r="J408" s="163">
        <f t="shared" si="48"/>
        <v>0</v>
      </c>
      <c r="K408" s="155">
        <f t="shared" si="49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50"/>
        <v>201227273.79893059</v>
      </c>
      <c r="O408" s="155">
        <f t="shared" si="51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47"/>
        <v>13600</v>
      </c>
      <c r="J409" s="163">
        <f t="shared" si="48"/>
        <v>0</v>
      </c>
      <c r="K409" s="155">
        <f t="shared" si="49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50"/>
        <v>201227274.79893059</v>
      </c>
      <c r="O409" s="155">
        <f t="shared" si="51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47"/>
        <v>17100</v>
      </c>
      <c r="J410" s="163">
        <f t="shared" si="48"/>
        <v>0</v>
      </c>
      <c r="K410" s="155">
        <f t="shared" si="49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50"/>
        <v>201227275.79893059</v>
      </c>
      <c r="O410" s="155">
        <f t="shared" si="51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47"/>
        <v>32400</v>
      </c>
      <c r="J411" s="163">
        <f t="shared" si="48"/>
        <v>0</v>
      </c>
      <c r="K411" s="155">
        <f t="shared" si="49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50"/>
        <v>201227276.79893059</v>
      </c>
      <c r="O411" s="155">
        <f t="shared" si="51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47"/>
        <v>40400</v>
      </c>
      <c r="J412" s="163">
        <f t="shared" si="48"/>
        <v>0</v>
      </c>
      <c r="K412" s="155">
        <f t="shared" si="49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50"/>
        <v>201227277.79893059</v>
      </c>
      <c r="O412" s="155">
        <f t="shared" si="51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47"/>
        <v>283100</v>
      </c>
      <c r="J413" s="163">
        <f t="shared" si="48"/>
        <v>0</v>
      </c>
      <c r="K413" s="155">
        <f t="shared" si="49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50"/>
        <v>201227278.79893059</v>
      </c>
      <c r="O413" s="155">
        <f t="shared" si="51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47"/>
        <v>380500</v>
      </c>
      <c r="J414" s="163">
        <f t="shared" si="48"/>
        <v>0</v>
      </c>
      <c r="K414" s="155">
        <f t="shared" si="49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50"/>
        <v>201227279.79893059</v>
      </c>
      <c r="O414" s="155">
        <f t="shared" si="51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47"/>
        <v>559200</v>
      </c>
      <c r="J415" s="163">
        <f t="shared" si="48"/>
        <v>0</v>
      </c>
      <c r="K415" s="155">
        <f t="shared" si="49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50"/>
        <v>201227280.79893059</v>
      </c>
      <c r="O415" s="155">
        <f t="shared" si="51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47"/>
        <v>41800</v>
      </c>
      <c r="J416" s="163">
        <f t="shared" si="48"/>
        <v>0</v>
      </c>
      <c r="K416" s="155">
        <f t="shared" si="49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50"/>
        <v>201227281.79893059</v>
      </c>
      <c r="O416" s="155">
        <f t="shared" si="51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47"/>
        <v>78500</v>
      </c>
      <c r="J417" s="163">
        <f t="shared" si="48"/>
        <v>0</v>
      </c>
      <c r="K417" s="155">
        <f t="shared" si="49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50"/>
        <v>201227282.79893059</v>
      </c>
      <c r="O417" s="155">
        <f t="shared" si="51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47"/>
        <v>120000</v>
      </c>
      <c r="J418" s="163">
        <f t="shared" si="48"/>
        <v>0</v>
      </c>
      <c r="K418" s="155">
        <f t="shared" si="49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50"/>
        <v>201227283.79893059</v>
      </c>
      <c r="O418" s="155">
        <f t="shared" si="51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47"/>
        <v>120900</v>
      </c>
      <c r="J419" s="163">
        <f t="shared" si="48"/>
        <v>0</v>
      </c>
      <c r="K419" s="155">
        <f t="shared" si="49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50"/>
        <v>201227284.79893059</v>
      </c>
      <c r="O419" s="155">
        <f t="shared" si="51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47"/>
        <v>78500</v>
      </c>
      <c r="J420" s="163">
        <f t="shared" si="48"/>
        <v>0</v>
      </c>
      <c r="K420" s="155">
        <f t="shared" si="49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50"/>
        <v>201227285.79893059</v>
      </c>
      <c r="O420" s="155">
        <f t="shared" si="51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47"/>
        <v>85300</v>
      </c>
      <c r="J421" s="163">
        <f t="shared" si="48"/>
        <v>0</v>
      </c>
      <c r="K421" s="155">
        <f t="shared" si="49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50"/>
        <v>201227286.79893059</v>
      </c>
      <c r="O421" s="155">
        <f t="shared" si="51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47"/>
        <v>107300</v>
      </c>
      <c r="J422" s="163">
        <f t="shared" si="48"/>
        <v>0</v>
      </c>
      <c r="K422" s="155">
        <f t="shared" si="49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50"/>
        <v>201227287.79893059</v>
      </c>
      <c r="O422" s="155">
        <f t="shared" si="51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47"/>
        <v>112100</v>
      </c>
      <c r="J423" s="163">
        <f t="shared" si="48"/>
        <v>0</v>
      </c>
      <c r="K423" s="155">
        <f t="shared" si="49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50"/>
        <v>201227288.79893059</v>
      </c>
      <c r="O423" s="155">
        <f t="shared" si="51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47"/>
        <v>75400</v>
      </c>
      <c r="J424" s="163">
        <f t="shared" si="48"/>
        <v>0</v>
      </c>
      <c r="K424" s="155">
        <f t="shared" si="49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50"/>
        <v>201227289.79893059</v>
      </c>
      <c r="O424" s="155">
        <f t="shared" si="51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47"/>
        <v>23500</v>
      </c>
      <c r="J425" s="163">
        <f t="shared" si="48"/>
        <v>0</v>
      </c>
      <c r="K425" s="155">
        <f t="shared" si="49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50"/>
        <v>201227290.79893059</v>
      </c>
      <c r="O425" s="155">
        <f t="shared" si="51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47"/>
        <v>26500</v>
      </c>
      <c r="J426" s="163">
        <f t="shared" si="48"/>
        <v>0</v>
      </c>
      <c r="K426" s="155">
        <f t="shared" si="49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50"/>
        <v>201227291.79893059</v>
      </c>
      <c r="O426" s="155">
        <f t="shared" si="51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47"/>
        <v>34000</v>
      </c>
      <c r="J427" s="163">
        <f t="shared" si="48"/>
        <v>0</v>
      </c>
      <c r="K427" s="155">
        <f t="shared" si="49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50"/>
        <v>201227292.79893059</v>
      </c>
      <c r="O427" s="155">
        <f t="shared" si="51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47"/>
        <v>49600</v>
      </c>
      <c r="J428" s="163">
        <f t="shared" si="48"/>
        <v>0</v>
      </c>
      <c r="K428" s="155">
        <f t="shared" si="49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50"/>
        <v>201227293.79893059</v>
      </c>
      <c r="O428" s="155">
        <f t="shared" si="51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47"/>
        <v>56300</v>
      </c>
      <c r="J429" s="163">
        <f t="shared" si="48"/>
        <v>0</v>
      </c>
      <c r="K429" s="155">
        <f t="shared" si="49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50"/>
        <v>201227294.79893059</v>
      </c>
      <c r="O429" s="155">
        <f t="shared" si="51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47"/>
        <v>33800</v>
      </c>
      <c r="J430" s="163">
        <f t="shared" si="48"/>
        <v>0</v>
      </c>
      <c r="K430" s="155">
        <f t="shared" si="49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50"/>
        <v>201227295.79893059</v>
      </c>
      <c r="O430" s="155">
        <f t="shared" si="51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47"/>
        <v>40200</v>
      </c>
      <c r="J431" s="163">
        <f t="shared" si="48"/>
        <v>0</v>
      </c>
      <c r="K431" s="155">
        <f t="shared" si="49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50"/>
        <v>201227296.79893059</v>
      </c>
      <c r="O431" s="155">
        <f t="shared" si="51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47"/>
        <v>46800</v>
      </c>
      <c r="J432" s="163">
        <f t="shared" si="48"/>
        <v>0</v>
      </c>
      <c r="K432" s="155">
        <f t="shared" si="49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50"/>
        <v>201227297.79893059</v>
      </c>
      <c r="O432" s="155">
        <f t="shared" si="51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47"/>
        <v>9500</v>
      </c>
      <c r="J433" s="163">
        <f t="shared" si="48"/>
        <v>0</v>
      </c>
      <c r="K433" s="155">
        <f t="shared" si="49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50"/>
        <v>201227298.79893059</v>
      </c>
      <c r="O433" s="155">
        <f t="shared" si="51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47"/>
        <v>185200</v>
      </c>
      <c r="J434" s="163">
        <f t="shared" si="48"/>
        <v>0</v>
      </c>
      <c r="K434" s="155">
        <f t="shared" si="49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50"/>
        <v>201227299.79893059</v>
      </c>
      <c r="O434" s="155">
        <f t="shared" si="51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47"/>
        <v>175000</v>
      </c>
      <c r="J435" s="163">
        <f t="shared" si="48"/>
        <v>0</v>
      </c>
      <c r="K435" s="155">
        <f t="shared" si="49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50"/>
        <v>201227300.79893059</v>
      </c>
      <c r="O435" s="155">
        <f t="shared" si="51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47"/>
        <v>30000</v>
      </c>
      <c r="J436" s="163">
        <f t="shared" si="48"/>
        <v>0</v>
      </c>
      <c r="K436" s="155">
        <f t="shared" si="49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50"/>
        <v>201227301.79893059</v>
      </c>
      <c r="O436" s="155">
        <f t="shared" si="51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47"/>
        <v>49500</v>
      </c>
      <c r="J437" s="163">
        <f t="shared" si="48"/>
        <v>0</v>
      </c>
      <c r="K437" s="155">
        <f t="shared" si="49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50"/>
        <v>201227302.79893059</v>
      </c>
      <c r="O437" s="155">
        <f t="shared" si="51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47"/>
        <v>120000</v>
      </c>
      <c r="J438" s="163">
        <f t="shared" si="48"/>
        <v>0</v>
      </c>
      <c r="K438" s="155">
        <f t="shared" si="49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50"/>
        <v>201227303.79893059</v>
      </c>
      <c r="O438" s="155">
        <f t="shared" si="51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47"/>
        <v>4880</v>
      </c>
      <c r="J439" s="163">
        <f t="shared" si="48"/>
        <v>0</v>
      </c>
      <c r="K439" s="155">
        <f t="shared" si="49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50"/>
        <v>201227304.79893059</v>
      </c>
      <c r="O439" s="155">
        <f t="shared" si="51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47"/>
        <v>1308700</v>
      </c>
      <c r="J440" s="163">
        <f t="shared" si="48"/>
        <v>0</v>
      </c>
      <c r="K440" s="155">
        <f t="shared" si="49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50"/>
        <v>201227305.79893059</v>
      </c>
      <c r="O440" s="155">
        <f t="shared" si="51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47"/>
        <v>12500</v>
      </c>
      <c r="J441" s="163">
        <f t="shared" si="48"/>
        <v>0</v>
      </c>
      <c r="K441" s="155">
        <f t="shared" si="49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50"/>
        <v>201227306.79893059</v>
      </c>
      <c r="O441" s="155">
        <f t="shared" si="51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47"/>
        <v>9700</v>
      </c>
      <c r="J442" s="163">
        <f t="shared" si="48"/>
        <v>0</v>
      </c>
      <c r="K442" s="155">
        <f t="shared" si="49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50"/>
        <v>201227307.79893059</v>
      </c>
      <c r="O442" s="155">
        <f t="shared" si="51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47"/>
        <v>24300</v>
      </c>
      <c r="J443" s="163">
        <f t="shared" si="48"/>
        <v>0</v>
      </c>
      <c r="K443" s="155">
        <f t="shared" si="49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50"/>
        <v>201227308.79893059</v>
      </c>
      <c r="O443" s="155">
        <f t="shared" si="51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47"/>
        <v>39204</v>
      </c>
      <c r="J444" s="163">
        <f t="shared" si="48"/>
        <v>0</v>
      </c>
      <c r="K444" s="155">
        <f t="shared" si="49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50"/>
        <v>201227309.79893059</v>
      </c>
      <c r="O444" s="155">
        <f t="shared" si="51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47"/>
        <v>547900</v>
      </c>
      <c r="J445" s="163">
        <f t="shared" si="48"/>
        <v>0</v>
      </c>
      <c r="K445" s="155">
        <f t="shared" si="49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50"/>
        <v>201227310.79893059</v>
      </c>
      <c r="O445" s="155">
        <f t="shared" si="51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47"/>
        <v>87000</v>
      </c>
      <c r="J446" s="163">
        <f t="shared" si="48"/>
        <v>0</v>
      </c>
      <c r="K446" s="155">
        <f t="shared" si="49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50"/>
        <v>201227311.79893059</v>
      </c>
      <c r="O446" s="155">
        <f t="shared" si="51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47"/>
        <v>173400</v>
      </c>
      <c r="J447" s="163">
        <f t="shared" si="48"/>
        <v>0</v>
      </c>
      <c r="K447" s="155">
        <f t="shared" si="49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50"/>
        <v>201227312.79893059</v>
      </c>
      <c r="O447" s="155">
        <f t="shared" si="51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3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47"/>
        <v>3965</v>
      </c>
      <c r="J448" s="163">
        <f t="shared" si="48"/>
        <v>0</v>
      </c>
      <c r="K448" s="155">
        <f t="shared" si="49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50"/>
        <v>201227313.79893059</v>
      </c>
      <c r="O448" s="155">
        <f t="shared" si="51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47"/>
        <v>31800</v>
      </c>
      <c r="J449" s="163">
        <f t="shared" si="48"/>
        <v>0</v>
      </c>
      <c r="K449" s="155">
        <f t="shared" si="49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50"/>
        <v>201227314.79893059</v>
      </c>
      <c r="O449" s="155">
        <f t="shared" si="51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47"/>
        <v>33800</v>
      </c>
      <c r="J450" s="163">
        <f t="shared" si="48"/>
        <v>0</v>
      </c>
      <c r="K450" s="155">
        <f t="shared" si="49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50"/>
        <v>201227315.79893059</v>
      </c>
      <c r="O450" s="155">
        <f t="shared" si="51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47"/>
        <v>38600</v>
      </c>
      <c r="J451" s="163">
        <f t="shared" si="48"/>
        <v>0</v>
      </c>
      <c r="K451" s="155">
        <f t="shared" si="49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50"/>
        <v>201227316.79893059</v>
      </c>
      <c r="O451" s="155">
        <f t="shared" si="51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47"/>
        <v>76300</v>
      </c>
      <c r="J452" s="163">
        <f t="shared" si="48"/>
        <v>0</v>
      </c>
      <c r="K452" s="155">
        <f t="shared" si="49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50"/>
        <v>201227317.79893059</v>
      </c>
      <c r="O452" s="155">
        <f t="shared" si="51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47"/>
        <v>97400</v>
      </c>
      <c r="J453" s="163">
        <f t="shared" si="48"/>
        <v>0</v>
      </c>
      <c r="K453" s="155">
        <f t="shared" si="49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50"/>
        <v>201227318.79893059</v>
      </c>
      <c r="O453" s="155">
        <f t="shared" si="51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52">IF($I$5=$G$4,G454,(IF($I$5=$F$4,F454,0)))</f>
        <v>4520</v>
      </c>
      <c r="J454" s="163">
        <f t="shared" si="48"/>
        <v>0</v>
      </c>
      <c r="K454" s="155">
        <f t="shared" si="49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50"/>
        <v>201227319.79893059</v>
      </c>
      <c r="O454" s="155">
        <f t="shared" si="51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52"/>
        <v>7290</v>
      </c>
      <c r="J455" s="163">
        <f t="shared" si="48"/>
        <v>0</v>
      </c>
      <c r="K455" s="155">
        <f t="shared" si="49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50"/>
        <v>201227320.79893059</v>
      </c>
      <c r="O455" s="155">
        <f t="shared" si="51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52"/>
        <v>4500</v>
      </c>
      <c r="J456" s="163">
        <f t="shared" si="48"/>
        <v>0</v>
      </c>
      <c r="K456" s="155">
        <f t="shared" si="49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50"/>
        <v>201227321.79893059</v>
      </c>
      <c r="O456" s="155">
        <f t="shared" si="51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52"/>
        <v>106300</v>
      </c>
      <c r="J457" s="163">
        <f t="shared" si="48"/>
        <v>0</v>
      </c>
      <c r="K457" s="155">
        <f t="shared" si="49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50"/>
        <v>201227322.79893059</v>
      </c>
      <c r="O457" s="155">
        <f t="shared" si="51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52"/>
        <v>116800</v>
      </c>
      <c r="J458" s="163">
        <f t="shared" si="48"/>
        <v>0</v>
      </c>
      <c r="K458" s="155">
        <f t="shared" si="4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50"/>
        <v>201227323.79893059</v>
      </c>
      <c r="O458" s="155">
        <f t="shared" si="51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52"/>
        <v>11400</v>
      </c>
      <c r="J459" s="163">
        <f t="shared" si="48"/>
        <v>0</v>
      </c>
      <c r="K459" s="155">
        <f t="shared" si="4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50"/>
        <v>201227324.79893059</v>
      </c>
      <c r="O459" s="155">
        <f t="shared" si="51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52"/>
        <v>29600</v>
      </c>
      <c r="J460" s="163">
        <f t="shared" ref="J460:J523" si="53">IF(D460="MDU-KD",1,0)</f>
        <v>0</v>
      </c>
      <c r="K460" s="155">
        <f t="shared" ref="K460:K523" si="54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55">IF(L460=0,M460,L460)</f>
        <v>201227325.79893059</v>
      </c>
      <c r="O460" s="155">
        <f t="shared" ref="O460:O523" si="56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52"/>
        <v>290142</v>
      </c>
      <c r="J461" s="163">
        <f t="shared" si="53"/>
        <v>0</v>
      </c>
      <c r="K461" s="155">
        <f t="shared" si="5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55"/>
        <v>201227326.79893059</v>
      </c>
      <c r="O461" s="155">
        <f t="shared" si="56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52"/>
        <v>265680</v>
      </c>
      <c r="J462" s="163">
        <f t="shared" si="53"/>
        <v>0</v>
      </c>
      <c r="K462" s="155">
        <f t="shared" si="5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55"/>
        <v>201227327.79893059</v>
      </c>
      <c r="O462" s="155">
        <f t="shared" si="56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52"/>
        <v>265680</v>
      </c>
      <c r="J463" s="163">
        <f t="shared" si="53"/>
        <v>0</v>
      </c>
      <c r="K463" s="155">
        <f t="shared" si="5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55"/>
        <v>201227328.79893059</v>
      </c>
      <c r="O463" s="155">
        <f t="shared" si="56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52"/>
        <v>20898</v>
      </c>
      <c r="J464" s="163">
        <f t="shared" si="53"/>
        <v>0</v>
      </c>
      <c r="K464" s="155">
        <f t="shared" si="5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55"/>
        <v>201227329.79893059</v>
      </c>
      <c r="O464" s="155">
        <f t="shared" si="56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52"/>
        <v>20700</v>
      </c>
      <c r="J465" s="163">
        <f t="shared" si="53"/>
        <v>0</v>
      </c>
      <c r="K465" s="155">
        <f t="shared" si="5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55"/>
        <v>201227330.79893059</v>
      </c>
      <c r="O465" s="155">
        <f t="shared" si="56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52"/>
        <v>13600</v>
      </c>
      <c r="J466" s="163">
        <f t="shared" si="53"/>
        <v>0</v>
      </c>
      <c r="K466" s="155">
        <f t="shared" si="54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55"/>
        <v>201227331.79893059</v>
      </c>
      <c r="O466" s="155">
        <f t="shared" si="56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52"/>
        <v>27900</v>
      </c>
      <c r="J467" s="163">
        <f t="shared" si="53"/>
        <v>0</v>
      </c>
      <c r="K467" s="155">
        <f t="shared" si="5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55"/>
        <v>201227332.79893059</v>
      </c>
      <c r="O467" s="155">
        <f t="shared" si="56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52"/>
        <v>27815</v>
      </c>
      <c r="J468" s="163">
        <f t="shared" si="53"/>
        <v>0</v>
      </c>
      <c r="K468" s="155">
        <f t="shared" si="5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55"/>
        <v>201227333.79893059</v>
      </c>
      <c r="O468" s="155">
        <f t="shared" si="56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52"/>
        <v>20800</v>
      </c>
      <c r="J469" s="163">
        <f t="shared" si="53"/>
        <v>0</v>
      </c>
      <c r="K469" s="155">
        <f t="shared" si="5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55"/>
        <v>201227334.79893059</v>
      </c>
      <c r="O469" s="155">
        <f t="shared" si="56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52"/>
        <v>23936</v>
      </c>
      <c r="J470" s="163">
        <f t="shared" si="53"/>
        <v>0</v>
      </c>
      <c r="K470" s="155">
        <f t="shared" si="5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55"/>
        <v>201227335.79893059</v>
      </c>
      <c r="O470" s="155">
        <f t="shared" si="56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52"/>
        <v>31590</v>
      </c>
      <c r="J471" s="163">
        <f t="shared" si="53"/>
        <v>0</v>
      </c>
      <c r="K471" s="155">
        <f t="shared" si="5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55"/>
        <v>201227336.79893059</v>
      </c>
      <c r="O471" s="155">
        <f t="shared" si="56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52"/>
        <v>32500</v>
      </c>
      <c r="J472" s="163">
        <f t="shared" si="53"/>
        <v>0</v>
      </c>
      <c r="K472" s="155">
        <f t="shared" si="5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55"/>
        <v>201227337.79893059</v>
      </c>
      <c r="O472" s="155">
        <f t="shared" si="56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52"/>
        <v>47300</v>
      </c>
      <c r="J473" s="163">
        <f t="shared" si="53"/>
        <v>0</v>
      </c>
      <c r="K473" s="155">
        <f t="shared" si="5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55"/>
        <v>201227338.79893059</v>
      </c>
      <c r="O473" s="155">
        <f t="shared" si="56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52"/>
        <v>61560</v>
      </c>
      <c r="J474" s="163">
        <f t="shared" si="53"/>
        <v>0</v>
      </c>
      <c r="K474" s="155">
        <f t="shared" si="5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55"/>
        <v>201227339.79893059</v>
      </c>
      <c r="O474" s="155">
        <f t="shared" si="56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52"/>
        <v>79056</v>
      </c>
      <c r="J475" s="163">
        <f t="shared" si="53"/>
        <v>0</v>
      </c>
      <c r="K475" s="155">
        <f t="shared" si="5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55"/>
        <v>201227340.79893059</v>
      </c>
      <c r="O475" s="155">
        <f t="shared" si="56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52"/>
        <v>81984</v>
      </c>
      <c r="J476" s="163">
        <f t="shared" si="53"/>
        <v>0</v>
      </c>
      <c r="K476" s="155">
        <f t="shared" si="5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55"/>
        <v>201227341.79893059</v>
      </c>
      <c r="O476" s="155">
        <f t="shared" si="56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52"/>
        <v>7320</v>
      </c>
      <c r="J477" s="163">
        <f t="shared" si="53"/>
        <v>0</v>
      </c>
      <c r="K477" s="155">
        <f t="shared" si="5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55"/>
        <v>201227342.79893059</v>
      </c>
      <c r="O477" s="155">
        <f t="shared" si="56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52"/>
        <v>8784</v>
      </c>
      <c r="J478" s="163">
        <f t="shared" si="53"/>
        <v>0</v>
      </c>
      <c r="K478" s="155">
        <f t="shared" si="5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55"/>
        <v>201227343.79893059</v>
      </c>
      <c r="O478" s="155">
        <f t="shared" si="56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52"/>
        <v>52704</v>
      </c>
      <c r="J479" s="163">
        <f t="shared" si="53"/>
        <v>0</v>
      </c>
      <c r="K479" s="155">
        <f t="shared" si="5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55"/>
        <v>201227344.79893059</v>
      </c>
      <c r="O479" s="155">
        <f t="shared" si="56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52"/>
        <v>67344</v>
      </c>
      <c r="J480" s="163">
        <f t="shared" si="53"/>
        <v>0</v>
      </c>
      <c r="K480" s="155">
        <f t="shared" si="5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55"/>
        <v>201227345.79893059</v>
      </c>
      <c r="O480" s="155">
        <f t="shared" si="56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52"/>
        <v>40000</v>
      </c>
      <c r="J481" s="163">
        <f t="shared" si="53"/>
        <v>0</v>
      </c>
      <c r="K481" s="155">
        <f t="shared" si="5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55"/>
        <v>201227346.79893059</v>
      </c>
      <c r="O481" s="155">
        <f t="shared" si="56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52"/>
        <v>150000</v>
      </c>
      <c r="J482" s="163">
        <f t="shared" si="53"/>
        <v>0</v>
      </c>
      <c r="K482" s="155">
        <f t="shared" si="5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55"/>
        <v>201227347.79893059</v>
      </c>
      <c r="O482" s="155">
        <f t="shared" si="56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52"/>
        <v>4212</v>
      </c>
      <c r="J483" s="163">
        <f t="shared" si="53"/>
        <v>0</v>
      </c>
      <c r="K483" s="155">
        <f t="shared" si="5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55"/>
        <v>201227348.79893059</v>
      </c>
      <c r="O483" s="155">
        <f t="shared" si="56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52"/>
        <v>50000</v>
      </c>
      <c r="J484" s="163">
        <f t="shared" si="53"/>
        <v>0</v>
      </c>
      <c r="K484" s="155">
        <f t="shared" si="5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55"/>
        <v>201227349.79893059</v>
      </c>
      <c r="O484" s="155">
        <f t="shared" si="56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52"/>
        <v>32500</v>
      </c>
      <c r="J485" s="163">
        <f t="shared" si="53"/>
        <v>0</v>
      </c>
      <c r="K485" s="155">
        <f t="shared" si="5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55"/>
        <v>201227350.79893059</v>
      </c>
      <c r="O485" s="155">
        <f t="shared" si="56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52"/>
        <v>37500</v>
      </c>
      <c r="J486" s="163">
        <f t="shared" si="53"/>
        <v>0</v>
      </c>
      <c r="K486" s="155">
        <f t="shared" si="5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55"/>
        <v>201227351.79893059</v>
      </c>
      <c r="O486" s="155">
        <f t="shared" si="56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52"/>
        <v>47800</v>
      </c>
      <c r="J487" s="163">
        <f t="shared" si="53"/>
        <v>0</v>
      </c>
      <c r="K487" s="155">
        <f t="shared" si="5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55"/>
        <v>201227352.79893059</v>
      </c>
      <c r="O487" s="155">
        <f t="shared" si="56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52"/>
        <v>52500</v>
      </c>
      <c r="J488" s="163">
        <f t="shared" si="53"/>
        <v>0</v>
      </c>
      <c r="K488" s="155">
        <f t="shared" si="5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55"/>
        <v>201227353.79893059</v>
      </c>
      <c r="O488" s="155">
        <f t="shared" si="56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52"/>
        <v>63500</v>
      </c>
      <c r="J489" s="163">
        <f t="shared" si="53"/>
        <v>0</v>
      </c>
      <c r="K489" s="155">
        <f t="shared" si="5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55"/>
        <v>201227354.79893059</v>
      </c>
      <c r="O489" s="155">
        <f t="shared" si="56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52"/>
        <v>67500</v>
      </c>
      <c r="J490" s="163">
        <f t="shared" si="53"/>
        <v>0</v>
      </c>
      <c r="K490" s="155">
        <f t="shared" si="5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55"/>
        <v>201227355.79893059</v>
      </c>
      <c r="O490" s="155">
        <f t="shared" si="56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52"/>
        <v>53000</v>
      </c>
      <c r="J491" s="163">
        <f t="shared" si="53"/>
        <v>0</v>
      </c>
      <c r="K491" s="155">
        <f t="shared" si="5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55"/>
        <v>201227356.79893059</v>
      </c>
      <c r="O491" s="155">
        <f t="shared" si="56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52"/>
        <v>34000</v>
      </c>
      <c r="J492" s="163">
        <f t="shared" si="53"/>
        <v>0</v>
      </c>
      <c r="K492" s="155">
        <f t="shared" si="5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55"/>
        <v>201227357.79893059</v>
      </c>
      <c r="O492" s="155">
        <f t="shared" si="56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52"/>
        <v>39500</v>
      </c>
      <c r="J493" s="163">
        <f t="shared" si="53"/>
        <v>0</v>
      </c>
      <c r="K493" s="155">
        <f t="shared" si="5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55"/>
        <v>201227358.79893059</v>
      </c>
      <c r="O493" s="155">
        <f t="shared" si="56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52"/>
        <v>41900</v>
      </c>
      <c r="J494" s="163">
        <f t="shared" si="53"/>
        <v>0</v>
      </c>
      <c r="K494" s="155">
        <f t="shared" si="5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55"/>
        <v>201227359.79893059</v>
      </c>
      <c r="O494" s="155">
        <f t="shared" si="56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52"/>
        <v>44400</v>
      </c>
      <c r="J495" s="163">
        <f t="shared" si="53"/>
        <v>0</v>
      </c>
      <c r="K495" s="155">
        <f t="shared" si="5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55"/>
        <v>201227360.79893059</v>
      </c>
      <c r="O495" s="155">
        <f t="shared" si="56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52"/>
        <v>61800</v>
      </c>
      <c r="J496" s="163">
        <f t="shared" si="53"/>
        <v>0</v>
      </c>
      <c r="K496" s="155">
        <f t="shared" si="5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55"/>
        <v>201227361.79893059</v>
      </c>
      <c r="O496" s="155">
        <f t="shared" si="56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52"/>
        <v>68600</v>
      </c>
      <c r="J497" s="163">
        <f t="shared" si="53"/>
        <v>0</v>
      </c>
      <c r="K497" s="155">
        <f t="shared" si="5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55"/>
        <v>201227362.79893059</v>
      </c>
      <c r="O497" s="155">
        <f t="shared" si="56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52"/>
        <v>68600</v>
      </c>
      <c r="J498" s="163">
        <f t="shared" si="53"/>
        <v>0</v>
      </c>
      <c r="K498" s="155">
        <f t="shared" si="5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55"/>
        <v>201227363.79893059</v>
      </c>
      <c r="O498" s="155">
        <f t="shared" si="56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52"/>
        <v>29600</v>
      </c>
      <c r="J499" s="163">
        <f t="shared" si="53"/>
        <v>0</v>
      </c>
      <c r="K499" s="155">
        <f t="shared" si="5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55"/>
        <v>201227364.79893059</v>
      </c>
      <c r="O499" s="155">
        <f t="shared" si="56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52"/>
        <v>34500</v>
      </c>
      <c r="J500" s="163">
        <f t="shared" si="53"/>
        <v>0</v>
      </c>
      <c r="K500" s="155">
        <f t="shared" si="5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55"/>
        <v>201227365.79893059</v>
      </c>
      <c r="O500" s="155">
        <f t="shared" si="56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52"/>
        <v>44800</v>
      </c>
      <c r="J501" s="163">
        <f t="shared" si="53"/>
        <v>0</v>
      </c>
      <c r="K501" s="155">
        <f t="shared" si="5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55"/>
        <v>201227366.79893059</v>
      </c>
      <c r="O501" s="155">
        <f t="shared" si="56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52"/>
        <v>49500</v>
      </c>
      <c r="J502" s="163">
        <f t="shared" si="53"/>
        <v>0</v>
      </c>
      <c r="K502" s="155">
        <f t="shared" si="5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55"/>
        <v>201227367.79893059</v>
      </c>
      <c r="O502" s="155">
        <f t="shared" si="56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52"/>
        <v>57690</v>
      </c>
      <c r="J503" s="163">
        <f t="shared" si="53"/>
        <v>0</v>
      </c>
      <c r="K503" s="155">
        <f t="shared" si="5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55"/>
        <v>201227368.79893059</v>
      </c>
      <c r="O503" s="155">
        <f t="shared" si="56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52"/>
        <v>60300</v>
      </c>
      <c r="J504" s="163">
        <f t="shared" si="53"/>
        <v>0</v>
      </c>
      <c r="K504" s="155">
        <f t="shared" si="5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55"/>
        <v>201227369.79893059</v>
      </c>
      <c r="O504" s="155">
        <f t="shared" si="56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52"/>
        <v>39900</v>
      </c>
      <c r="J505" s="163">
        <f t="shared" si="53"/>
        <v>0</v>
      </c>
      <c r="K505" s="155">
        <f t="shared" si="5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55"/>
        <v>201227370.79893059</v>
      </c>
      <c r="O505" s="155">
        <f t="shared" si="56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52"/>
        <v>34500</v>
      </c>
      <c r="J506" s="163">
        <f t="shared" si="53"/>
        <v>0</v>
      </c>
      <c r="K506" s="155">
        <f t="shared" si="5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55"/>
        <v>201227371.79893059</v>
      </c>
      <c r="O506" s="155">
        <f t="shared" si="56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52"/>
        <v>37000</v>
      </c>
      <c r="J507" s="163">
        <f t="shared" si="53"/>
        <v>0</v>
      </c>
      <c r="K507" s="155">
        <f t="shared" si="5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55"/>
        <v>201227372.79893059</v>
      </c>
      <c r="O507" s="155">
        <f t="shared" si="56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52"/>
        <v>39500</v>
      </c>
      <c r="J508" s="163">
        <f t="shared" si="53"/>
        <v>0</v>
      </c>
      <c r="K508" s="155">
        <f t="shared" si="5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55"/>
        <v>201227373.79893059</v>
      </c>
      <c r="O508" s="155">
        <f t="shared" si="56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52"/>
        <v>41900</v>
      </c>
      <c r="J509" s="163">
        <f t="shared" si="53"/>
        <v>0</v>
      </c>
      <c r="K509" s="155">
        <f t="shared" si="5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55"/>
        <v>201227374.79893059</v>
      </c>
      <c r="O509" s="155">
        <f t="shared" si="56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52"/>
        <v>51100</v>
      </c>
      <c r="J510" s="163">
        <f t="shared" si="53"/>
        <v>0</v>
      </c>
      <c r="K510" s="155">
        <f t="shared" si="5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55"/>
        <v>201227375.79893059</v>
      </c>
      <c r="O510" s="155">
        <f t="shared" si="56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52"/>
        <v>51800</v>
      </c>
      <c r="J511" s="163">
        <f t="shared" si="53"/>
        <v>0</v>
      </c>
      <c r="K511" s="155">
        <f t="shared" si="5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55"/>
        <v>201227376.79893059</v>
      </c>
      <c r="O511" s="155">
        <f t="shared" si="56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52"/>
        <v>51800</v>
      </c>
      <c r="J512" s="163">
        <f t="shared" si="53"/>
        <v>0</v>
      </c>
      <c r="K512" s="155">
        <f t="shared" si="5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55"/>
        <v>201227377.79893059</v>
      </c>
      <c r="O512" s="155">
        <f t="shared" si="56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52"/>
        <v>75420</v>
      </c>
      <c r="J513" s="163">
        <f t="shared" si="53"/>
        <v>0</v>
      </c>
      <c r="K513" s="155">
        <f t="shared" si="5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55"/>
        <v>201227378.79893059</v>
      </c>
      <c r="O513" s="155">
        <f t="shared" si="56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52"/>
        <v>118440</v>
      </c>
      <c r="J514" s="163">
        <f t="shared" si="53"/>
        <v>0</v>
      </c>
      <c r="K514" s="155">
        <f t="shared" si="5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55"/>
        <v>201227379.79893059</v>
      </c>
      <c r="O514" s="155">
        <f t="shared" si="56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52"/>
        <v>136980</v>
      </c>
      <c r="J515" s="163">
        <f t="shared" si="53"/>
        <v>0</v>
      </c>
      <c r="K515" s="155">
        <f t="shared" si="5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55"/>
        <v>201227380.79893059</v>
      </c>
      <c r="O515" s="155">
        <f t="shared" si="56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52"/>
        <v>172350</v>
      </c>
      <c r="J516" s="163">
        <f t="shared" si="53"/>
        <v>0</v>
      </c>
      <c r="K516" s="155">
        <f t="shared" si="5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55"/>
        <v>201227381.79893059</v>
      </c>
      <c r="O516" s="155">
        <f t="shared" si="56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52"/>
        <v>180000</v>
      </c>
      <c r="J517" s="163">
        <f t="shared" si="53"/>
        <v>0</v>
      </c>
      <c r="K517" s="155">
        <f t="shared" si="5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55"/>
        <v>201227382.79893059</v>
      </c>
      <c r="O517" s="155">
        <f t="shared" si="56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57">IF($I$5=$G$4,G518,(IF($I$5=$F$4,F518,0)))</f>
        <v>135800</v>
      </c>
      <c r="J518" s="163">
        <f t="shared" si="53"/>
        <v>0</v>
      </c>
      <c r="K518" s="155">
        <f t="shared" si="5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55"/>
        <v>201227383.79893059</v>
      </c>
      <c r="O518" s="155">
        <f t="shared" si="56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57"/>
        <v>104200</v>
      </c>
      <c r="J519" s="163">
        <f t="shared" si="53"/>
        <v>0</v>
      </c>
      <c r="K519" s="155">
        <f t="shared" si="5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55"/>
        <v>201227384.79893059</v>
      </c>
      <c r="O519" s="155">
        <f t="shared" si="56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57"/>
        <v>16000</v>
      </c>
      <c r="J520" s="163">
        <f t="shared" si="53"/>
        <v>0</v>
      </c>
      <c r="K520" s="155">
        <f t="shared" si="5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55"/>
        <v>201227385.79893059</v>
      </c>
      <c r="O520" s="155">
        <f t="shared" si="56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57"/>
        <v>118530</v>
      </c>
      <c r="J521" s="163">
        <f t="shared" si="53"/>
        <v>0</v>
      </c>
      <c r="K521" s="155">
        <f t="shared" si="5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55"/>
        <v>201227386.79893059</v>
      </c>
      <c r="O521" s="155">
        <f t="shared" si="56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3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57"/>
        <v>3711.24</v>
      </c>
      <c r="J522" s="163">
        <f t="shared" si="53"/>
        <v>0</v>
      </c>
      <c r="K522" s="155">
        <f t="shared" si="5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55"/>
        <v>201227387.79893059</v>
      </c>
      <c r="O522" s="155">
        <f t="shared" si="56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57"/>
        <v>28000</v>
      </c>
      <c r="J523" s="163">
        <f t="shared" si="53"/>
        <v>0</v>
      </c>
      <c r="K523" s="155">
        <f t="shared" si="5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55"/>
        <v>201227388.79893059</v>
      </c>
      <c r="O523" s="155">
        <f t="shared" si="56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57"/>
        <v>33501.866666666669</v>
      </c>
      <c r="J524" s="163">
        <f t="shared" ref="J524:J587" si="58">IF(D524="MDU-KD",1,0)</f>
        <v>0</v>
      </c>
      <c r="K524" s="155">
        <f t="shared" ref="K524:K587" si="59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60">IF(L524=0,M524,L524)</f>
        <v>201227389.79893059</v>
      </c>
      <c r="O524" s="155">
        <f t="shared" ref="O524:O587" si="61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57"/>
        <v>23310</v>
      </c>
      <c r="J525" s="163">
        <f t="shared" si="58"/>
        <v>0</v>
      </c>
      <c r="K525" s="155">
        <f t="shared" si="5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60"/>
        <v>201227390.79893059</v>
      </c>
      <c r="O525" s="155">
        <f t="shared" si="61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57"/>
        <v>129000</v>
      </c>
      <c r="J526" s="163">
        <f t="shared" si="58"/>
        <v>0</v>
      </c>
      <c r="K526" s="155">
        <f t="shared" si="5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60"/>
        <v>201227391.79893059</v>
      </c>
      <c r="O526" s="155">
        <f t="shared" si="61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57"/>
        <v>145400</v>
      </c>
      <c r="J527" s="163">
        <f t="shared" si="58"/>
        <v>0</v>
      </c>
      <c r="K527" s="155">
        <f t="shared" si="5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60"/>
        <v>201227392.79893059</v>
      </c>
      <c r="O527" s="155">
        <f t="shared" si="61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57"/>
        <v>351751.73281450948</v>
      </c>
      <c r="J528" s="163">
        <f t="shared" si="58"/>
        <v>0</v>
      </c>
      <c r="K528" s="155">
        <f t="shared" si="5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60"/>
        <v>201227393.79893059</v>
      </c>
      <c r="O528" s="155">
        <f t="shared" si="61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57"/>
        <v>250000</v>
      </c>
      <c r="J529" s="163">
        <f t="shared" si="58"/>
        <v>0</v>
      </c>
      <c r="K529" s="155">
        <f t="shared" si="5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60"/>
        <v>201227394.79893059</v>
      </c>
      <c r="O529" s="155">
        <f t="shared" si="61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57"/>
        <v>485097.76536861184</v>
      </c>
      <c r="J530" s="163">
        <f t="shared" si="58"/>
        <v>0</v>
      </c>
      <c r="K530" s="155">
        <f t="shared" si="59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60"/>
        <v>201227395.79893059</v>
      </c>
      <c r="O530" s="155">
        <f t="shared" si="61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57"/>
        <v>423009.82499999995</v>
      </c>
      <c r="J531" s="163">
        <f t="shared" si="58"/>
        <v>0</v>
      </c>
      <c r="K531" s="155">
        <f t="shared" si="5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60"/>
        <v>201227396.79893059</v>
      </c>
      <c r="O531" s="155">
        <f t="shared" si="61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57"/>
        <v>302149.875</v>
      </c>
      <c r="J532" s="163">
        <f t="shared" si="58"/>
        <v>0</v>
      </c>
      <c r="K532" s="155">
        <f t="shared" si="5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60"/>
        <v>201227397.79893059</v>
      </c>
      <c r="O532" s="155">
        <f t="shared" si="61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57"/>
        <v>335990.66099999991</v>
      </c>
      <c r="J533" s="163">
        <f t="shared" si="58"/>
        <v>0</v>
      </c>
      <c r="K533" s="155">
        <f t="shared" si="5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60"/>
        <v>201227398.79893059</v>
      </c>
      <c r="O533" s="155">
        <f t="shared" si="61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57"/>
        <v>2300</v>
      </c>
      <c r="J534" s="163">
        <f t="shared" si="58"/>
        <v>0</v>
      </c>
      <c r="K534" s="155">
        <f t="shared" si="5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60"/>
        <v>201227399.79893059</v>
      </c>
      <c r="O534" s="155">
        <f t="shared" si="61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57"/>
        <v>88000</v>
      </c>
      <c r="J535" s="163">
        <f t="shared" si="58"/>
        <v>0</v>
      </c>
      <c r="K535" s="155">
        <f t="shared" si="5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60"/>
        <v>201227400.79893059</v>
      </c>
      <c r="O535" s="155">
        <f t="shared" si="61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57"/>
        <v>72400</v>
      </c>
      <c r="J536" s="163">
        <f t="shared" si="58"/>
        <v>0</v>
      </c>
      <c r="K536" s="155">
        <f t="shared" si="5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60"/>
        <v>201227401.79893059</v>
      </c>
      <c r="O536" s="155">
        <f t="shared" si="61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57"/>
        <v>123500</v>
      </c>
      <c r="J537" s="163">
        <f t="shared" si="58"/>
        <v>0</v>
      </c>
      <c r="K537" s="155">
        <f t="shared" si="5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60"/>
        <v>201227402.79893059</v>
      </c>
      <c r="O537" s="155">
        <f t="shared" si="61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58"/>
        <v>0</v>
      </c>
      <c r="K538" s="155">
        <f t="shared" si="5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60"/>
        <v>201227403.79893059</v>
      </c>
      <c r="O538" s="155">
        <f t="shared" si="61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57"/>
        <v>71000</v>
      </c>
      <c r="J539" s="163">
        <f t="shared" si="58"/>
        <v>0</v>
      </c>
      <c r="K539" s="155">
        <f t="shared" si="5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60"/>
        <v>201227404.79893059</v>
      </c>
      <c r="O539" s="155">
        <f t="shared" si="61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57"/>
        <v>36000</v>
      </c>
      <c r="J540" s="163">
        <f t="shared" si="58"/>
        <v>0</v>
      </c>
      <c r="K540" s="155">
        <f t="shared" si="5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60"/>
        <v>201227405.79893059</v>
      </c>
      <c r="O540" s="155">
        <f t="shared" si="61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57"/>
        <v>17820</v>
      </c>
      <c r="J541" s="163">
        <f t="shared" si="58"/>
        <v>0</v>
      </c>
      <c r="K541" s="155">
        <f t="shared" si="5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60"/>
        <v>201227406.79893059</v>
      </c>
      <c r="O541" s="155">
        <f t="shared" si="61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57"/>
        <v>22900</v>
      </c>
      <c r="J542" s="163">
        <f t="shared" si="58"/>
        <v>0</v>
      </c>
      <c r="K542" s="155">
        <f t="shared" si="5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60"/>
        <v>201227407.79893059</v>
      </c>
      <c r="O542" s="155">
        <f t="shared" si="61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57"/>
        <v>30800</v>
      </c>
      <c r="J543" s="163">
        <f t="shared" si="58"/>
        <v>0</v>
      </c>
      <c r="K543" s="155">
        <f t="shared" si="5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60"/>
        <v>201227408.79893059</v>
      </c>
      <c r="O543" s="155">
        <f t="shared" si="61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57"/>
        <v>33900</v>
      </c>
      <c r="J544" s="163">
        <f t="shared" si="58"/>
        <v>0</v>
      </c>
      <c r="K544" s="155">
        <f t="shared" si="5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60"/>
        <v>201227409.79893059</v>
      </c>
      <c r="O544" s="155">
        <f t="shared" si="61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57"/>
        <v>30800</v>
      </c>
      <c r="J545" s="163">
        <f t="shared" si="58"/>
        <v>0</v>
      </c>
      <c r="K545" s="155">
        <f t="shared" si="5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60"/>
        <v>201227410.79893059</v>
      </c>
      <c r="O545" s="155">
        <f t="shared" si="61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57"/>
        <v>33900</v>
      </c>
      <c r="J546" s="163">
        <f t="shared" si="58"/>
        <v>0</v>
      </c>
      <c r="K546" s="155">
        <f t="shared" si="5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60"/>
        <v>201227411.79893059</v>
      </c>
      <c r="O546" s="155">
        <f t="shared" si="61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57"/>
        <v>12510</v>
      </c>
      <c r="J547" s="163">
        <f t="shared" si="58"/>
        <v>0</v>
      </c>
      <c r="K547" s="155">
        <f t="shared" si="5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60"/>
        <v>201227412.79893059</v>
      </c>
      <c r="O547" s="155">
        <f t="shared" si="61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57"/>
        <v>15500</v>
      </c>
      <c r="J548" s="163">
        <f t="shared" si="58"/>
        <v>0</v>
      </c>
      <c r="K548" s="155">
        <f t="shared" si="5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60"/>
        <v>201227413.79893059</v>
      </c>
      <c r="O548" s="155">
        <f t="shared" si="61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57"/>
        <v>19500</v>
      </c>
      <c r="J549" s="163">
        <f t="shared" si="58"/>
        <v>0</v>
      </c>
      <c r="K549" s="155">
        <f t="shared" si="5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60"/>
        <v>201227414.79893059</v>
      </c>
      <c r="O549" s="155">
        <f t="shared" si="61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57"/>
        <v>28400</v>
      </c>
      <c r="J550" s="163">
        <f t="shared" si="58"/>
        <v>0</v>
      </c>
      <c r="K550" s="155">
        <f t="shared" si="5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60"/>
        <v>201227415.79893059</v>
      </c>
      <c r="O550" s="155">
        <f t="shared" si="61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57"/>
        <v>28314</v>
      </c>
      <c r="J551" s="163">
        <f t="shared" si="58"/>
        <v>0</v>
      </c>
      <c r="K551" s="155">
        <f t="shared" si="5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60"/>
        <v>201227416.79893059</v>
      </c>
      <c r="O551" s="155">
        <f t="shared" si="61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57"/>
        <v>3510</v>
      </c>
      <c r="J552" s="163">
        <f t="shared" si="58"/>
        <v>0</v>
      </c>
      <c r="K552" s="155">
        <f t="shared" si="5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60"/>
        <v>201227417.79893059</v>
      </c>
      <c r="O552" s="155">
        <f t="shared" si="61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57"/>
        <v>2100</v>
      </c>
      <c r="J553" s="163">
        <f t="shared" si="58"/>
        <v>0</v>
      </c>
      <c r="K553" s="155">
        <f t="shared" si="5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60"/>
        <v>201227418.79893059</v>
      </c>
      <c r="O553" s="155">
        <f t="shared" si="61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57"/>
        <v>40000</v>
      </c>
      <c r="J554" s="163">
        <f t="shared" si="58"/>
        <v>0</v>
      </c>
      <c r="K554" s="155">
        <f t="shared" si="5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60"/>
        <v>201227419.79893059</v>
      </c>
      <c r="O554" s="155">
        <f t="shared" si="61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57"/>
        <v>8550</v>
      </c>
      <c r="J555" s="163">
        <f t="shared" si="58"/>
        <v>0</v>
      </c>
      <c r="K555" s="155">
        <f t="shared" si="5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60"/>
        <v>201227420.79893059</v>
      </c>
      <c r="O555" s="155">
        <f t="shared" si="61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57"/>
        <v>45000</v>
      </c>
      <c r="J556" s="163">
        <f t="shared" si="58"/>
        <v>0</v>
      </c>
      <c r="K556" s="155">
        <f t="shared" si="5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60"/>
        <v>201227421.79893059</v>
      </c>
      <c r="O556" s="155">
        <f t="shared" si="61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57"/>
        <v>2500</v>
      </c>
      <c r="J557" s="163">
        <f t="shared" si="58"/>
        <v>0</v>
      </c>
      <c r="K557" s="155">
        <f t="shared" si="5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60"/>
        <v>201227422.79893059</v>
      </c>
      <c r="O557" s="155">
        <f t="shared" si="61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57"/>
        <v>2500</v>
      </c>
      <c r="J558" s="163">
        <f t="shared" si="58"/>
        <v>0</v>
      </c>
      <c r="K558" s="155">
        <f t="shared" si="5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60"/>
        <v>201227423.79893059</v>
      </c>
      <c r="O558" s="155">
        <f t="shared" si="61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57"/>
        <v>0</v>
      </c>
      <c r="J559" s="163">
        <f t="shared" si="58"/>
        <v>0</v>
      </c>
      <c r="K559" s="155">
        <f t="shared" si="59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60"/>
        <v>0</v>
      </c>
      <c r="O559" s="155">
        <f t="shared" si="61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57"/>
        <v>0</v>
      </c>
      <c r="J560" s="163">
        <f t="shared" si="58"/>
        <v>0</v>
      </c>
      <c r="K560" s="155">
        <f t="shared" si="59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60"/>
        <v>0</v>
      </c>
      <c r="O560" s="155">
        <f t="shared" si="61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57"/>
        <v>6628600</v>
      </c>
      <c r="J561" s="163">
        <f t="shared" si="58"/>
        <v>0</v>
      </c>
      <c r="K561" s="155">
        <f t="shared" si="59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60"/>
        <v>201227424.79893059</v>
      </c>
      <c r="O561" s="155">
        <f t="shared" si="61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57"/>
        <v>6628600</v>
      </c>
      <c r="J562" s="163">
        <f t="shared" si="58"/>
        <v>0</v>
      </c>
      <c r="K562" s="155">
        <f t="shared" si="59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60"/>
        <v>201227425.79893059</v>
      </c>
      <c r="O562" s="155">
        <f t="shared" si="61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57"/>
        <v>6628600</v>
      </c>
      <c r="J563" s="163">
        <f t="shared" si="58"/>
        <v>0</v>
      </c>
      <c r="K563" s="155">
        <f t="shared" si="59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60"/>
        <v>201227426.79893059</v>
      </c>
      <c r="O563" s="155">
        <f t="shared" si="61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57"/>
        <v>7100700</v>
      </c>
      <c r="J564" s="163">
        <f t="shared" si="58"/>
        <v>0</v>
      </c>
      <c r="K564" s="155">
        <f t="shared" si="59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60"/>
        <v>201227427.79893059</v>
      </c>
      <c r="O564" s="155">
        <f t="shared" si="61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57"/>
        <v>7100700</v>
      </c>
      <c r="J565" s="163">
        <f t="shared" si="58"/>
        <v>0</v>
      </c>
      <c r="K565" s="155">
        <f t="shared" si="59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60"/>
        <v>201227428.79893059</v>
      </c>
      <c r="O565" s="155">
        <f t="shared" si="61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57"/>
        <v>7100700</v>
      </c>
      <c r="J566" s="163">
        <f t="shared" si="58"/>
        <v>0</v>
      </c>
      <c r="K566" s="155">
        <f t="shared" si="59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60"/>
        <v>201227429.79893059</v>
      </c>
      <c r="O566" s="155">
        <f t="shared" si="61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57"/>
        <v>7100700</v>
      </c>
      <c r="J567" s="163">
        <f t="shared" si="58"/>
        <v>0</v>
      </c>
      <c r="K567" s="155">
        <f t="shared" si="5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60"/>
        <v>201227430.79893059</v>
      </c>
      <c r="O567" s="155">
        <f t="shared" si="61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57"/>
        <v>5488400</v>
      </c>
      <c r="J568" s="163">
        <f t="shared" si="58"/>
        <v>0</v>
      </c>
      <c r="K568" s="155">
        <f t="shared" si="5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60"/>
        <v>201227431.79893059</v>
      </c>
      <c r="O568" s="155">
        <f t="shared" si="61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57"/>
        <v>5488400</v>
      </c>
      <c r="J569" s="163">
        <f t="shared" si="58"/>
        <v>0</v>
      </c>
      <c r="K569" s="155">
        <f t="shared" si="5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60"/>
        <v>201227432.79893059</v>
      </c>
      <c r="O569" s="155">
        <f t="shared" si="61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57"/>
        <v>5488400</v>
      </c>
      <c r="J570" s="163">
        <f t="shared" si="58"/>
        <v>0</v>
      </c>
      <c r="K570" s="155">
        <f t="shared" si="5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60"/>
        <v>201227433.79893059</v>
      </c>
      <c r="O570" s="155">
        <f t="shared" si="61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57"/>
        <v>6240400</v>
      </c>
      <c r="J571" s="163">
        <f t="shared" si="58"/>
        <v>0</v>
      </c>
      <c r="K571" s="155">
        <f t="shared" si="5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60"/>
        <v>201227434.79893059</v>
      </c>
      <c r="O571" s="155">
        <f t="shared" si="61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57"/>
        <v>6240400</v>
      </c>
      <c r="J572" s="163">
        <f t="shared" si="58"/>
        <v>0</v>
      </c>
      <c r="K572" s="155">
        <f t="shared" si="5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60"/>
        <v>201227435.79893059</v>
      </c>
      <c r="O572" s="155">
        <f t="shared" si="61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57"/>
        <v>6240400</v>
      </c>
      <c r="J573" s="163">
        <f t="shared" si="58"/>
        <v>0</v>
      </c>
      <c r="K573" s="155">
        <f t="shared" si="5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60"/>
        <v>201227436.79893059</v>
      </c>
      <c r="O573" s="155">
        <f t="shared" si="61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57"/>
        <v>6159100</v>
      </c>
      <c r="J574" s="163">
        <f t="shared" si="58"/>
        <v>0</v>
      </c>
      <c r="K574" s="155">
        <f t="shared" si="5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60"/>
        <v>201227437.79893059</v>
      </c>
      <c r="O574" s="155">
        <f t="shared" si="61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57"/>
        <v>6159100</v>
      </c>
      <c r="J575" s="163">
        <f t="shared" si="58"/>
        <v>0</v>
      </c>
      <c r="K575" s="155">
        <f t="shared" si="5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60"/>
        <v>201227438.79893059</v>
      </c>
      <c r="O575" s="155">
        <f t="shared" si="61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57"/>
        <v>6159100</v>
      </c>
      <c r="J576" s="163">
        <f t="shared" si="58"/>
        <v>0</v>
      </c>
      <c r="K576" s="155">
        <f t="shared" si="5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60"/>
        <v>201227439.79893059</v>
      </c>
      <c r="O576" s="155">
        <f t="shared" si="61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57"/>
        <v>5602900</v>
      </c>
      <c r="J577" s="163">
        <f t="shared" si="58"/>
        <v>0</v>
      </c>
      <c r="K577" s="155">
        <f t="shared" si="5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60"/>
        <v>201227440.79893059</v>
      </c>
      <c r="O577" s="155">
        <f t="shared" si="61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57"/>
        <v>8046300</v>
      </c>
      <c r="J578" s="163">
        <f t="shared" si="58"/>
        <v>0</v>
      </c>
      <c r="K578" s="155">
        <f t="shared" si="5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60"/>
        <v>201227441.79893059</v>
      </c>
      <c r="O578" s="155">
        <f t="shared" si="61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57"/>
        <v>8104600</v>
      </c>
      <c r="J579" s="163">
        <f t="shared" si="58"/>
        <v>0</v>
      </c>
      <c r="K579" s="155">
        <f t="shared" si="5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60"/>
        <v>201227442.79893059</v>
      </c>
      <c r="O579" s="155">
        <f t="shared" si="61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57"/>
        <v>8104600</v>
      </c>
      <c r="J580" s="163">
        <f t="shared" si="58"/>
        <v>0</v>
      </c>
      <c r="K580" s="155">
        <f t="shared" si="5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60"/>
        <v>201227443.79893059</v>
      </c>
      <c r="O580" s="155">
        <f t="shared" si="61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57"/>
        <v>5819700</v>
      </c>
      <c r="J581" s="163">
        <f t="shared" si="58"/>
        <v>0</v>
      </c>
      <c r="K581" s="155">
        <f t="shared" si="5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60"/>
        <v>201227444.79893059</v>
      </c>
      <c r="O581" s="155">
        <f t="shared" si="61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57"/>
        <v>5819700</v>
      </c>
      <c r="J582" s="163">
        <f t="shared" si="58"/>
        <v>0</v>
      </c>
      <c r="K582" s="155">
        <f t="shared" si="59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60"/>
        <v>201227445.79893059</v>
      </c>
      <c r="O582" s="155">
        <f t="shared" si="61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62">IF($I$5=$G$4,G583,(IF($I$5=$F$4,F583,0)))</f>
        <v>3183200</v>
      </c>
      <c r="J583" s="163">
        <f t="shared" si="58"/>
        <v>0</v>
      </c>
      <c r="K583" s="155">
        <f t="shared" si="5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60"/>
        <v>201227446.79893059</v>
      </c>
      <c r="O583" s="155">
        <f t="shared" si="61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62"/>
        <v>3183200</v>
      </c>
      <c r="J584" s="163">
        <f t="shared" si="58"/>
        <v>0</v>
      </c>
      <c r="K584" s="155">
        <f t="shared" si="5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60"/>
        <v>201227447.79893059</v>
      </c>
      <c r="O584" s="155">
        <f t="shared" si="61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62"/>
        <v>3789300</v>
      </c>
      <c r="J585" s="163">
        <f t="shared" si="58"/>
        <v>0</v>
      </c>
      <c r="K585" s="155">
        <f t="shared" si="5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60"/>
        <v>201227448.79893059</v>
      </c>
      <c r="O585" s="155">
        <f t="shared" si="61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62"/>
        <v>3269900</v>
      </c>
      <c r="J586" s="163">
        <f t="shared" si="58"/>
        <v>0</v>
      </c>
      <c r="K586" s="155">
        <f t="shared" si="5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60"/>
        <v>201227449.79893059</v>
      </c>
      <c r="O586" s="155">
        <f t="shared" si="61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62"/>
        <v>4656900</v>
      </c>
      <c r="J587" s="163">
        <f t="shared" si="58"/>
        <v>0</v>
      </c>
      <c r="K587" s="155">
        <f t="shared" si="5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60"/>
        <v>201227450.79893059</v>
      </c>
      <c r="O587" s="155">
        <f t="shared" si="61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62"/>
        <v>8149400</v>
      </c>
      <c r="J588" s="163">
        <f t="shared" ref="J588:J651" si="63">IF(D588="MDU-KD",1,0)</f>
        <v>0</v>
      </c>
      <c r="K588" s="155">
        <f t="shared" ref="K588:K651" si="64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65">IF(L588=0,M588,L588)</f>
        <v>201227451.79893059</v>
      </c>
      <c r="O588" s="155">
        <f t="shared" ref="O588:O651" si="66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62"/>
        <v>38800</v>
      </c>
      <c r="J589" s="163">
        <f t="shared" si="63"/>
        <v>0</v>
      </c>
      <c r="K589" s="155">
        <f t="shared" si="6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65"/>
        <v>201227452.79893059</v>
      </c>
      <c r="O589" s="155">
        <f t="shared" si="66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62"/>
        <v>12500</v>
      </c>
      <c r="J590" s="163">
        <f t="shared" si="63"/>
        <v>0</v>
      </c>
      <c r="K590" s="155">
        <f t="shared" si="6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65"/>
        <v>201227453.79893059</v>
      </c>
      <c r="O590" s="155">
        <f t="shared" si="66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62"/>
        <v>6100</v>
      </c>
      <c r="J591" s="163">
        <f t="shared" si="63"/>
        <v>0</v>
      </c>
      <c r="K591" s="155">
        <f t="shared" si="6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65"/>
        <v>201227454.79893059</v>
      </c>
      <c r="O591" s="155">
        <f t="shared" si="66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62"/>
        <v>38718.5</v>
      </c>
      <c r="J592" s="163">
        <f t="shared" si="63"/>
        <v>0</v>
      </c>
      <c r="K592" s="155">
        <f t="shared" si="6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65"/>
        <v>201227455.79893059</v>
      </c>
      <c r="O592" s="155">
        <f t="shared" si="66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62"/>
        <v>218596</v>
      </c>
      <c r="J593" s="163">
        <f t="shared" si="63"/>
        <v>0</v>
      </c>
      <c r="K593" s="155">
        <f t="shared" si="6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65"/>
        <v>201227456.79893059</v>
      </c>
      <c r="O593" s="155">
        <f t="shared" si="66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62"/>
        <v>680475</v>
      </c>
      <c r="J594" s="163">
        <f t="shared" si="63"/>
        <v>0</v>
      </c>
      <c r="K594" s="155">
        <f t="shared" si="6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65"/>
        <v>201227457.79893059</v>
      </c>
      <c r="O594" s="155">
        <f t="shared" si="66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62"/>
        <v>1000000</v>
      </c>
      <c r="J595" s="163">
        <f t="shared" si="63"/>
        <v>0</v>
      </c>
      <c r="K595" s="155">
        <f t="shared" si="64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65"/>
        <v>201227458.79893059</v>
      </c>
      <c r="O595" s="155">
        <f t="shared" si="66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62"/>
        <v>25100</v>
      </c>
      <c r="J596" s="163">
        <f t="shared" si="63"/>
        <v>0</v>
      </c>
      <c r="K596" s="155">
        <f t="shared" si="64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65"/>
        <v>201227459.79893059</v>
      </c>
      <c r="O596" s="155">
        <f t="shared" si="66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62"/>
        <v>8900</v>
      </c>
      <c r="J597" s="163">
        <f t="shared" si="63"/>
        <v>0</v>
      </c>
      <c r="K597" s="155">
        <f t="shared" si="64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65"/>
        <v>201227460.79893059</v>
      </c>
      <c r="O597" s="155">
        <f t="shared" si="66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62"/>
        <v>4100</v>
      </c>
      <c r="J598" s="163">
        <f t="shared" si="63"/>
        <v>0</v>
      </c>
      <c r="K598" s="155">
        <f t="shared" si="64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65"/>
        <v>201227461.79893059</v>
      </c>
      <c r="O598" s="155">
        <f t="shared" si="66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62"/>
        <v>200000</v>
      </c>
      <c r="J599" s="163">
        <f t="shared" si="63"/>
        <v>0</v>
      </c>
      <c r="K599" s="155">
        <f t="shared" si="64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65"/>
        <v>201227462.79893059</v>
      </c>
      <c r="O599" s="155">
        <f t="shared" si="66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62"/>
        <v>0</v>
      </c>
      <c r="J600" s="163">
        <f t="shared" si="63"/>
        <v>0</v>
      </c>
      <c r="K600" s="155">
        <f t="shared" si="64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65"/>
        <v>0</v>
      </c>
      <c r="O600" s="155">
        <f t="shared" si="66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62"/>
        <v>0</v>
      </c>
      <c r="J601" s="163">
        <f t="shared" si="63"/>
        <v>0</v>
      </c>
      <c r="K601" s="155">
        <f t="shared" si="64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65"/>
        <v>0</v>
      </c>
      <c r="O601" s="155">
        <f t="shared" si="66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62"/>
        <v>200000</v>
      </c>
      <c r="J602" s="163">
        <f t="shared" si="63"/>
        <v>0</v>
      </c>
      <c r="K602" s="155">
        <f t="shared" si="64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65"/>
        <v>201227463.79893059</v>
      </c>
      <c r="O602" s="155">
        <f t="shared" si="66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62"/>
        <v>2172500</v>
      </c>
      <c r="J603" s="163">
        <f t="shared" si="63"/>
        <v>0</v>
      </c>
      <c r="K603" s="155">
        <f t="shared" si="64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65"/>
        <v>201227464.79893059</v>
      </c>
      <c r="O603" s="155">
        <f t="shared" si="66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62"/>
        <v>700000</v>
      </c>
      <c r="J604" s="163">
        <f t="shared" si="63"/>
        <v>0</v>
      </c>
      <c r="K604" s="155">
        <f t="shared" si="64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65"/>
        <v>201227465.79893059</v>
      </c>
      <c r="O604" s="155">
        <f t="shared" si="66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62"/>
        <v>490000</v>
      </c>
      <c r="J605" s="163">
        <f t="shared" si="63"/>
        <v>0</v>
      </c>
      <c r="K605" s="155">
        <f t="shared" si="64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65"/>
        <v>201227466.79893059</v>
      </c>
      <c r="O605" s="155">
        <f t="shared" si="66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62"/>
        <v>224000</v>
      </c>
      <c r="J606" s="163">
        <f t="shared" si="63"/>
        <v>0</v>
      </c>
      <c r="K606" s="155">
        <f t="shared" si="64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65"/>
        <v>201227467.79893059</v>
      </c>
      <c r="O606" s="155">
        <f t="shared" si="66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62"/>
        <v>15000</v>
      </c>
      <c r="J607" s="163">
        <f t="shared" si="63"/>
        <v>0</v>
      </c>
      <c r="K607" s="155">
        <f t="shared" si="64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65"/>
        <v>201227468.79893059</v>
      </c>
      <c r="O607" s="155">
        <f t="shared" si="66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62"/>
        <v>1510245</v>
      </c>
      <c r="J608" s="163">
        <f t="shared" si="63"/>
        <v>0</v>
      </c>
      <c r="K608" s="155">
        <f t="shared" si="64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65"/>
        <v>201227469.79893059</v>
      </c>
      <c r="O608" s="155">
        <f t="shared" si="66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62"/>
        <v>0</v>
      </c>
      <c r="J609" s="163">
        <f t="shared" si="63"/>
        <v>0</v>
      </c>
      <c r="K609" s="155">
        <f t="shared" si="64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65"/>
        <v>0</v>
      </c>
      <c r="O609" s="155">
        <f t="shared" si="66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62"/>
        <v>0</v>
      </c>
      <c r="J610" s="163">
        <f t="shared" si="63"/>
        <v>0</v>
      </c>
      <c r="K610" s="155">
        <f t="shared" si="64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65"/>
        <v>0</v>
      </c>
      <c r="O610" s="155">
        <f t="shared" si="66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62"/>
        <v>16226</v>
      </c>
      <c r="J611" s="163">
        <f t="shared" si="63"/>
        <v>0</v>
      </c>
      <c r="K611" s="155">
        <f t="shared" si="64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65"/>
        <v>201227470.79893059</v>
      </c>
      <c r="O611" s="155">
        <f t="shared" si="66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62"/>
        <v>19947</v>
      </c>
      <c r="J612" s="163">
        <f t="shared" si="63"/>
        <v>0</v>
      </c>
      <c r="K612" s="155">
        <f t="shared" si="64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65"/>
        <v>201227471.79893059</v>
      </c>
      <c r="O612" s="155">
        <f t="shared" si="66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62"/>
        <v>26711.899999999998</v>
      </c>
      <c r="J613" s="163">
        <f t="shared" si="63"/>
        <v>0</v>
      </c>
      <c r="K613" s="155">
        <f t="shared" si="64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65"/>
        <v>201227472.79893059</v>
      </c>
      <c r="O613" s="155">
        <f t="shared" si="66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62"/>
        <v>84820.5</v>
      </c>
      <c r="J614" s="163">
        <f t="shared" si="63"/>
        <v>0</v>
      </c>
      <c r="K614" s="155">
        <f t="shared" si="64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65"/>
        <v>201227473.79893059</v>
      </c>
      <c r="O614" s="155">
        <f t="shared" si="66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62"/>
        <v>33550</v>
      </c>
      <c r="J615" s="163">
        <f t="shared" si="63"/>
        <v>0</v>
      </c>
      <c r="K615" s="155">
        <f t="shared" si="64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65"/>
        <v>201227474.79893059</v>
      </c>
      <c r="O615" s="155">
        <f t="shared" si="66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62"/>
        <v>16833.560000000001</v>
      </c>
      <c r="J616" s="163">
        <f t="shared" si="63"/>
        <v>0</v>
      </c>
      <c r="K616" s="155">
        <f t="shared" si="64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65"/>
        <v>201227475.79893059</v>
      </c>
      <c r="O616" s="155">
        <f t="shared" si="66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62"/>
        <v>72742.5</v>
      </c>
      <c r="J617" s="163">
        <f t="shared" si="63"/>
        <v>0</v>
      </c>
      <c r="K617" s="155">
        <f t="shared" si="64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65"/>
        <v>201227476.79893059</v>
      </c>
      <c r="O617" s="155">
        <f t="shared" si="66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62"/>
        <v>45445</v>
      </c>
      <c r="J618" s="163">
        <f t="shared" si="63"/>
        <v>0</v>
      </c>
      <c r="K618" s="155">
        <f t="shared" si="64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65"/>
        <v>201227477.79893059</v>
      </c>
      <c r="O618" s="155">
        <f t="shared" si="66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62"/>
        <v>84820.5</v>
      </c>
      <c r="J619" s="163">
        <f t="shared" si="63"/>
        <v>0</v>
      </c>
      <c r="K619" s="155">
        <f t="shared" si="64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65"/>
        <v>201227478.79893059</v>
      </c>
      <c r="O619" s="155">
        <f t="shared" si="66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62"/>
        <v>53866.659999999996</v>
      </c>
      <c r="J620" s="163">
        <f t="shared" si="63"/>
        <v>0</v>
      </c>
      <c r="K620" s="155">
        <f t="shared" si="64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65"/>
        <v>201227479.79893059</v>
      </c>
      <c r="O620" s="155">
        <f t="shared" si="66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62"/>
        <v>38499.54</v>
      </c>
      <c r="J621" s="163">
        <f t="shared" si="63"/>
        <v>0</v>
      </c>
      <c r="K621" s="155">
        <f t="shared" si="64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65"/>
        <v>201227480.79893059</v>
      </c>
      <c r="O621" s="155">
        <f t="shared" si="66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62"/>
        <v>31720</v>
      </c>
      <c r="J622" s="163">
        <f t="shared" si="63"/>
        <v>0</v>
      </c>
      <c r="K622" s="155">
        <f t="shared" si="64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65"/>
        <v>201227481.79893059</v>
      </c>
      <c r="O622" s="155">
        <f t="shared" si="66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62"/>
        <v>51240</v>
      </c>
      <c r="J623" s="163">
        <f t="shared" si="63"/>
        <v>0</v>
      </c>
      <c r="K623" s="155">
        <f t="shared" si="64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65"/>
        <v>201227482.79893059</v>
      </c>
      <c r="O623" s="155">
        <f t="shared" si="66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62"/>
        <v>3477</v>
      </c>
      <c r="J624" s="163">
        <f t="shared" si="63"/>
        <v>0</v>
      </c>
      <c r="K624" s="155">
        <f t="shared" si="64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65"/>
        <v>201227483.79893059</v>
      </c>
      <c r="O624" s="155">
        <f t="shared" si="66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62"/>
        <v>3477</v>
      </c>
      <c r="J625" s="163">
        <f t="shared" si="63"/>
        <v>0</v>
      </c>
      <c r="K625" s="155">
        <f t="shared" si="64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65"/>
        <v>201227484.79893059</v>
      </c>
      <c r="O625" s="155">
        <f t="shared" si="66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62"/>
        <v>5531.48</v>
      </c>
      <c r="J626" s="163">
        <f t="shared" si="63"/>
        <v>0</v>
      </c>
      <c r="K626" s="155">
        <f t="shared" si="64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65"/>
        <v>201227485.79893059</v>
      </c>
      <c r="O626" s="155">
        <f t="shared" si="66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62"/>
        <v>15000</v>
      </c>
      <c r="J627" s="163">
        <f t="shared" si="63"/>
        <v>0</v>
      </c>
      <c r="K627" s="155">
        <f t="shared" si="64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65"/>
        <v>201227486.79893059</v>
      </c>
      <c r="O627" s="155">
        <f t="shared" si="66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62"/>
        <v>154106.74</v>
      </c>
      <c r="J628" s="163">
        <f t="shared" si="63"/>
        <v>0</v>
      </c>
      <c r="K628" s="155">
        <f t="shared" si="64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65"/>
        <v>201227487.79893059</v>
      </c>
      <c r="O628" s="155">
        <f t="shared" si="66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62"/>
        <v>16226</v>
      </c>
      <c r="J629" s="163">
        <f t="shared" si="63"/>
        <v>0</v>
      </c>
      <c r="K629" s="155">
        <f t="shared" si="64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65"/>
        <v>201227488.79893059</v>
      </c>
      <c r="O629" s="155">
        <f t="shared" si="66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62"/>
        <v>61732</v>
      </c>
      <c r="J630" s="163">
        <f t="shared" si="63"/>
        <v>0</v>
      </c>
      <c r="K630" s="155">
        <f t="shared" si="64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65"/>
        <v>201227489.79893059</v>
      </c>
      <c r="O630" s="155">
        <f t="shared" si="66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62"/>
        <v>34299.08</v>
      </c>
      <c r="J631" s="163">
        <f t="shared" si="63"/>
        <v>0</v>
      </c>
      <c r="K631" s="155">
        <f t="shared" si="64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65"/>
        <v>201227490.79893059</v>
      </c>
      <c r="O631" s="155">
        <f t="shared" si="66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62"/>
        <v>19825</v>
      </c>
      <c r="J632" s="163">
        <f t="shared" si="63"/>
        <v>0</v>
      </c>
      <c r="K632" s="155">
        <f t="shared" si="64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65"/>
        <v>201227491.79893059</v>
      </c>
      <c r="O632" s="155">
        <f t="shared" si="66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63"/>
        <v>0</v>
      </c>
      <c r="K633" s="155">
        <f t="shared" si="64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65"/>
        <v>201227492.79893059</v>
      </c>
      <c r="O633" s="155">
        <f t="shared" si="66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62"/>
        <v>23180</v>
      </c>
      <c r="J634" s="163">
        <f t="shared" si="63"/>
        <v>0</v>
      </c>
      <c r="K634" s="155">
        <f t="shared" si="64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65"/>
        <v>201227493.79893059</v>
      </c>
      <c r="O634" s="155">
        <f t="shared" si="66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62"/>
        <v>482893.08</v>
      </c>
      <c r="J635" s="163">
        <f t="shared" si="63"/>
        <v>0</v>
      </c>
      <c r="K635" s="155">
        <f t="shared" si="64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65"/>
        <v>201227494.79893059</v>
      </c>
      <c r="O635" s="155">
        <f t="shared" si="66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62"/>
        <v>0</v>
      </c>
      <c r="J636" s="163">
        <f t="shared" si="63"/>
        <v>0</v>
      </c>
      <c r="K636" s="155">
        <f t="shared" si="64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65"/>
        <v>0</v>
      </c>
      <c r="O636" s="155">
        <f t="shared" si="66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62"/>
        <v/>
      </c>
      <c r="J637" s="163">
        <f t="shared" si="63"/>
        <v>0</v>
      </c>
      <c r="K637" s="155">
        <f t="shared" si="64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65"/>
        <v>0</v>
      </c>
      <c r="O637" s="155">
        <f t="shared" si="66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62"/>
        <v/>
      </c>
      <c r="J638" s="163">
        <f t="shared" si="63"/>
        <v>0</v>
      </c>
      <c r="K638" s="155">
        <f t="shared" si="64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65"/>
        <v>0</v>
      </c>
      <c r="O638" s="155">
        <f t="shared" si="66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62"/>
        <v>300000</v>
      </c>
      <c r="J639" s="163">
        <f t="shared" si="63"/>
        <v>0</v>
      </c>
      <c r="K639" s="155">
        <f t="shared" si="64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65"/>
        <v>0</v>
      </c>
      <c r="O639" s="155">
        <f t="shared" si="66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62"/>
        <v>95147.5</v>
      </c>
      <c r="J640" s="163">
        <f t="shared" si="63"/>
        <v>0</v>
      </c>
      <c r="K640" s="155">
        <f t="shared" si="64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65"/>
        <v>0</v>
      </c>
      <c r="O640" s="155">
        <f t="shared" si="66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62"/>
        <v>74125</v>
      </c>
      <c r="J641" s="163">
        <f t="shared" si="63"/>
        <v>0</v>
      </c>
      <c r="K641" s="155">
        <f t="shared" si="64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65"/>
        <v>0</v>
      </c>
      <c r="O641" s="155">
        <f t="shared" si="66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62"/>
        <v>150000</v>
      </c>
      <c r="J642" s="163">
        <f t="shared" si="63"/>
        <v>0</v>
      </c>
      <c r="K642" s="155">
        <f t="shared" si="64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65"/>
        <v>0</v>
      </c>
      <c r="O642" s="155">
        <f t="shared" si="66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62"/>
        <v>242999.99999999997</v>
      </c>
      <c r="J643" s="163">
        <f t="shared" si="63"/>
        <v>0</v>
      </c>
      <c r="K643" s="155">
        <f t="shared" si="64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65"/>
        <v>201227495.79893059</v>
      </c>
      <c r="O643" s="155">
        <f t="shared" si="66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62"/>
        <v>1124962.5</v>
      </c>
      <c r="J644" s="163">
        <f t="shared" si="63"/>
        <v>0</v>
      </c>
      <c r="K644" s="155">
        <f t="shared" si="64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65"/>
        <v>201227496.79893059</v>
      </c>
      <c r="O644" s="155">
        <f t="shared" si="66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62"/>
        <v>5065452.75</v>
      </c>
      <c r="J645" s="163">
        <f t="shared" si="63"/>
        <v>0</v>
      </c>
      <c r="K645" s="155">
        <f t="shared" si="64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65"/>
        <v>201227497.79893059</v>
      </c>
      <c r="O645" s="155">
        <f t="shared" si="66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62"/>
        <v>5065452.75</v>
      </c>
      <c r="J646" s="163">
        <f t="shared" si="63"/>
        <v>0</v>
      </c>
      <c r="K646" s="155">
        <f t="shared" si="64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65"/>
        <v>201227498.79893059</v>
      </c>
      <c r="O646" s="155">
        <f t="shared" si="66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62"/>
        <v>185000</v>
      </c>
      <c r="J647" s="163">
        <f t="shared" si="63"/>
        <v>0</v>
      </c>
      <c r="K647" s="155">
        <f t="shared" si="64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65"/>
        <v>201227499.79893059</v>
      </c>
      <c r="O647" s="155">
        <f t="shared" si="66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62"/>
        <v>0</v>
      </c>
      <c r="J648" s="163">
        <f t="shared" si="63"/>
        <v>0</v>
      </c>
      <c r="K648" s="155">
        <f t="shared" si="64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65"/>
        <v>0</v>
      </c>
      <c r="O648" s="155">
        <f t="shared" si="66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62"/>
        <v>0</v>
      </c>
      <c r="J649" s="163">
        <f t="shared" si="63"/>
        <v>0</v>
      </c>
      <c r="K649" s="155">
        <f t="shared" si="64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65"/>
        <v>0</v>
      </c>
      <c r="O649" s="155">
        <f t="shared" si="66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62"/>
        <v>200000</v>
      </c>
      <c r="J650" s="163">
        <f t="shared" si="63"/>
        <v>0</v>
      </c>
      <c r="K650" s="155">
        <f t="shared" si="64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65"/>
        <v>0</v>
      </c>
      <c r="O650" s="155">
        <f t="shared" si="66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62"/>
        <v>230000</v>
      </c>
      <c r="J651" s="163">
        <f t="shared" si="63"/>
        <v>0</v>
      </c>
      <c r="K651" s="155">
        <f t="shared" si="64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65"/>
        <v>0</v>
      </c>
      <c r="O651" s="155">
        <f t="shared" si="66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62"/>
        <v>55000</v>
      </c>
      <c r="J652" s="163">
        <f t="shared" ref="J652:J715" si="67">IF(D652="MDU-KD",1,0)</f>
        <v>0</v>
      </c>
      <c r="K652" s="155">
        <f t="shared" ref="K652:K715" si="68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69">IF(L652=0,M652,L652)</f>
        <v>0</v>
      </c>
      <c r="O652" s="155">
        <f t="shared" ref="O652:O715" si="70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62"/>
        <v>93000</v>
      </c>
      <c r="J653" s="163">
        <f t="shared" si="67"/>
        <v>0</v>
      </c>
      <c r="K653" s="155">
        <f t="shared" si="68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69"/>
        <v>0</v>
      </c>
      <c r="O653" s="155">
        <f t="shared" si="70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62"/>
        <v>85000</v>
      </c>
      <c r="J654" s="163">
        <f t="shared" si="67"/>
        <v>0</v>
      </c>
      <c r="K654" s="155">
        <f t="shared" si="68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69"/>
        <v>0</v>
      </c>
      <c r="O654" s="155">
        <f t="shared" si="70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62"/>
        <v>0</v>
      </c>
      <c r="J655" s="163">
        <f t="shared" si="67"/>
        <v>0</v>
      </c>
      <c r="K655" s="155">
        <f t="shared" si="68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69"/>
        <v>0</v>
      </c>
      <c r="O655" s="155">
        <f t="shared" si="70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62"/>
        <v>12000</v>
      </c>
      <c r="J656" s="163">
        <f t="shared" si="67"/>
        <v>0</v>
      </c>
      <c r="K656" s="155">
        <f t="shared" si="68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69"/>
        <v>201227500.79893059</v>
      </c>
      <c r="O656" s="155">
        <f t="shared" si="70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62"/>
        <v>0</v>
      </c>
      <c r="J657" s="163">
        <f t="shared" si="67"/>
        <v>0</v>
      </c>
      <c r="K657" s="155">
        <f t="shared" si="68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69"/>
        <v>0</v>
      </c>
      <c r="O657" s="155">
        <f t="shared" si="70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62"/>
        <v>0</v>
      </c>
      <c r="J658" s="163">
        <f t="shared" si="67"/>
        <v>0</v>
      </c>
      <c r="K658" s="155">
        <f t="shared" si="68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69"/>
        <v>0</v>
      </c>
      <c r="O658" s="155">
        <f t="shared" si="70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62"/>
        <v>0</v>
      </c>
      <c r="J659" s="163">
        <f t="shared" si="67"/>
        <v>0</v>
      </c>
      <c r="K659" s="155">
        <f t="shared" si="68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69"/>
        <v>0</v>
      </c>
      <c r="O659" s="155">
        <f t="shared" si="70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62"/>
        <v>19800</v>
      </c>
      <c r="J660" s="163">
        <f t="shared" si="67"/>
        <v>0</v>
      </c>
      <c r="K660" s="155">
        <f t="shared" si="68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69"/>
        <v>0</v>
      </c>
      <c r="O660" s="155">
        <f t="shared" si="70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62"/>
        <v>20500</v>
      </c>
      <c r="J661" s="163">
        <f t="shared" si="67"/>
        <v>0</v>
      </c>
      <c r="K661" s="155">
        <f t="shared" si="68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69"/>
        <v>0</v>
      </c>
      <c r="O661" s="155">
        <f t="shared" si="70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62"/>
        <v>27500</v>
      </c>
      <c r="J662" s="163">
        <f t="shared" si="67"/>
        <v>0</v>
      </c>
      <c r="K662" s="155">
        <f t="shared" si="68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69"/>
        <v>0</v>
      </c>
      <c r="O662" s="155">
        <f t="shared" si="70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62"/>
        <v>14900</v>
      </c>
      <c r="J663" s="163">
        <f t="shared" si="67"/>
        <v>0</v>
      </c>
      <c r="K663" s="155">
        <f t="shared" si="68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69"/>
        <v>0</v>
      </c>
      <c r="O663" s="155">
        <f t="shared" si="70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62"/>
        <v>33200</v>
      </c>
      <c r="J664" s="163">
        <f t="shared" si="67"/>
        <v>0</v>
      </c>
      <c r="K664" s="155">
        <f t="shared" si="68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69"/>
        <v>0</v>
      </c>
      <c r="O664" s="155">
        <f t="shared" si="70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62"/>
        <v>35700</v>
      </c>
      <c r="J665" s="163">
        <f t="shared" si="67"/>
        <v>0</v>
      </c>
      <c r="K665" s="155">
        <f t="shared" si="68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69"/>
        <v>0</v>
      </c>
      <c r="O665" s="155">
        <f t="shared" si="70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62"/>
        <v>33200</v>
      </c>
      <c r="J666" s="163">
        <f t="shared" si="67"/>
        <v>0</v>
      </c>
      <c r="K666" s="155">
        <f t="shared" si="68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69"/>
        <v>0</v>
      </c>
      <c r="O666" s="155">
        <f t="shared" si="70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62"/>
        <v>37600</v>
      </c>
      <c r="J667" s="163">
        <f t="shared" si="67"/>
        <v>0</v>
      </c>
      <c r="K667" s="155">
        <f t="shared" si="68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69"/>
        <v>0</v>
      </c>
      <c r="O667" s="155">
        <f t="shared" si="70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62"/>
        <v>33200</v>
      </c>
      <c r="J668" s="163">
        <f t="shared" si="67"/>
        <v>0</v>
      </c>
      <c r="K668" s="155">
        <f t="shared" si="68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69"/>
        <v>0</v>
      </c>
      <c r="O668" s="155">
        <f t="shared" si="70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62"/>
        <v>39800</v>
      </c>
      <c r="J669" s="163">
        <f t="shared" si="67"/>
        <v>0</v>
      </c>
      <c r="K669" s="155">
        <f t="shared" si="68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69"/>
        <v>0</v>
      </c>
      <c r="O669" s="155">
        <f t="shared" si="70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62"/>
        <v>29400</v>
      </c>
      <c r="J670" s="163">
        <f t="shared" si="67"/>
        <v>0</v>
      </c>
      <c r="K670" s="155">
        <f t="shared" si="68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69"/>
        <v>0</v>
      </c>
      <c r="O670" s="155">
        <f t="shared" si="70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62"/>
        <v>35700</v>
      </c>
      <c r="J671" s="163">
        <f t="shared" si="67"/>
        <v>0</v>
      </c>
      <c r="K671" s="155">
        <f t="shared" si="68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69"/>
        <v>0</v>
      </c>
      <c r="O671" s="155">
        <f t="shared" si="70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62"/>
        <v>30700</v>
      </c>
      <c r="J672" s="163">
        <f t="shared" si="67"/>
        <v>0</v>
      </c>
      <c r="K672" s="155">
        <f t="shared" si="68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69"/>
        <v>0</v>
      </c>
      <c r="O672" s="155">
        <f t="shared" si="70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62"/>
        <v>22700</v>
      </c>
      <c r="J673" s="163">
        <f t="shared" si="67"/>
        <v>0</v>
      </c>
      <c r="K673" s="155">
        <f t="shared" si="68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69"/>
        <v>0</v>
      </c>
      <c r="O673" s="155">
        <f t="shared" si="70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62"/>
        <v>19800</v>
      </c>
      <c r="J674" s="163">
        <f t="shared" si="67"/>
        <v>0</v>
      </c>
      <c r="K674" s="155">
        <f t="shared" si="68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69"/>
        <v>0</v>
      </c>
      <c r="O674" s="155">
        <f t="shared" si="70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62"/>
        <v>19800</v>
      </c>
      <c r="J675" s="163">
        <f t="shared" si="67"/>
        <v>0</v>
      </c>
      <c r="K675" s="155">
        <f t="shared" si="68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69"/>
        <v>0</v>
      </c>
      <c r="O675" s="155">
        <f t="shared" si="70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62"/>
        <v>20500</v>
      </c>
      <c r="J676" s="163">
        <f t="shared" si="67"/>
        <v>0</v>
      </c>
      <c r="K676" s="155">
        <f t="shared" si="68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69"/>
        <v>0</v>
      </c>
      <c r="O676" s="155">
        <f t="shared" si="70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62"/>
        <v>20500</v>
      </c>
      <c r="J677" s="163">
        <f t="shared" si="67"/>
        <v>0</v>
      </c>
      <c r="K677" s="155">
        <f t="shared" si="68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69"/>
        <v>0</v>
      </c>
      <c r="O677" s="155">
        <f t="shared" si="70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62"/>
        <v>27500</v>
      </c>
      <c r="J678" s="163">
        <f t="shared" si="67"/>
        <v>0</v>
      </c>
      <c r="K678" s="155">
        <f t="shared" si="68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69"/>
        <v>0</v>
      </c>
      <c r="O678" s="155">
        <f t="shared" si="70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62"/>
        <v>27500</v>
      </c>
      <c r="J679" s="163">
        <f t="shared" si="67"/>
        <v>0</v>
      </c>
      <c r="K679" s="155">
        <f t="shared" si="68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69"/>
        <v>0</v>
      </c>
      <c r="O679" s="155">
        <f t="shared" si="70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62"/>
        <v>22100</v>
      </c>
      <c r="J680" s="163">
        <f t="shared" si="67"/>
        <v>0</v>
      </c>
      <c r="K680" s="155">
        <f t="shared" si="68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69"/>
        <v>0</v>
      </c>
      <c r="O680" s="155">
        <f t="shared" si="70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62"/>
        <v>0</v>
      </c>
      <c r="J681" s="163">
        <f t="shared" si="67"/>
        <v>0</v>
      </c>
      <c r="K681" s="155">
        <f t="shared" si="68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69"/>
        <v>0</v>
      </c>
      <c r="O681" s="155">
        <f t="shared" si="70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62"/>
        <v>0</v>
      </c>
      <c r="J682" s="163">
        <f t="shared" si="67"/>
        <v>0</v>
      </c>
      <c r="K682" s="155">
        <f t="shared" si="68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69"/>
        <v>0</v>
      </c>
      <c r="O682" s="155">
        <f t="shared" si="70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62"/>
        <v>53200</v>
      </c>
      <c r="J683" s="163">
        <f t="shared" si="67"/>
        <v>0</v>
      </c>
      <c r="K683" s="155">
        <f t="shared" si="68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69"/>
        <v>0</v>
      </c>
      <c r="O683" s="155">
        <f t="shared" si="70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62"/>
        <v>61300</v>
      </c>
      <c r="J684" s="163">
        <f t="shared" si="67"/>
        <v>0</v>
      </c>
      <c r="K684" s="155">
        <f t="shared" si="68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69"/>
        <v>0</v>
      </c>
      <c r="O684" s="155">
        <f t="shared" si="70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71">IF($I$5=$G$4,G685,(IF($I$5=$F$4,F685,0)))</f>
        <v>61300</v>
      </c>
      <c r="J685" s="163">
        <f t="shared" si="67"/>
        <v>0</v>
      </c>
      <c r="K685" s="155">
        <f t="shared" si="68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69"/>
        <v>0</v>
      </c>
      <c r="O685" s="155">
        <f t="shared" si="70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71"/>
        <v>80100</v>
      </c>
      <c r="J686" s="163">
        <f t="shared" si="67"/>
        <v>0</v>
      </c>
      <c r="K686" s="155">
        <f t="shared" si="68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69"/>
        <v>0</v>
      </c>
      <c r="O686" s="155">
        <f t="shared" si="70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71"/>
        <v>35700</v>
      </c>
      <c r="J687" s="163">
        <f t="shared" si="67"/>
        <v>0</v>
      </c>
      <c r="K687" s="155">
        <f t="shared" si="68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69"/>
        <v>0</v>
      </c>
      <c r="O687" s="155">
        <f t="shared" si="70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71"/>
        <v>80100</v>
      </c>
      <c r="J688" s="163">
        <f t="shared" si="67"/>
        <v>0</v>
      </c>
      <c r="K688" s="155">
        <f t="shared" si="68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69"/>
        <v>0</v>
      </c>
      <c r="O688" s="155">
        <f t="shared" si="70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71"/>
        <v>84000</v>
      </c>
      <c r="J689" s="163">
        <f t="shared" si="67"/>
        <v>0</v>
      </c>
      <c r="K689" s="155">
        <f t="shared" si="68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69"/>
        <v>0</v>
      </c>
      <c r="O689" s="155">
        <f t="shared" si="70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71"/>
        <v>44000</v>
      </c>
      <c r="J690" s="163">
        <f t="shared" si="67"/>
        <v>0</v>
      </c>
      <c r="K690" s="155">
        <f t="shared" si="68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69"/>
        <v>0</v>
      </c>
      <c r="O690" s="155">
        <f t="shared" si="70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71"/>
        <v>70300</v>
      </c>
      <c r="J691" s="163">
        <f t="shared" si="67"/>
        <v>0</v>
      </c>
      <c r="K691" s="155">
        <f t="shared" si="68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69"/>
        <v>0</v>
      </c>
      <c r="O691" s="155">
        <f t="shared" si="70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71"/>
        <v>70300</v>
      </c>
      <c r="J692" s="163">
        <f t="shared" si="67"/>
        <v>0</v>
      </c>
      <c r="K692" s="155">
        <f t="shared" si="68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69"/>
        <v>0</v>
      </c>
      <c r="O692" s="155">
        <f t="shared" si="70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71"/>
        <v>45200</v>
      </c>
      <c r="J693" s="163">
        <f t="shared" si="67"/>
        <v>0</v>
      </c>
      <c r="K693" s="155">
        <f t="shared" si="68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69"/>
        <v>0</v>
      </c>
      <c r="O693" s="155">
        <f t="shared" si="70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71"/>
        <v>85800</v>
      </c>
      <c r="J694" s="163">
        <f t="shared" si="67"/>
        <v>0</v>
      </c>
      <c r="K694" s="155">
        <f t="shared" si="68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69"/>
        <v>0</v>
      </c>
      <c r="O694" s="155">
        <f t="shared" si="70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71"/>
        <v>85800</v>
      </c>
      <c r="J695" s="163">
        <f t="shared" si="67"/>
        <v>0</v>
      </c>
      <c r="K695" s="155">
        <f t="shared" si="68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69"/>
        <v>0</v>
      </c>
      <c r="O695" s="155">
        <f t="shared" si="70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71"/>
        <v>87700</v>
      </c>
      <c r="J696" s="163">
        <f t="shared" si="67"/>
        <v>0</v>
      </c>
      <c r="K696" s="155">
        <f t="shared" si="68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69"/>
        <v>0</v>
      </c>
      <c r="O696" s="155">
        <f t="shared" si="70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71"/>
        <v>50100</v>
      </c>
      <c r="J697" s="163">
        <f t="shared" si="67"/>
        <v>0</v>
      </c>
      <c r="K697" s="155">
        <f t="shared" si="68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69"/>
        <v>0</v>
      </c>
      <c r="O697" s="155">
        <f t="shared" si="70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71"/>
        <v>50100</v>
      </c>
      <c r="J698" s="163">
        <f t="shared" si="67"/>
        <v>0</v>
      </c>
      <c r="K698" s="155">
        <f t="shared" si="68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69"/>
        <v>0</v>
      </c>
      <c r="O698" s="155">
        <f t="shared" si="70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71"/>
        <v>53800</v>
      </c>
      <c r="J699" s="163">
        <f t="shared" si="67"/>
        <v>0</v>
      </c>
      <c r="K699" s="155">
        <f t="shared" si="68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69"/>
        <v>0</v>
      </c>
      <c r="O699" s="155">
        <f t="shared" si="70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71"/>
        <v>53800</v>
      </c>
      <c r="J700" s="163">
        <f t="shared" si="67"/>
        <v>0</v>
      </c>
      <c r="K700" s="155">
        <f t="shared" si="68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69"/>
        <v>0</v>
      </c>
      <c r="O700" s="155">
        <f t="shared" si="70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71"/>
        <v>53800</v>
      </c>
      <c r="J701" s="163">
        <f t="shared" si="67"/>
        <v>0</v>
      </c>
      <c r="K701" s="155">
        <f t="shared" si="68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69"/>
        <v>0</v>
      </c>
      <c r="O701" s="155">
        <f t="shared" si="70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71"/>
        <v>53800</v>
      </c>
      <c r="J702" s="163">
        <f t="shared" si="67"/>
        <v>0</v>
      </c>
      <c r="K702" s="155">
        <f t="shared" si="68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69"/>
        <v>0</v>
      </c>
      <c r="O702" s="155">
        <f t="shared" si="70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71"/>
        <v>45100</v>
      </c>
      <c r="J703" s="163">
        <f t="shared" si="67"/>
        <v>0</v>
      </c>
      <c r="K703" s="155">
        <f t="shared" si="68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69"/>
        <v>0</v>
      </c>
      <c r="O703" s="155">
        <f t="shared" si="70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71"/>
        <v>44300</v>
      </c>
      <c r="J704" s="163">
        <f t="shared" si="67"/>
        <v>0</v>
      </c>
      <c r="K704" s="155">
        <f t="shared" si="68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69"/>
        <v>0</v>
      </c>
      <c r="O704" s="155">
        <f t="shared" si="70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71"/>
        <v>44300</v>
      </c>
      <c r="J705" s="163">
        <f t="shared" si="67"/>
        <v>0</v>
      </c>
      <c r="K705" s="155">
        <f t="shared" si="68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69"/>
        <v>0</v>
      </c>
      <c r="O705" s="155">
        <f t="shared" si="70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71"/>
        <v>44300</v>
      </c>
      <c r="J706" s="163">
        <f t="shared" si="67"/>
        <v>0</v>
      </c>
      <c r="K706" s="155">
        <f t="shared" si="68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69"/>
        <v>0</v>
      </c>
      <c r="O706" s="155">
        <f t="shared" si="70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71"/>
        <v>44300</v>
      </c>
      <c r="J707" s="163">
        <f t="shared" si="67"/>
        <v>0</v>
      </c>
      <c r="K707" s="155">
        <f t="shared" si="68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69"/>
        <v>0</v>
      </c>
      <c r="O707" s="155">
        <f t="shared" si="70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71"/>
        <v>93100</v>
      </c>
      <c r="J708" s="163">
        <f t="shared" si="67"/>
        <v>0</v>
      </c>
      <c r="K708" s="155">
        <f t="shared" si="68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69"/>
        <v>0</v>
      </c>
      <c r="O708" s="155">
        <f t="shared" si="70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71"/>
        <v>93100</v>
      </c>
      <c r="J709" s="163">
        <f t="shared" si="67"/>
        <v>0</v>
      </c>
      <c r="K709" s="155">
        <f t="shared" si="68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69"/>
        <v>0</v>
      </c>
      <c r="O709" s="155">
        <f t="shared" si="70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71"/>
        <v>88700</v>
      </c>
      <c r="J710" s="163">
        <f t="shared" si="67"/>
        <v>0</v>
      </c>
      <c r="K710" s="155">
        <f t="shared" si="68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69"/>
        <v>0</v>
      </c>
      <c r="O710" s="155">
        <f t="shared" si="70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71"/>
        <v>61700</v>
      </c>
      <c r="J711" s="163">
        <f t="shared" si="67"/>
        <v>0</v>
      </c>
      <c r="K711" s="155">
        <f t="shared" si="68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69"/>
        <v>0</v>
      </c>
      <c r="O711" s="155">
        <f t="shared" si="70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71"/>
        <v>61700</v>
      </c>
      <c r="J712" s="163">
        <f t="shared" si="67"/>
        <v>0</v>
      </c>
      <c r="K712" s="155">
        <f t="shared" si="68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69"/>
        <v>0</v>
      </c>
      <c r="O712" s="155">
        <f t="shared" si="70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71"/>
        <v>99900</v>
      </c>
      <c r="J713" s="163">
        <f t="shared" si="67"/>
        <v>0</v>
      </c>
      <c r="K713" s="155">
        <f t="shared" si="68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69"/>
        <v>0</v>
      </c>
      <c r="O713" s="155">
        <f t="shared" si="70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71"/>
        <v>99900</v>
      </c>
      <c r="J714" s="163">
        <f t="shared" si="67"/>
        <v>0</v>
      </c>
      <c r="K714" s="155">
        <f t="shared" si="6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69"/>
        <v>0</v>
      </c>
      <c r="O714" s="155">
        <f t="shared" si="70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71"/>
        <v>79500</v>
      </c>
      <c r="J715" s="163">
        <f t="shared" si="67"/>
        <v>0</v>
      </c>
      <c r="K715" s="155">
        <f t="shared" si="6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69"/>
        <v>0</v>
      </c>
      <c r="O715" s="155">
        <f t="shared" si="70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71"/>
        <v>74200</v>
      </c>
      <c r="J716" s="163">
        <f t="shared" ref="J716:J779" si="72">IF(D716="MDU-KD",1,0)</f>
        <v>0</v>
      </c>
      <c r="K716" s="155">
        <f t="shared" ref="K716:K779" si="73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74">IF(L716=0,M716,L716)</f>
        <v>0</v>
      </c>
      <c r="O716" s="155">
        <f t="shared" ref="O716:O779" si="75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71"/>
        <v>87700</v>
      </c>
      <c r="J717" s="163">
        <f t="shared" si="72"/>
        <v>0</v>
      </c>
      <c r="K717" s="155">
        <f t="shared" si="7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74"/>
        <v>0</v>
      </c>
      <c r="O717" s="155">
        <f t="shared" si="75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71"/>
        <v>112300</v>
      </c>
      <c r="J718" s="163">
        <f t="shared" si="72"/>
        <v>0</v>
      </c>
      <c r="K718" s="155">
        <f t="shared" si="7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74"/>
        <v>0</v>
      </c>
      <c r="O718" s="155">
        <f t="shared" si="75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71"/>
        <v>87700</v>
      </c>
      <c r="J719" s="163">
        <f t="shared" si="72"/>
        <v>0</v>
      </c>
      <c r="K719" s="155">
        <f t="shared" si="7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74"/>
        <v>0</v>
      </c>
      <c r="O719" s="155">
        <f t="shared" si="75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71"/>
        <v>129900</v>
      </c>
      <c r="J720" s="163">
        <f t="shared" si="72"/>
        <v>0</v>
      </c>
      <c r="K720" s="155">
        <f t="shared" si="7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74"/>
        <v>0</v>
      </c>
      <c r="O720" s="155">
        <f t="shared" si="75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71"/>
        <v>127200</v>
      </c>
      <c r="J721" s="163">
        <f t="shared" si="72"/>
        <v>0</v>
      </c>
      <c r="K721" s="155">
        <f t="shared" si="7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74"/>
        <v>0</v>
      </c>
      <c r="O721" s="155">
        <f t="shared" si="75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71"/>
        <v>116900</v>
      </c>
      <c r="J722" s="163">
        <f t="shared" si="72"/>
        <v>0</v>
      </c>
      <c r="K722" s="155">
        <f t="shared" si="7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74"/>
        <v>0</v>
      </c>
      <c r="O722" s="155">
        <f t="shared" si="75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71"/>
        <v>123100</v>
      </c>
      <c r="J723" s="163">
        <f t="shared" si="72"/>
        <v>0</v>
      </c>
      <c r="K723" s="155">
        <f t="shared" si="73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74"/>
        <v>0</v>
      </c>
      <c r="O723" s="155">
        <f t="shared" si="75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71"/>
        <v>111100</v>
      </c>
      <c r="J724" s="163">
        <f t="shared" si="72"/>
        <v>0</v>
      </c>
      <c r="K724" s="155">
        <f t="shared" si="73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74"/>
        <v>0</v>
      </c>
      <c r="O724" s="155">
        <f t="shared" si="75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71"/>
        <v>129300</v>
      </c>
      <c r="J725" s="163">
        <f t="shared" si="72"/>
        <v>0</v>
      </c>
      <c r="K725" s="155">
        <f t="shared" si="73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74"/>
        <v>0</v>
      </c>
      <c r="O725" s="155">
        <f t="shared" si="75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71"/>
        <v>259800</v>
      </c>
      <c r="J726" s="163">
        <f t="shared" si="72"/>
        <v>0</v>
      </c>
      <c r="K726" s="155">
        <f t="shared" si="73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74"/>
        <v>0</v>
      </c>
      <c r="O726" s="155">
        <f t="shared" si="75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71"/>
        <v>264700</v>
      </c>
      <c r="J727" s="163">
        <f t="shared" si="72"/>
        <v>0</v>
      </c>
      <c r="K727" s="155">
        <f t="shared" si="73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74"/>
        <v>0</v>
      </c>
      <c r="O727" s="155">
        <f t="shared" si="75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71"/>
        <v>173300</v>
      </c>
      <c r="J728" s="163">
        <f t="shared" si="72"/>
        <v>0</v>
      </c>
      <c r="K728" s="155">
        <f t="shared" si="73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74"/>
        <v>0</v>
      </c>
      <c r="O728" s="155">
        <f t="shared" si="75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71"/>
        <v>279500</v>
      </c>
      <c r="J729" s="163">
        <f t="shared" si="72"/>
        <v>0</v>
      </c>
      <c r="K729" s="155">
        <f t="shared" si="73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74"/>
        <v>0</v>
      </c>
      <c r="O729" s="155">
        <f t="shared" si="75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71"/>
        <v>106800</v>
      </c>
      <c r="J730" s="163">
        <f t="shared" si="72"/>
        <v>0</v>
      </c>
      <c r="K730" s="155">
        <f t="shared" si="73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74"/>
        <v>0</v>
      </c>
      <c r="O730" s="155">
        <f t="shared" si="75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71"/>
        <v>122100</v>
      </c>
      <c r="J731" s="163">
        <f t="shared" si="72"/>
        <v>0</v>
      </c>
      <c r="K731" s="155">
        <f t="shared" si="73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74"/>
        <v>0</v>
      </c>
      <c r="O731" s="155">
        <f t="shared" si="75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71"/>
        <v>130500</v>
      </c>
      <c r="J732" s="163">
        <f t="shared" si="72"/>
        <v>0</v>
      </c>
      <c r="K732" s="155">
        <f t="shared" si="73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74"/>
        <v>0</v>
      </c>
      <c r="O732" s="155">
        <f t="shared" si="75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71"/>
        <v>0</v>
      </c>
      <c r="J733" s="163">
        <f t="shared" si="72"/>
        <v>0</v>
      </c>
      <c r="K733" s="155">
        <f t="shared" si="73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74"/>
        <v>0</v>
      </c>
      <c r="O733" s="155">
        <f t="shared" si="75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71"/>
        <v>0</v>
      </c>
      <c r="J734" s="163">
        <f t="shared" si="72"/>
        <v>0</v>
      </c>
      <c r="K734" s="155">
        <f t="shared" si="73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74"/>
        <v>0</v>
      </c>
      <c r="O734" s="155">
        <f t="shared" si="75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71"/>
        <v>85500</v>
      </c>
      <c r="J735" s="163">
        <f t="shared" si="72"/>
        <v>0</v>
      </c>
      <c r="K735" s="155">
        <f t="shared" si="73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74"/>
        <v>0</v>
      </c>
      <c r="O735" s="155">
        <f t="shared" si="75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71"/>
        <v>64700</v>
      </c>
      <c r="J736" s="163">
        <f t="shared" si="72"/>
        <v>0</v>
      </c>
      <c r="K736" s="155">
        <f t="shared" si="73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74"/>
        <v>0</v>
      </c>
      <c r="O736" s="155">
        <f t="shared" si="75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71"/>
        <v>105500</v>
      </c>
      <c r="J737" s="163">
        <f t="shared" si="72"/>
        <v>0</v>
      </c>
      <c r="K737" s="155">
        <f t="shared" si="73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74"/>
        <v>0</v>
      </c>
      <c r="O737" s="155">
        <f t="shared" si="75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71"/>
        <v>110000</v>
      </c>
      <c r="J738" s="163">
        <f t="shared" si="72"/>
        <v>0</v>
      </c>
      <c r="K738" s="155">
        <f t="shared" si="73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74"/>
        <v>0</v>
      </c>
      <c r="O738" s="155">
        <f t="shared" si="75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71"/>
        <v>141700</v>
      </c>
      <c r="J739" s="163">
        <f t="shared" si="72"/>
        <v>0</v>
      </c>
      <c r="K739" s="155">
        <f t="shared" si="73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74"/>
        <v>0</v>
      </c>
      <c r="O739" s="155">
        <f t="shared" si="75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71"/>
        <v>214400</v>
      </c>
      <c r="J740" s="163">
        <f t="shared" si="72"/>
        <v>0</v>
      </c>
      <c r="K740" s="155">
        <f t="shared" si="73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74"/>
        <v>0</v>
      </c>
      <c r="O740" s="155">
        <f t="shared" si="75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71"/>
        <v>0</v>
      </c>
      <c r="J741" s="163">
        <f t="shared" si="72"/>
        <v>0</v>
      </c>
      <c r="K741" s="155">
        <f t="shared" si="73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74"/>
        <v>0</v>
      </c>
      <c r="O741" s="155">
        <f t="shared" si="75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71"/>
        <v>0</v>
      </c>
      <c r="J742" s="163">
        <f t="shared" si="72"/>
        <v>0</v>
      </c>
      <c r="K742" s="155">
        <f t="shared" si="73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74"/>
        <v>0</v>
      </c>
      <c r="O742" s="155">
        <f t="shared" si="75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71"/>
        <v>99400</v>
      </c>
      <c r="J743" s="163">
        <f t="shared" si="72"/>
        <v>0</v>
      </c>
      <c r="K743" s="155">
        <f t="shared" si="73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74"/>
        <v>0</v>
      </c>
      <c r="O743" s="155">
        <f t="shared" si="75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71"/>
        <v>99400</v>
      </c>
      <c r="J744" s="163">
        <f t="shared" si="72"/>
        <v>0</v>
      </c>
      <c r="K744" s="155">
        <f t="shared" si="73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74"/>
        <v>0</v>
      </c>
      <c r="O744" s="155">
        <f t="shared" si="75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71"/>
        <v>99100</v>
      </c>
      <c r="J745" s="163">
        <f t="shared" si="72"/>
        <v>0</v>
      </c>
      <c r="K745" s="155">
        <f t="shared" si="73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74"/>
        <v>0</v>
      </c>
      <c r="O745" s="155">
        <f t="shared" si="75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71"/>
        <v>105000</v>
      </c>
      <c r="J746" s="163">
        <f t="shared" si="72"/>
        <v>0</v>
      </c>
      <c r="K746" s="155">
        <f t="shared" si="73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74"/>
        <v>0</v>
      </c>
      <c r="O746" s="155">
        <f t="shared" si="75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71"/>
        <v>111000</v>
      </c>
      <c r="J747" s="163">
        <f t="shared" si="72"/>
        <v>0</v>
      </c>
      <c r="K747" s="155">
        <f t="shared" si="73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74"/>
        <v>0</v>
      </c>
      <c r="O747" s="155">
        <f t="shared" si="75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71"/>
        <v>81300</v>
      </c>
      <c r="J748" s="163">
        <f t="shared" si="72"/>
        <v>0</v>
      </c>
      <c r="K748" s="155">
        <f t="shared" si="73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74"/>
        <v>0</v>
      </c>
      <c r="O748" s="155">
        <f t="shared" si="75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76">IF($I$5=$G$4,G749,(IF($I$5=$F$4,F749,0)))</f>
        <v>84900</v>
      </c>
      <c r="J749" s="163">
        <f t="shared" si="72"/>
        <v>0</v>
      </c>
      <c r="K749" s="155">
        <f t="shared" si="73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74"/>
        <v>0</v>
      </c>
      <c r="O749" s="155">
        <f t="shared" si="75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76"/>
        <v>94400</v>
      </c>
      <c r="J750" s="163">
        <f t="shared" si="72"/>
        <v>0</v>
      </c>
      <c r="K750" s="155">
        <f t="shared" si="73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74"/>
        <v>0</v>
      </c>
      <c r="O750" s="155">
        <f t="shared" si="75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76"/>
        <v>106300</v>
      </c>
      <c r="J751" s="163">
        <f t="shared" si="72"/>
        <v>0</v>
      </c>
      <c r="K751" s="155">
        <f t="shared" si="73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74"/>
        <v>0</v>
      </c>
      <c r="O751" s="155">
        <f t="shared" si="75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76"/>
        <v>104200</v>
      </c>
      <c r="J752" s="163">
        <f t="shared" si="72"/>
        <v>0</v>
      </c>
      <c r="K752" s="155">
        <f t="shared" si="73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74"/>
        <v>0</v>
      </c>
      <c r="O752" s="155">
        <f t="shared" si="75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76"/>
        <v>104200</v>
      </c>
      <c r="J753" s="163">
        <f t="shared" si="72"/>
        <v>0</v>
      </c>
      <c r="K753" s="155">
        <f t="shared" si="73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74"/>
        <v>0</v>
      </c>
      <c r="O753" s="155">
        <f t="shared" si="75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76"/>
        <v>132200</v>
      </c>
      <c r="J754" s="163">
        <f t="shared" si="72"/>
        <v>0</v>
      </c>
      <c r="K754" s="155">
        <f t="shared" si="73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74"/>
        <v>0</v>
      </c>
      <c r="O754" s="155">
        <f t="shared" si="75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76"/>
        <v>121300</v>
      </c>
      <c r="J755" s="163">
        <f t="shared" si="72"/>
        <v>0</v>
      </c>
      <c r="K755" s="155">
        <f t="shared" si="73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74"/>
        <v>0</v>
      </c>
      <c r="O755" s="155">
        <f t="shared" si="75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76"/>
        <v>82500</v>
      </c>
      <c r="J756" s="163">
        <f t="shared" si="72"/>
        <v>0</v>
      </c>
      <c r="K756" s="155">
        <f t="shared" si="73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74"/>
        <v>0</v>
      </c>
      <c r="O756" s="155">
        <f t="shared" si="75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76"/>
        <v>106900</v>
      </c>
      <c r="J757" s="163">
        <f t="shared" si="72"/>
        <v>0</v>
      </c>
      <c r="K757" s="155">
        <f t="shared" si="73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74"/>
        <v>0</v>
      </c>
      <c r="O757" s="155">
        <f t="shared" si="75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76"/>
        <v>109200</v>
      </c>
      <c r="J758" s="163">
        <f t="shared" si="72"/>
        <v>0</v>
      </c>
      <c r="K758" s="155">
        <f t="shared" si="73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74"/>
        <v>0</v>
      </c>
      <c r="O758" s="155">
        <f t="shared" si="75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76"/>
        <v>96900</v>
      </c>
      <c r="J759" s="163">
        <f t="shared" si="72"/>
        <v>0</v>
      </c>
      <c r="K759" s="155">
        <f t="shared" si="73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74"/>
        <v>0</v>
      </c>
      <c r="O759" s="155">
        <f t="shared" si="75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76"/>
        <v>128100</v>
      </c>
      <c r="J760" s="163">
        <f t="shared" si="72"/>
        <v>0</v>
      </c>
      <c r="K760" s="155">
        <f t="shared" si="73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74"/>
        <v>0</v>
      </c>
      <c r="O760" s="155">
        <f t="shared" si="75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76"/>
        <v>104400</v>
      </c>
      <c r="J761" s="163">
        <f t="shared" si="72"/>
        <v>0</v>
      </c>
      <c r="K761" s="155">
        <f t="shared" si="73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74"/>
        <v>0</v>
      </c>
      <c r="O761" s="155">
        <f t="shared" si="75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76"/>
        <v>214400</v>
      </c>
      <c r="J762" s="163">
        <f t="shared" si="72"/>
        <v>0</v>
      </c>
      <c r="K762" s="155">
        <f t="shared" si="73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74"/>
        <v>0</v>
      </c>
      <c r="O762" s="155">
        <f t="shared" si="75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76"/>
        <v>122500</v>
      </c>
      <c r="J763" s="163">
        <f t="shared" si="72"/>
        <v>0</v>
      </c>
      <c r="K763" s="155">
        <f t="shared" si="73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74"/>
        <v>0</v>
      </c>
      <c r="O763" s="155">
        <f t="shared" si="75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76"/>
        <v>134700</v>
      </c>
      <c r="J764" s="163">
        <f t="shared" si="72"/>
        <v>0</v>
      </c>
      <c r="K764" s="155">
        <f t="shared" si="73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74"/>
        <v>0</v>
      </c>
      <c r="O764" s="155">
        <f t="shared" si="75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76"/>
        <v>158500</v>
      </c>
      <c r="J765" s="163">
        <f t="shared" si="72"/>
        <v>0</v>
      </c>
      <c r="K765" s="155">
        <f t="shared" si="73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74"/>
        <v>0</v>
      </c>
      <c r="O765" s="155">
        <f t="shared" si="75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72"/>
        <v>0</v>
      </c>
      <c r="K766" s="155">
        <f t="shared" si="73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74"/>
        <v>0</v>
      </c>
      <c r="O766" s="155">
        <f t="shared" si="75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76"/>
        <v>103500</v>
      </c>
      <c r="J767" s="163">
        <f t="shared" si="72"/>
        <v>0</v>
      </c>
      <c r="K767" s="155">
        <f t="shared" si="73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74"/>
        <v>0</v>
      </c>
      <c r="O767" s="155">
        <f t="shared" si="75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76"/>
        <v>108700</v>
      </c>
      <c r="J768" s="163">
        <f t="shared" si="72"/>
        <v>0</v>
      </c>
      <c r="K768" s="155">
        <f t="shared" si="73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74"/>
        <v>0</v>
      </c>
      <c r="O768" s="155">
        <f t="shared" si="75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76"/>
        <v>111100</v>
      </c>
      <c r="J769" s="163">
        <f t="shared" si="72"/>
        <v>0</v>
      </c>
      <c r="K769" s="155">
        <f t="shared" si="73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74"/>
        <v>0</v>
      </c>
      <c r="O769" s="155">
        <f t="shared" si="75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76"/>
        <v>254900</v>
      </c>
      <c r="J770" s="163">
        <f t="shared" si="72"/>
        <v>0</v>
      </c>
      <c r="K770" s="155">
        <f t="shared" si="73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74"/>
        <v>0</v>
      </c>
      <c r="O770" s="155">
        <f t="shared" si="75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76"/>
        <v>197500</v>
      </c>
      <c r="J771" s="163">
        <f t="shared" si="72"/>
        <v>0</v>
      </c>
      <c r="K771" s="155">
        <f t="shared" si="73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74"/>
        <v>0</v>
      </c>
      <c r="O771" s="155">
        <f t="shared" si="75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76"/>
        <v>261100</v>
      </c>
      <c r="J772" s="163">
        <f t="shared" si="72"/>
        <v>0</v>
      </c>
      <c r="K772" s="155">
        <f t="shared" si="73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74"/>
        <v>0</v>
      </c>
      <c r="O772" s="155">
        <f t="shared" si="75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76"/>
        <v>197500</v>
      </c>
      <c r="J773" s="163">
        <f t="shared" si="72"/>
        <v>0</v>
      </c>
      <c r="K773" s="155">
        <f t="shared" si="73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74"/>
        <v>0</v>
      </c>
      <c r="O773" s="155">
        <f t="shared" si="75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76"/>
        <v>218400</v>
      </c>
      <c r="J774" s="163">
        <f t="shared" si="72"/>
        <v>0</v>
      </c>
      <c r="K774" s="155">
        <f t="shared" si="73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74"/>
        <v>0</v>
      </c>
      <c r="O774" s="155">
        <f t="shared" si="75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76"/>
        <v>222500</v>
      </c>
      <c r="J775" s="163">
        <f t="shared" si="72"/>
        <v>0</v>
      </c>
      <c r="K775" s="155">
        <f t="shared" si="73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74"/>
        <v>0</v>
      </c>
      <c r="O775" s="155">
        <f t="shared" si="75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76"/>
        <v>173300</v>
      </c>
      <c r="J776" s="163">
        <f t="shared" si="72"/>
        <v>0</v>
      </c>
      <c r="K776" s="155">
        <f t="shared" si="73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74"/>
        <v>0</v>
      </c>
      <c r="O776" s="155">
        <f t="shared" si="75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76"/>
        <v>279500</v>
      </c>
      <c r="J777" s="163">
        <f t="shared" si="72"/>
        <v>0</v>
      </c>
      <c r="K777" s="155">
        <f t="shared" si="73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74"/>
        <v>0</v>
      </c>
      <c r="O777" s="155">
        <f t="shared" si="75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76"/>
        <v>111200</v>
      </c>
      <c r="J778" s="163">
        <f t="shared" si="72"/>
        <v>0</v>
      </c>
      <c r="K778" s="155">
        <f t="shared" si="7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74"/>
        <v>0</v>
      </c>
      <c r="O778" s="155">
        <f t="shared" si="75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76"/>
        <v>111200</v>
      </c>
      <c r="J779" s="163">
        <f t="shared" si="72"/>
        <v>0</v>
      </c>
      <c r="K779" s="155">
        <f t="shared" si="7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74"/>
        <v>0</v>
      </c>
      <c r="O779" s="155">
        <f t="shared" si="75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76"/>
        <v>89800</v>
      </c>
      <c r="J780" s="163">
        <f t="shared" ref="J780:J843" si="77">IF(D780="MDU-KD",1,0)</f>
        <v>0</v>
      </c>
      <c r="K780" s="155">
        <f t="shared" ref="K780:K843" si="78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79">IF(L780=0,M780,L780)</f>
        <v>0</v>
      </c>
      <c r="O780" s="155">
        <f t="shared" ref="O780:O843" si="80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76"/>
        <v>134800</v>
      </c>
      <c r="J781" s="163">
        <f t="shared" si="77"/>
        <v>0</v>
      </c>
      <c r="K781" s="155">
        <f t="shared" si="7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79"/>
        <v>0</v>
      </c>
      <c r="O781" s="155">
        <f t="shared" si="80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76"/>
        <v>134800</v>
      </c>
      <c r="J782" s="163">
        <f t="shared" si="77"/>
        <v>0</v>
      </c>
      <c r="K782" s="155">
        <f t="shared" si="7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79"/>
        <v>0</v>
      </c>
      <c r="O782" s="155">
        <f t="shared" si="80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76"/>
        <v>102600</v>
      </c>
      <c r="J783" s="163">
        <f t="shared" si="77"/>
        <v>0</v>
      </c>
      <c r="K783" s="155">
        <f t="shared" si="7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79"/>
        <v>0</v>
      </c>
      <c r="O783" s="155">
        <f t="shared" si="80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76"/>
        <v>136300</v>
      </c>
      <c r="J784" s="163">
        <f t="shared" si="77"/>
        <v>0</v>
      </c>
      <c r="K784" s="155">
        <f t="shared" si="7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79"/>
        <v>0</v>
      </c>
      <c r="O784" s="155">
        <f t="shared" si="80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76"/>
        <v>140800</v>
      </c>
      <c r="J785" s="163">
        <f t="shared" si="77"/>
        <v>0</v>
      </c>
      <c r="K785" s="155">
        <f t="shared" si="7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79"/>
        <v>0</v>
      </c>
      <c r="O785" s="155">
        <f t="shared" si="80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76"/>
        <v>109700</v>
      </c>
      <c r="J786" s="163">
        <f t="shared" si="77"/>
        <v>0</v>
      </c>
      <c r="K786" s="155">
        <f t="shared" si="7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79"/>
        <v>0</v>
      </c>
      <c r="O786" s="155">
        <f t="shared" si="80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76"/>
        <v>0</v>
      </c>
      <c r="J787" s="163">
        <f t="shared" si="77"/>
        <v>0</v>
      </c>
      <c r="K787" s="155">
        <f t="shared" si="78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79"/>
        <v>0</v>
      </c>
      <c r="O787" s="155">
        <f t="shared" si="80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76"/>
        <v>0</v>
      </c>
      <c r="J788" s="163">
        <f t="shared" si="77"/>
        <v>0</v>
      </c>
      <c r="K788" s="155">
        <f t="shared" si="78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79"/>
        <v>0</v>
      </c>
      <c r="O788" s="155">
        <f t="shared" si="80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76"/>
        <v>197700</v>
      </c>
      <c r="J789" s="163">
        <f t="shared" si="77"/>
        <v>0</v>
      </c>
      <c r="K789" s="155">
        <f t="shared" si="78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79"/>
        <v>0</v>
      </c>
      <c r="O789" s="155">
        <f t="shared" si="80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76"/>
        <v>201000</v>
      </c>
      <c r="J790" s="163">
        <f t="shared" si="77"/>
        <v>0</v>
      </c>
      <c r="K790" s="155">
        <f t="shared" si="78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79"/>
        <v>0</v>
      </c>
      <c r="O790" s="155">
        <f t="shared" si="80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76"/>
        <v>201000</v>
      </c>
      <c r="J791" s="163">
        <f t="shared" si="77"/>
        <v>0</v>
      </c>
      <c r="K791" s="155">
        <f t="shared" si="78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79"/>
        <v>0</v>
      </c>
      <c r="O791" s="155">
        <f t="shared" si="80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76"/>
        <v>210800</v>
      </c>
      <c r="J792" s="163">
        <f t="shared" si="77"/>
        <v>0</v>
      </c>
      <c r="K792" s="155">
        <f t="shared" si="78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79"/>
        <v>0</v>
      </c>
      <c r="O792" s="155">
        <f t="shared" si="80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76"/>
        <v>210800</v>
      </c>
      <c r="J793" s="163">
        <f t="shared" si="77"/>
        <v>0</v>
      </c>
      <c r="K793" s="155">
        <f t="shared" si="78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79"/>
        <v>0</v>
      </c>
      <c r="O793" s="155">
        <f t="shared" si="80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76"/>
        <v>256400</v>
      </c>
      <c r="J794" s="163">
        <f t="shared" si="77"/>
        <v>0</v>
      </c>
      <c r="K794" s="155">
        <f t="shared" si="78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79"/>
        <v>0</v>
      </c>
      <c r="O794" s="155">
        <f t="shared" si="80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76"/>
        <v>253500</v>
      </c>
      <c r="J795" s="163">
        <f t="shared" si="77"/>
        <v>0</v>
      </c>
      <c r="K795" s="155">
        <f t="shared" si="78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79"/>
        <v>0</v>
      </c>
      <c r="O795" s="155">
        <f t="shared" si="80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76"/>
        <v>253500</v>
      </c>
      <c r="J796" s="163">
        <f t="shared" si="77"/>
        <v>0</v>
      </c>
      <c r="K796" s="155">
        <f t="shared" si="78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79"/>
        <v>0</v>
      </c>
      <c r="O796" s="155">
        <f t="shared" si="80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76"/>
        <v>253500</v>
      </c>
      <c r="J797" s="163">
        <f t="shared" si="77"/>
        <v>0</v>
      </c>
      <c r="K797" s="155">
        <f t="shared" si="78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79"/>
        <v>0</v>
      </c>
      <c r="O797" s="155">
        <f t="shared" si="80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76"/>
        <v>253500</v>
      </c>
      <c r="J798" s="163">
        <f t="shared" si="77"/>
        <v>0</v>
      </c>
      <c r="K798" s="155">
        <f t="shared" si="78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79"/>
        <v>0</v>
      </c>
      <c r="O798" s="155">
        <f t="shared" si="80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76"/>
        <v>259800</v>
      </c>
      <c r="J799" s="163">
        <f t="shared" si="77"/>
        <v>0</v>
      </c>
      <c r="K799" s="155">
        <f t="shared" si="78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79"/>
        <v>0</v>
      </c>
      <c r="O799" s="155">
        <f t="shared" si="80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76"/>
        <v>285900</v>
      </c>
      <c r="J800" s="163">
        <f t="shared" si="77"/>
        <v>0</v>
      </c>
      <c r="K800" s="155">
        <f t="shared" si="78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79"/>
        <v>0</v>
      </c>
      <c r="O800" s="155">
        <f t="shared" si="80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76"/>
        <v>428800</v>
      </c>
      <c r="J801" s="163">
        <f t="shared" si="77"/>
        <v>0</v>
      </c>
      <c r="K801" s="155">
        <f t="shared" si="78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79"/>
        <v>0</v>
      </c>
      <c r="O801" s="155">
        <f t="shared" si="80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76"/>
        <v>428800</v>
      </c>
      <c r="J802" s="163">
        <f t="shared" si="77"/>
        <v>0</v>
      </c>
      <c r="K802" s="155">
        <f t="shared" si="78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79"/>
        <v>0</v>
      </c>
      <c r="O802" s="155">
        <f t="shared" si="80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76"/>
        <v>0</v>
      </c>
      <c r="J803" s="163">
        <f t="shared" si="77"/>
        <v>0</v>
      </c>
      <c r="K803" s="155">
        <f t="shared" si="78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79"/>
        <v>0</v>
      </c>
      <c r="O803" s="155">
        <f t="shared" si="80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77"/>
        <v>0</v>
      </c>
      <c r="K804" s="155">
        <f t="shared" si="78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79"/>
        <v>0</v>
      </c>
      <c r="O804" s="155">
        <f t="shared" si="80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76"/>
        <v>42800</v>
      </c>
      <c r="J805" s="163">
        <f t="shared" si="77"/>
        <v>0</v>
      </c>
      <c r="K805" s="155">
        <f t="shared" si="78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79"/>
        <v>0</v>
      </c>
      <c r="O805" s="155">
        <f t="shared" si="80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76"/>
        <v>48100</v>
      </c>
      <c r="J806" s="163">
        <f t="shared" si="77"/>
        <v>0</v>
      </c>
      <c r="K806" s="155">
        <f t="shared" si="78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79"/>
        <v>0</v>
      </c>
      <c r="O806" s="155">
        <f t="shared" si="80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76"/>
        <v>55300</v>
      </c>
      <c r="J807" s="163">
        <f t="shared" si="77"/>
        <v>0</v>
      </c>
      <c r="K807" s="155">
        <f t="shared" si="78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79"/>
        <v>0</v>
      </c>
      <c r="O807" s="155">
        <f t="shared" si="80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76"/>
        <v>51500</v>
      </c>
      <c r="J808" s="163">
        <f t="shared" si="77"/>
        <v>0</v>
      </c>
      <c r="K808" s="155">
        <f t="shared" si="78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79"/>
        <v>0</v>
      </c>
      <c r="O808" s="155">
        <f t="shared" si="80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81">IF($I$5=$G$4,G809,(IF($I$5=$F$4,F809,0)))</f>
        <v>67900</v>
      </c>
      <c r="J809" s="163">
        <f t="shared" si="77"/>
        <v>0</v>
      </c>
      <c r="K809" s="155">
        <f t="shared" si="78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79"/>
        <v>0</v>
      </c>
      <c r="O809" s="155">
        <f t="shared" si="80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81"/>
        <v>56700</v>
      </c>
      <c r="J810" s="163">
        <f t="shared" si="77"/>
        <v>0</v>
      </c>
      <c r="K810" s="155">
        <f t="shared" si="78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79"/>
        <v>0</v>
      </c>
      <c r="O810" s="155">
        <f t="shared" si="80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81"/>
        <v>596900</v>
      </c>
      <c r="J811" s="163">
        <f t="shared" si="77"/>
        <v>0</v>
      </c>
      <c r="K811" s="155">
        <f t="shared" si="78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79"/>
        <v>0</v>
      </c>
      <c r="O811" s="155">
        <f t="shared" si="80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81"/>
        <v>401500</v>
      </c>
      <c r="J812" s="163">
        <f t="shared" si="77"/>
        <v>0</v>
      </c>
      <c r="K812" s="155">
        <f t="shared" si="78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79"/>
        <v>0</v>
      </c>
      <c r="O812" s="155">
        <f t="shared" si="80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81"/>
        <v>0</v>
      </c>
      <c r="J813" s="163">
        <f t="shared" si="77"/>
        <v>0</v>
      </c>
      <c r="K813" s="155">
        <f t="shared" si="78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79"/>
        <v>0</v>
      </c>
      <c r="O813" s="155">
        <f t="shared" si="80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81"/>
        <v>0</v>
      </c>
      <c r="J814" s="163">
        <f t="shared" si="77"/>
        <v>0</v>
      </c>
      <c r="K814" s="155">
        <f t="shared" si="78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79"/>
        <v>0</v>
      </c>
      <c r="O814" s="155">
        <f t="shared" si="80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76"/>
        <v>56400</v>
      </c>
      <c r="J815" s="163">
        <f t="shared" si="77"/>
        <v>0</v>
      </c>
      <c r="K815" s="155">
        <f t="shared" si="78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79"/>
        <v>0</v>
      </c>
      <c r="O815" s="155">
        <f t="shared" si="80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76"/>
        <v>65400</v>
      </c>
      <c r="J816" s="163">
        <f t="shared" si="77"/>
        <v>0</v>
      </c>
      <c r="K816" s="155">
        <f t="shared" si="78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79"/>
        <v>0</v>
      </c>
      <c r="O816" s="155">
        <f t="shared" si="80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76"/>
        <v>16200</v>
      </c>
      <c r="J817" s="163">
        <f t="shared" si="77"/>
        <v>0</v>
      </c>
      <c r="K817" s="155">
        <f t="shared" si="78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79"/>
        <v>0</v>
      </c>
      <c r="O817" s="155">
        <f t="shared" si="80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76"/>
        <v>21200</v>
      </c>
      <c r="J818" s="163">
        <f t="shared" si="77"/>
        <v>0</v>
      </c>
      <c r="K818" s="155">
        <f t="shared" si="78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79"/>
        <v>0</v>
      </c>
      <c r="O818" s="155">
        <f t="shared" si="80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76"/>
        <v>173100</v>
      </c>
      <c r="J819" s="163">
        <f t="shared" si="77"/>
        <v>0</v>
      </c>
      <c r="K819" s="155">
        <f t="shared" si="78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79"/>
        <v>0</v>
      </c>
      <c r="O819" s="155">
        <f t="shared" si="80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76"/>
        <v>1539900</v>
      </c>
      <c r="J820" s="163">
        <f t="shared" si="77"/>
        <v>0</v>
      </c>
      <c r="K820" s="155">
        <f t="shared" si="78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79"/>
        <v>0</v>
      </c>
      <c r="O820" s="155">
        <f t="shared" si="80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76"/>
        <v>31200</v>
      </c>
      <c r="J821" s="163">
        <f t="shared" si="77"/>
        <v>0</v>
      </c>
      <c r="K821" s="155">
        <f t="shared" si="78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79"/>
        <v>0</v>
      </c>
      <c r="O821" s="155">
        <f t="shared" si="80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76"/>
        <v>26500</v>
      </c>
      <c r="J822" s="163">
        <f t="shared" si="77"/>
        <v>0</v>
      </c>
      <c r="K822" s="155">
        <f t="shared" si="78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79"/>
        <v>0</v>
      </c>
      <c r="O822" s="155">
        <f t="shared" si="80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76"/>
        <v>31200</v>
      </c>
      <c r="J823" s="163">
        <f t="shared" si="77"/>
        <v>0</v>
      </c>
      <c r="K823" s="155">
        <f t="shared" si="78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79"/>
        <v>0</v>
      </c>
      <c r="O823" s="155">
        <f t="shared" si="80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76"/>
        <v>31200</v>
      </c>
      <c r="J824" s="163">
        <f t="shared" si="77"/>
        <v>0</v>
      </c>
      <c r="K824" s="155">
        <f t="shared" si="78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79"/>
        <v>0</v>
      </c>
      <c r="O824" s="155">
        <f t="shared" si="80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76"/>
        <v>58400</v>
      </c>
      <c r="J825" s="163">
        <f t="shared" si="77"/>
        <v>0</v>
      </c>
      <c r="K825" s="155">
        <f t="shared" si="78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79"/>
        <v>0</v>
      </c>
      <c r="O825" s="155">
        <f t="shared" si="80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76"/>
        <v>48800</v>
      </c>
      <c r="J826" s="163">
        <f t="shared" si="77"/>
        <v>0</v>
      </c>
      <c r="K826" s="155">
        <f t="shared" si="78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79"/>
        <v>0</v>
      </c>
      <c r="O826" s="155">
        <f t="shared" si="80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82">IF($I$5=$G$4,G827,(IF($I$5=$F$4,F827,0)))</f>
        <v>58400</v>
      </c>
      <c r="J827" s="163">
        <f t="shared" si="77"/>
        <v>0</v>
      </c>
      <c r="K827" s="155">
        <f t="shared" si="78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79"/>
        <v>0</v>
      </c>
      <c r="O827" s="155">
        <f t="shared" si="80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82"/>
        <v>58400</v>
      </c>
      <c r="J828" s="163">
        <f t="shared" si="77"/>
        <v>0</v>
      </c>
      <c r="K828" s="155">
        <f t="shared" si="78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79"/>
        <v>0</v>
      </c>
      <c r="O828" s="155">
        <f t="shared" si="80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82"/>
        <v>45900</v>
      </c>
      <c r="J829" s="163">
        <f t="shared" si="77"/>
        <v>0</v>
      </c>
      <c r="K829" s="155">
        <f t="shared" si="78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79"/>
        <v>0</v>
      </c>
      <c r="O829" s="155">
        <f t="shared" si="80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82"/>
        <v>43100</v>
      </c>
      <c r="J830" s="163">
        <f t="shared" si="77"/>
        <v>0</v>
      </c>
      <c r="K830" s="155">
        <f t="shared" si="78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79"/>
        <v>0</v>
      </c>
      <c r="O830" s="155">
        <f t="shared" si="80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82"/>
        <v>68300</v>
      </c>
      <c r="J831" s="163">
        <f t="shared" si="77"/>
        <v>0</v>
      </c>
      <c r="K831" s="155">
        <f t="shared" si="78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79"/>
        <v>0</v>
      </c>
      <c r="O831" s="155">
        <f t="shared" si="80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82"/>
        <v>48800</v>
      </c>
      <c r="J832" s="163">
        <f t="shared" si="77"/>
        <v>0</v>
      </c>
      <c r="K832" s="155">
        <f t="shared" si="78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79"/>
        <v>0</v>
      </c>
      <c r="O832" s="155">
        <f t="shared" si="80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82"/>
        <v>3843100</v>
      </c>
      <c r="J833" s="163">
        <f t="shared" si="77"/>
        <v>0</v>
      </c>
      <c r="K833" s="155">
        <f t="shared" si="78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79"/>
        <v>0</v>
      </c>
      <c r="O833" s="155">
        <f t="shared" si="80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82"/>
        <v>47200</v>
      </c>
      <c r="J834" s="163">
        <f t="shared" si="77"/>
        <v>0</v>
      </c>
      <c r="K834" s="155">
        <f t="shared" si="78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79"/>
        <v>0</v>
      </c>
      <c r="O834" s="155">
        <f t="shared" si="80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82"/>
        <v>69000</v>
      </c>
      <c r="J835" s="163">
        <f t="shared" si="77"/>
        <v>0</v>
      </c>
      <c r="K835" s="155">
        <f t="shared" si="78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79"/>
        <v>0</v>
      </c>
      <c r="O835" s="155">
        <f t="shared" si="80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82"/>
        <v>31300</v>
      </c>
      <c r="J836" s="163">
        <f t="shared" si="77"/>
        <v>0</v>
      </c>
      <c r="K836" s="155">
        <f t="shared" si="78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79"/>
        <v>0</v>
      </c>
      <c r="O836" s="155">
        <f t="shared" si="80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82"/>
        <v>45600</v>
      </c>
      <c r="J837" s="163">
        <f t="shared" si="77"/>
        <v>0</v>
      </c>
      <c r="K837" s="155">
        <f t="shared" si="78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79"/>
        <v>0</v>
      </c>
      <c r="O837" s="155">
        <f t="shared" si="80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82"/>
        <v>43500</v>
      </c>
      <c r="J838" s="163">
        <f t="shared" si="77"/>
        <v>0</v>
      </c>
      <c r="K838" s="155">
        <f t="shared" si="78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79"/>
        <v>0</v>
      </c>
      <c r="O838" s="155">
        <f t="shared" si="80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82"/>
        <v>43500</v>
      </c>
      <c r="J839" s="163">
        <f t="shared" si="77"/>
        <v>0</v>
      </c>
      <c r="K839" s="155">
        <f t="shared" si="78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79"/>
        <v>0</v>
      </c>
      <c r="O839" s="155">
        <f t="shared" si="80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82"/>
        <v>36600</v>
      </c>
      <c r="J840" s="163">
        <f t="shared" si="77"/>
        <v>0</v>
      </c>
      <c r="K840" s="155">
        <f t="shared" si="78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79"/>
        <v>0</v>
      </c>
      <c r="O840" s="155">
        <f t="shared" si="80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82"/>
        <v>60500</v>
      </c>
      <c r="J841" s="163">
        <f t="shared" si="77"/>
        <v>0</v>
      </c>
      <c r="K841" s="155">
        <f t="shared" si="78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79"/>
        <v>0</v>
      </c>
      <c r="O841" s="155">
        <f t="shared" si="80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82"/>
        <v>60500</v>
      </c>
      <c r="J842" s="163">
        <f t="shared" si="77"/>
        <v>0</v>
      </c>
      <c r="K842" s="155">
        <f t="shared" si="78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9"/>
        <v>0</v>
      </c>
      <c r="O842" s="155">
        <f t="shared" si="80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82"/>
        <v>60500</v>
      </c>
      <c r="J843" s="163">
        <f t="shared" si="77"/>
        <v>0</v>
      </c>
      <c r="K843" s="155">
        <f t="shared" si="78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9"/>
        <v>0</v>
      </c>
      <c r="O843" s="155">
        <f t="shared" si="80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82"/>
        <v>169600</v>
      </c>
      <c r="J844" s="163">
        <f t="shared" ref="J844:J907" si="83">IF(D844="MDU-KD",1,0)</f>
        <v>0</v>
      </c>
      <c r="K844" s="155">
        <f t="shared" ref="K844:K907" si="84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85">IF(L844=0,M844,L844)</f>
        <v>0</v>
      </c>
      <c r="O844" s="155">
        <f t="shared" ref="O844:O907" si="86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82"/>
        <v>169600</v>
      </c>
      <c r="J845" s="163">
        <f t="shared" si="83"/>
        <v>0</v>
      </c>
      <c r="K845" s="155">
        <f t="shared" si="84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85"/>
        <v>0</v>
      </c>
      <c r="O845" s="155">
        <f t="shared" si="86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82"/>
        <v>64700</v>
      </c>
      <c r="J846" s="163">
        <f t="shared" si="83"/>
        <v>0</v>
      </c>
      <c r="K846" s="155">
        <f t="shared" si="84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85"/>
        <v>0</v>
      </c>
      <c r="O846" s="155">
        <f t="shared" si="86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82"/>
        <v>55500</v>
      </c>
      <c r="J847" s="163">
        <f t="shared" si="83"/>
        <v>0</v>
      </c>
      <c r="K847" s="155">
        <f t="shared" si="84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85"/>
        <v>0</v>
      </c>
      <c r="O847" s="155">
        <f t="shared" si="86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82"/>
        <v>55500</v>
      </c>
      <c r="J848" s="163">
        <f t="shared" si="83"/>
        <v>0</v>
      </c>
      <c r="K848" s="155">
        <f t="shared" si="84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85"/>
        <v>0</v>
      </c>
      <c r="O848" s="155">
        <f t="shared" si="86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82"/>
        <v>762100</v>
      </c>
      <c r="J849" s="163">
        <f t="shared" si="83"/>
        <v>0</v>
      </c>
      <c r="K849" s="155">
        <f t="shared" si="84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85"/>
        <v>0</v>
      </c>
      <c r="O849" s="155">
        <f t="shared" si="86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82"/>
        <v>14900</v>
      </c>
      <c r="J850" s="163">
        <f t="shared" si="83"/>
        <v>0</v>
      </c>
      <c r="K850" s="155">
        <f t="shared" si="84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85"/>
        <v>0</v>
      </c>
      <c r="O850" s="155">
        <f t="shared" si="86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82"/>
        <v>614700</v>
      </c>
      <c r="J851" s="163">
        <f t="shared" si="83"/>
        <v>0</v>
      </c>
      <c r="K851" s="155">
        <f t="shared" si="84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85"/>
        <v>0</v>
      </c>
      <c r="O851" s="155">
        <f t="shared" si="86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82"/>
        <v>829000</v>
      </c>
      <c r="J852" s="163">
        <f t="shared" si="83"/>
        <v>0</v>
      </c>
      <c r="K852" s="155">
        <f t="shared" si="84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85"/>
        <v>0</v>
      </c>
      <c r="O852" s="155">
        <f t="shared" si="86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82"/>
        <v>179200</v>
      </c>
      <c r="J853" s="163">
        <f t="shared" si="83"/>
        <v>0</v>
      </c>
      <c r="K853" s="155">
        <f t="shared" si="84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85"/>
        <v>0</v>
      </c>
      <c r="O853" s="155">
        <f t="shared" si="86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82"/>
        <v>14370.766666666666</v>
      </c>
      <c r="J854" s="163">
        <f t="shared" si="83"/>
        <v>0</v>
      </c>
      <c r="K854" s="155">
        <f t="shared" si="84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85"/>
        <v>0</v>
      </c>
      <c r="O854" s="155">
        <f t="shared" si="86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82"/>
        <v>0</v>
      </c>
      <c r="J855" s="163">
        <f t="shared" si="83"/>
        <v>0</v>
      </c>
      <c r="K855" s="155">
        <f t="shared" si="84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85"/>
        <v>0</v>
      </c>
      <c r="O855" s="155">
        <f t="shared" si="86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82"/>
        <v>0</v>
      </c>
      <c r="J856" s="163">
        <f t="shared" si="83"/>
        <v>0</v>
      </c>
      <c r="K856" s="155">
        <f t="shared" si="84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85"/>
        <v>0</v>
      </c>
      <c r="O856" s="155">
        <f t="shared" si="86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82"/>
        <v>1568200</v>
      </c>
      <c r="J857" s="163">
        <f t="shared" si="83"/>
        <v>0</v>
      </c>
      <c r="K857" s="155">
        <f t="shared" si="84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85"/>
        <v>0</v>
      </c>
      <c r="O857" s="155">
        <f t="shared" si="86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82"/>
        <v>3467100</v>
      </c>
      <c r="J858" s="163">
        <f t="shared" si="83"/>
        <v>0</v>
      </c>
      <c r="K858" s="155">
        <f t="shared" si="84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85"/>
        <v>0</v>
      </c>
      <c r="O858" s="155">
        <f t="shared" si="86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82"/>
        <v>3467100</v>
      </c>
      <c r="J859" s="163">
        <f t="shared" si="83"/>
        <v>0</v>
      </c>
      <c r="K859" s="155">
        <f t="shared" si="84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85"/>
        <v>0</v>
      </c>
      <c r="O859" s="155">
        <f t="shared" si="86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82"/>
        <v>1515700</v>
      </c>
      <c r="J860" s="163">
        <f t="shared" si="83"/>
        <v>0</v>
      </c>
      <c r="K860" s="155">
        <f t="shared" si="84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85"/>
        <v>0</v>
      </c>
      <c r="O860" s="155">
        <f t="shared" si="86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82"/>
        <v>0</v>
      </c>
      <c r="J861" s="163">
        <f t="shared" si="83"/>
        <v>0</v>
      </c>
      <c r="K861" s="155">
        <f t="shared" si="84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85"/>
        <v>0</v>
      </c>
      <c r="O861" s="155">
        <f t="shared" si="86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82"/>
        <v>0</v>
      </c>
      <c r="J862" s="163">
        <f t="shared" si="83"/>
        <v>0</v>
      </c>
      <c r="K862" s="155">
        <f t="shared" si="84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85"/>
        <v>0</v>
      </c>
      <c r="O862" s="155">
        <f t="shared" si="86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82"/>
        <v>475700</v>
      </c>
      <c r="J863" s="163">
        <f t="shared" si="83"/>
        <v>0</v>
      </c>
      <c r="K863" s="155">
        <f t="shared" si="84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85"/>
        <v>0</v>
      </c>
      <c r="O863" s="155">
        <f t="shared" si="86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82"/>
        <v>475700</v>
      </c>
      <c r="J864" s="163">
        <f t="shared" si="83"/>
        <v>0</v>
      </c>
      <c r="K864" s="155">
        <f t="shared" si="84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85"/>
        <v>0</v>
      </c>
      <c r="O864" s="155">
        <f t="shared" si="86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82"/>
        <v>371300</v>
      </c>
      <c r="J865" s="163">
        <f t="shared" si="83"/>
        <v>0</v>
      </c>
      <c r="K865" s="155">
        <f t="shared" si="84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85"/>
        <v>0</v>
      </c>
      <c r="O865" s="155">
        <f t="shared" si="86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82"/>
        <v>351700</v>
      </c>
      <c r="J866" s="163">
        <f t="shared" si="83"/>
        <v>0</v>
      </c>
      <c r="K866" s="155">
        <f t="shared" si="84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85"/>
        <v>0</v>
      </c>
      <c r="O866" s="155">
        <f t="shared" si="86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82"/>
        <v>300100</v>
      </c>
      <c r="J867" s="163">
        <f t="shared" si="83"/>
        <v>0</v>
      </c>
      <c r="K867" s="155">
        <f t="shared" si="84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85"/>
        <v>0</v>
      </c>
      <c r="O867" s="155">
        <f t="shared" si="86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82"/>
        <v>290900</v>
      </c>
      <c r="J868" s="163">
        <f t="shared" si="83"/>
        <v>0</v>
      </c>
      <c r="K868" s="155">
        <f t="shared" si="84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85"/>
        <v>0</v>
      </c>
      <c r="O868" s="155">
        <f t="shared" si="86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82"/>
        <v>290600</v>
      </c>
      <c r="J869" s="163">
        <f t="shared" si="83"/>
        <v>0</v>
      </c>
      <c r="K869" s="155">
        <f t="shared" si="84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85"/>
        <v>0</v>
      </c>
      <c r="O869" s="155">
        <f t="shared" si="86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83"/>
        <v>0</v>
      </c>
      <c r="K870" s="155">
        <f t="shared" si="84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85"/>
        <v>0</v>
      </c>
      <c r="O870" s="155">
        <f t="shared" si="86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82"/>
        <v>276000</v>
      </c>
      <c r="J871" s="163">
        <f t="shared" si="83"/>
        <v>0</v>
      </c>
      <c r="K871" s="155">
        <f t="shared" si="84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85"/>
        <v>0</v>
      </c>
      <c r="O871" s="155">
        <f t="shared" si="86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82"/>
        <v>268100</v>
      </c>
      <c r="J872" s="163">
        <f t="shared" si="83"/>
        <v>0</v>
      </c>
      <c r="K872" s="155">
        <f t="shared" si="84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85"/>
        <v>0</v>
      </c>
      <c r="O872" s="155">
        <f t="shared" si="86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82"/>
        <v>222400</v>
      </c>
      <c r="J873" s="163">
        <f t="shared" si="83"/>
        <v>0</v>
      </c>
      <c r="K873" s="155">
        <f t="shared" si="84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85"/>
        <v>0</v>
      </c>
      <c r="O873" s="155">
        <f t="shared" si="86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82"/>
        <v>222400</v>
      </c>
      <c r="J874" s="163">
        <f t="shared" si="83"/>
        <v>0</v>
      </c>
      <c r="K874" s="155">
        <f t="shared" si="84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85"/>
        <v>0</v>
      </c>
      <c r="O874" s="155">
        <f t="shared" si="86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82"/>
        <v>197300</v>
      </c>
      <c r="J875" s="163">
        <f t="shared" si="83"/>
        <v>0</v>
      </c>
      <c r="K875" s="155">
        <f t="shared" si="84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85"/>
        <v>0</v>
      </c>
      <c r="O875" s="155">
        <f t="shared" si="86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82"/>
        <v>149200</v>
      </c>
      <c r="J876" s="163">
        <f t="shared" si="83"/>
        <v>0</v>
      </c>
      <c r="K876" s="155">
        <f t="shared" si="84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85"/>
        <v>0</v>
      </c>
      <c r="O876" s="155">
        <f t="shared" si="86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82"/>
        <v>390200</v>
      </c>
      <c r="J877" s="163">
        <f t="shared" si="83"/>
        <v>0</v>
      </c>
      <c r="K877" s="155">
        <f t="shared" si="84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85"/>
        <v>0</v>
      </c>
      <c r="O877" s="155">
        <f t="shared" si="86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82"/>
        <v>307600</v>
      </c>
      <c r="J878" s="163">
        <f t="shared" si="83"/>
        <v>0</v>
      </c>
      <c r="K878" s="155">
        <f t="shared" si="84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85"/>
        <v>0</v>
      </c>
      <c r="O878" s="155">
        <f t="shared" si="86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82"/>
        <v>261600</v>
      </c>
      <c r="J879" s="163">
        <f t="shared" si="83"/>
        <v>0</v>
      </c>
      <c r="K879" s="155">
        <f t="shared" si="84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85"/>
        <v>0</v>
      </c>
      <c r="O879" s="155">
        <f t="shared" si="86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87">IF($I$5=$G$4,G880,(IF($I$5=$F$4,F880,0)))</f>
        <v>198700</v>
      </c>
      <c r="J880" s="163">
        <f t="shared" si="83"/>
        <v>0</v>
      </c>
      <c r="K880" s="155">
        <f t="shared" si="84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85"/>
        <v>0</v>
      </c>
      <c r="O880" s="155">
        <f t="shared" si="86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87"/>
        <v>272600</v>
      </c>
      <c r="J881" s="163">
        <f t="shared" si="83"/>
        <v>0</v>
      </c>
      <c r="K881" s="155">
        <f t="shared" si="84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85"/>
        <v>0</v>
      </c>
      <c r="O881" s="155">
        <f t="shared" si="86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87"/>
        <v>243400</v>
      </c>
      <c r="J882" s="163">
        <f t="shared" si="83"/>
        <v>0</v>
      </c>
      <c r="K882" s="155">
        <f t="shared" si="84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85"/>
        <v>0</v>
      </c>
      <c r="O882" s="155">
        <f t="shared" si="86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87"/>
        <v>179300</v>
      </c>
      <c r="J883" s="163">
        <f t="shared" si="83"/>
        <v>0</v>
      </c>
      <c r="K883" s="155">
        <f t="shared" si="84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85"/>
        <v>0</v>
      </c>
      <c r="O883" s="155">
        <f t="shared" si="86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87"/>
        <v>151900</v>
      </c>
      <c r="J884" s="163">
        <f t="shared" si="83"/>
        <v>0</v>
      </c>
      <c r="K884" s="155">
        <f t="shared" si="84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85"/>
        <v>0</v>
      </c>
      <c r="O884" s="155">
        <f t="shared" si="86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87"/>
        <v>136485.10978061482</v>
      </c>
      <c r="J885" s="163">
        <f t="shared" si="83"/>
        <v>0</v>
      </c>
      <c r="K885" s="155">
        <f t="shared" si="84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85"/>
        <v>0</v>
      </c>
      <c r="O885" s="155">
        <f t="shared" si="86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87"/>
        <v>125481.16630030893</v>
      </c>
      <c r="J886" s="163">
        <f t="shared" si="83"/>
        <v>0</v>
      </c>
      <c r="K886" s="155">
        <f t="shared" si="84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85"/>
        <v>0</v>
      </c>
      <c r="O886" s="155">
        <f t="shared" si="86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87"/>
        <v>115200</v>
      </c>
      <c r="J887" s="163">
        <f t="shared" si="83"/>
        <v>0</v>
      </c>
      <c r="K887" s="155">
        <f t="shared" si="84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85"/>
        <v>0</v>
      </c>
      <c r="O887" s="155">
        <f t="shared" si="86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87"/>
        <v>115000</v>
      </c>
      <c r="J888" s="163">
        <f t="shared" si="83"/>
        <v>0</v>
      </c>
      <c r="K888" s="155">
        <f t="shared" si="84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85"/>
        <v>0</v>
      </c>
      <c r="O888" s="155">
        <f t="shared" si="86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87"/>
        <v>101800</v>
      </c>
      <c r="J889" s="163">
        <f t="shared" si="83"/>
        <v>0</v>
      </c>
      <c r="K889" s="155">
        <f t="shared" si="84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85"/>
        <v>0</v>
      </c>
      <c r="O889" s="155">
        <f t="shared" si="86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87"/>
        <v>523270.00000000006</v>
      </c>
      <c r="J890" s="163">
        <f t="shared" si="83"/>
        <v>0</v>
      </c>
      <c r="K890" s="155">
        <f t="shared" si="84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85"/>
        <v>0</v>
      </c>
      <c r="O890" s="155">
        <f t="shared" si="86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87"/>
        <v>523270.00000000006</v>
      </c>
      <c r="J891" s="163">
        <f t="shared" si="83"/>
        <v>0</v>
      </c>
      <c r="K891" s="155">
        <f t="shared" si="84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85"/>
        <v>0</v>
      </c>
      <c r="O891" s="155">
        <f t="shared" si="86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87"/>
        <v>408430.00000000006</v>
      </c>
      <c r="J892" s="163">
        <f t="shared" si="83"/>
        <v>0</v>
      </c>
      <c r="K892" s="155">
        <f t="shared" si="84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85"/>
        <v>0</v>
      </c>
      <c r="O892" s="155">
        <f t="shared" si="86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87"/>
        <v>386870.00000000006</v>
      </c>
      <c r="J893" s="163">
        <f t="shared" si="83"/>
        <v>0</v>
      </c>
      <c r="K893" s="155">
        <f t="shared" si="84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85"/>
        <v>0</v>
      </c>
      <c r="O893" s="155">
        <f t="shared" si="86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87"/>
        <v>330110</v>
      </c>
      <c r="J894" s="163">
        <f t="shared" si="83"/>
        <v>0</v>
      </c>
      <c r="K894" s="155">
        <f t="shared" si="84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85"/>
        <v>0</v>
      </c>
      <c r="O894" s="155">
        <f t="shared" si="86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87"/>
        <v>319990</v>
      </c>
      <c r="J895" s="163">
        <f t="shared" si="83"/>
        <v>0</v>
      </c>
      <c r="K895" s="155">
        <f t="shared" si="84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85"/>
        <v>0</v>
      </c>
      <c r="O895" s="155">
        <f t="shared" si="86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87"/>
        <v>319660</v>
      </c>
      <c r="J896" s="163">
        <f t="shared" si="83"/>
        <v>0</v>
      </c>
      <c r="K896" s="155">
        <f t="shared" si="84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85"/>
        <v>0</v>
      </c>
      <c r="O896" s="155">
        <f t="shared" si="86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87"/>
        <v>271700</v>
      </c>
      <c r="J897" s="163">
        <f t="shared" si="83"/>
        <v>0</v>
      </c>
      <c r="K897" s="155">
        <f t="shared" si="84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85"/>
        <v>0</v>
      </c>
      <c r="O897" s="155">
        <f t="shared" si="86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87"/>
        <v>303600</v>
      </c>
      <c r="J898" s="163">
        <f t="shared" si="83"/>
        <v>0</v>
      </c>
      <c r="K898" s="155">
        <f t="shared" si="84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85"/>
        <v>0</v>
      </c>
      <c r="O898" s="155">
        <f t="shared" si="86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87"/>
        <v>294910</v>
      </c>
      <c r="J899" s="163">
        <f t="shared" si="83"/>
        <v>0</v>
      </c>
      <c r="K899" s="155">
        <f t="shared" si="84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85"/>
        <v>0</v>
      </c>
      <c r="O899" s="155">
        <f t="shared" si="86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87"/>
        <v>244640.00000000003</v>
      </c>
      <c r="J900" s="163">
        <f t="shared" si="83"/>
        <v>0</v>
      </c>
      <c r="K900" s="155">
        <f t="shared" si="84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85"/>
        <v>0</v>
      </c>
      <c r="O900" s="155">
        <f t="shared" si="86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87"/>
        <v>244640.00000000003</v>
      </c>
      <c r="J901" s="163">
        <f t="shared" si="83"/>
        <v>0</v>
      </c>
      <c r="K901" s="155">
        <f t="shared" si="84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85"/>
        <v>0</v>
      </c>
      <c r="O901" s="155">
        <f t="shared" si="86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87"/>
        <v>217030.00000000003</v>
      </c>
      <c r="J902" s="163">
        <f t="shared" si="83"/>
        <v>0</v>
      </c>
      <c r="K902" s="155">
        <f t="shared" si="84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85"/>
        <v>0</v>
      </c>
      <c r="O902" s="155">
        <f t="shared" si="86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87"/>
        <v>164120</v>
      </c>
      <c r="J903" s="163">
        <f t="shared" si="83"/>
        <v>0</v>
      </c>
      <c r="K903" s="155">
        <f t="shared" si="84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85"/>
        <v>0</v>
      </c>
      <c r="O903" s="155">
        <f t="shared" si="86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87"/>
        <v>429220.00000000006</v>
      </c>
      <c r="J904" s="163">
        <f t="shared" si="83"/>
        <v>0</v>
      </c>
      <c r="K904" s="155">
        <f t="shared" si="84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85"/>
        <v>0</v>
      </c>
      <c r="O904" s="155">
        <f t="shared" si="86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87"/>
        <v>338360</v>
      </c>
      <c r="J905" s="163">
        <f t="shared" si="83"/>
        <v>0</v>
      </c>
      <c r="K905" s="155">
        <f t="shared" si="84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85"/>
        <v>0</v>
      </c>
      <c r="O905" s="155">
        <f t="shared" si="86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87"/>
        <v>287760</v>
      </c>
      <c r="J906" s="163">
        <f t="shared" si="83"/>
        <v>0</v>
      </c>
      <c r="K906" s="155">
        <f t="shared" si="8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85"/>
        <v>0</v>
      </c>
      <c r="O906" s="155">
        <f t="shared" si="86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87"/>
        <v>218570.00000000003</v>
      </c>
      <c r="J907" s="163">
        <f t="shared" si="83"/>
        <v>0</v>
      </c>
      <c r="K907" s="155">
        <f t="shared" si="8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85"/>
        <v>0</v>
      </c>
      <c r="O907" s="155">
        <f t="shared" si="86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87"/>
        <v>299860</v>
      </c>
      <c r="J908" s="163">
        <f t="shared" ref="J908:J971" si="88">IF(D908="MDU-KD",1,0)</f>
        <v>0</v>
      </c>
      <c r="K908" s="155">
        <f t="shared" ref="K908:K971" si="89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90">IF(L908=0,M908,L908)</f>
        <v>0</v>
      </c>
      <c r="O908" s="155">
        <f t="shared" ref="O908:O971" si="91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87"/>
        <v>267740</v>
      </c>
      <c r="J909" s="163">
        <f t="shared" si="88"/>
        <v>0</v>
      </c>
      <c r="K909" s="155">
        <f t="shared" si="8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90"/>
        <v>0</v>
      </c>
      <c r="O909" s="155">
        <f t="shared" si="91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87"/>
        <v>197230.00000000003</v>
      </c>
      <c r="J910" s="163">
        <f t="shared" si="88"/>
        <v>0</v>
      </c>
      <c r="K910" s="155">
        <f t="shared" si="8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90"/>
        <v>0</v>
      </c>
      <c r="O910" s="155">
        <f t="shared" si="91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87"/>
        <v>167090</v>
      </c>
      <c r="J911" s="163">
        <f t="shared" si="88"/>
        <v>0</v>
      </c>
      <c r="K911" s="155">
        <f t="shared" si="8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90"/>
        <v>0</v>
      </c>
      <c r="O911" s="155">
        <f t="shared" si="91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87"/>
        <v>150133.62075867632</v>
      </c>
      <c r="J912" s="163">
        <f t="shared" si="88"/>
        <v>0</v>
      </c>
      <c r="K912" s="155">
        <f t="shared" si="8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90"/>
        <v>0</v>
      </c>
      <c r="O912" s="155">
        <f t="shared" si="91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87"/>
        <v>138029.28293033983</v>
      </c>
      <c r="J913" s="163">
        <f t="shared" si="88"/>
        <v>0</v>
      </c>
      <c r="K913" s="155">
        <f t="shared" si="8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90"/>
        <v>0</v>
      </c>
      <c r="O913" s="155">
        <f t="shared" si="91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87"/>
        <v>126720.00000000001</v>
      </c>
      <c r="J914" s="163">
        <f t="shared" si="88"/>
        <v>0</v>
      </c>
      <c r="K914" s="155">
        <f t="shared" si="8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90"/>
        <v>0</v>
      </c>
      <c r="O914" s="155">
        <f t="shared" si="91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87"/>
        <v>126500.00000000001</v>
      </c>
      <c r="J915" s="163">
        <f t="shared" si="88"/>
        <v>0</v>
      </c>
      <c r="K915" s="155">
        <f t="shared" si="89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90"/>
        <v>0</v>
      </c>
      <c r="O915" s="155">
        <f t="shared" si="91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87"/>
        <v>111980.00000000001</v>
      </c>
      <c r="J916" s="163">
        <f t="shared" si="88"/>
        <v>0</v>
      </c>
      <c r="K916" s="155">
        <f t="shared" si="89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90"/>
        <v>0</v>
      </c>
      <c r="O916" s="155">
        <f t="shared" si="91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87"/>
        <v>382400</v>
      </c>
      <c r="J917" s="163">
        <f t="shared" si="88"/>
        <v>0</v>
      </c>
      <c r="K917" s="155">
        <f t="shared" si="89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90"/>
        <v>0</v>
      </c>
      <c r="O917" s="155">
        <f t="shared" si="91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87"/>
        <v>662100</v>
      </c>
      <c r="J918" s="163">
        <f t="shared" si="88"/>
        <v>0</v>
      </c>
      <c r="K918" s="155">
        <f t="shared" si="89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90"/>
        <v>0</v>
      </c>
      <c r="O918" s="155">
        <f t="shared" si="91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87"/>
        <v>0</v>
      </c>
      <c r="J919" s="163">
        <f t="shared" si="88"/>
        <v>0</v>
      </c>
      <c r="K919" s="155">
        <f t="shared" si="89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90"/>
        <v>0</v>
      </c>
      <c r="O919" s="155">
        <f t="shared" si="91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87"/>
        <v>0</v>
      </c>
      <c r="J920" s="163">
        <f t="shared" si="88"/>
        <v>0</v>
      </c>
      <c r="K920" s="155">
        <f t="shared" si="89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90"/>
        <v>0</v>
      </c>
      <c r="O920" s="155">
        <f t="shared" si="91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87"/>
        <v>285500</v>
      </c>
      <c r="J921" s="163">
        <f t="shared" si="88"/>
        <v>0</v>
      </c>
      <c r="K921" s="155">
        <f t="shared" si="89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90"/>
        <v>0</v>
      </c>
      <c r="O921" s="155">
        <f t="shared" si="91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87"/>
        <v>240000</v>
      </c>
      <c r="J922" s="163">
        <f t="shared" si="88"/>
        <v>0</v>
      </c>
      <c r="K922" s="155">
        <f t="shared" si="89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90"/>
        <v>0</v>
      </c>
      <c r="O922" s="155">
        <f t="shared" si="91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87"/>
        <v>220800</v>
      </c>
      <c r="J923" s="163">
        <f t="shared" si="88"/>
        <v>0</v>
      </c>
      <c r="K923" s="155">
        <f t="shared" si="89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90"/>
        <v>0</v>
      </c>
      <c r="O923" s="155">
        <f t="shared" si="91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87"/>
        <v>164300</v>
      </c>
      <c r="J924" s="163">
        <f t="shared" si="88"/>
        <v>0</v>
      </c>
      <c r="K924" s="155">
        <f t="shared" si="89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90"/>
        <v>0</v>
      </c>
      <c r="O924" s="155">
        <f t="shared" si="91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87"/>
        <v>111700</v>
      </c>
      <c r="J925" s="163">
        <f t="shared" si="88"/>
        <v>0</v>
      </c>
      <c r="K925" s="155">
        <f t="shared" si="89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90"/>
        <v>0</v>
      </c>
      <c r="O925" s="155">
        <f t="shared" si="91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87"/>
        <v>223500</v>
      </c>
      <c r="J926" s="163">
        <f t="shared" si="88"/>
        <v>0</v>
      </c>
      <c r="K926" s="155">
        <f t="shared" si="89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90"/>
        <v>0</v>
      </c>
      <c r="O926" s="155">
        <f t="shared" si="91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87"/>
        <v>179000</v>
      </c>
      <c r="J927" s="163">
        <f t="shared" si="88"/>
        <v>0</v>
      </c>
      <c r="K927" s="155">
        <f t="shared" si="89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90"/>
        <v>0</v>
      </c>
      <c r="O927" s="155">
        <f t="shared" si="91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87"/>
        <v>0</v>
      </c>
      <c r="J928" s="163">
        <f t="shared" si="88"/>
        <v>0</v>
      </c>
      <c r="K928" s="155">
        <f t="shared" si="89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90"/>
        <v>0</v>
      </c>
      <c r="O928" s="155">
        <f t="shared" si="91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87"/>
        <v>0</v>
      </c>
      <c r="J929" s="163">
        <f t="shared" si="88"/>
        <v>0</v>
      </c>
      <c r="K929" s="155">
        <f t="shared" si="89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90"/>
        <v>0</v>
      </c>
      <c r="O929" s="155">
        <f t="shared" si="91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87"/>
        <v>9514000</v>
      </c>
      <c r="J930" s="163">
        <f t="shared" si="88"/>
        <v>0</v>
      </c>
      <c r="K930" s="155">
        <f t="shared" si="89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90"/>
        <v>0</v>
      </c>
      <c r="O930" s="155">
        <f t="shared" si="91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87"/>
        <v>9514000</v>
      </c>
      <c r="J931" s="163">
        <f t="shared" si="88"/>
        <v>0</v>
      </c>
      <c r="K931" s="155">
        <f t="shared" si="89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90"/>
        <v>0</v>
      </c>
      <c r="O931" s="155">
        <f t="shared" si="91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87"/>
        <v>7426000</v>
      </c>
      <c r="J932" s="163">
        <f t="shared" si="88"/>
        <v>0</v>
      </c>
      <c r="K932" s="155">
        <f t="shared" si="89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90"/>
        <v>0</v>
      </c>
      <c r="O932" s="155">
        <f t="shared" si="91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87"/>
        <v>7034000</v>
      </c>
      <c r="J933" s="163">
        <f t="shared" si="88"/>
        <v>0</v>
      </c>
      <c r="K933" s="155">
        <f t="shared" si="89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90"/>
        <v>0</v>
      </c>
      <c r="O933" s="155">
        <f t="shared" si="91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87"/>
        <v>6002000</v>
      </c>
      <c r="J934" s="163">
        <f t="shared" si="88"/>
        <v>0</v>
      </c>
      <c r="K934" s="155">
        <f t="shared" si="89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90"/>
        <v>0</v>
      </c>
      <c r="O934" s="155">
        <f t="shared" si="91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87"/>
        <v>5818000</v>
      </c>
      <c r="J935" s="163">
        <f t="shared" si="88"/>
        <v>0</v>
      </c>
      <c r="K935" s="155">
        <f t="shared" si="89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90"/>
        <v>0</v>
      </c>
      <c r="O935" s="155">
        <f t="shared" si="91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87"/>
        <v>5812000</v>
      </c>
      <c r="J936" s="163">
        <f t="shared" si="88"/>
        <v>0</v>
      </c>
      <c r="K936" s="155">
        <f t="shared" si="89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90"/>
        <v>0</v>
      </c>
      <c r="O936" s="155">
        <f t="shared" si="91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87"/>
        <v>4940000</v>
      </c>
      <c r="J937" s="163">
        <f t="shared" si="88"/>
        <v>0</v>
      </c>
      <c r="K937" s="155">
        <f t="shared" si="89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90"/>
        <v>0</v>
      </c>
      <c r="O937" s="155">
        <f t="shared" si="91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87"/>
        <v>5520000</v>
      </c>
      <c r="J938" s="163">
        <f t="shared" si="88"/>
        <v>0</v>
      </c>
      <c r="K938" s="155">
        <f t="shared" si="89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90"/>
        <v>0</v>
      </c>
      <c r="O938" s="155">
        <f t="shared" si="91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87"/>
        <v>5362000</v>
      </c>
      <c r="J939" s="163">
        <f t="shared" si="88"/>
        <v>0</v>
      </c>
      <c r="K939" s="155">
        <f t="shared" si="89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90"/>
        <v>0</v>
      </c>
      <c r="O939" s="155">
        <f t="shared" si="91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87"/>
        <v>4448000</v>
      </c>
      <c r="J940" s="163">
        <f t="shared" si="88"/>
        <v>0</v>
      </c>
      <c r="K940" s="155">
        <f t="shared" si="89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90"/>
        <v>0</v>
      </c>
      <c r="O940" s="155">
        <f t="shared" si="91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87"/>
        <v>4448000</v>
      </c>
      <c r="J941" s="163">
        <f t="shared" si="88"/>
        <v>0</v>
      </c>
      <c r="K941" s="155">
        <f t="shared" si="89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90"/>
        <v>0</v>
      </c>
      <c r="O941" s="155">
        <f t="shared" si="91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87"/>
        <v>3946000</v>
      </c>
      <c r="J942" s="163">
        <f t="shared" si="88"/>
        <v>0</v>
      </c>
      <c r="K942" s="155">
        <f t="shared" si="89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90"/>
        <v>0</v>
      </c>
      <c r="O942" s="155">
        <f t="shared" si="91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87"/>
        <v>2984000</v>
      </c>
      <c r="J943" s="163">
        <f t="shared" si="88"/>
        <v>0</v>
      </c>
      <c r="K943" s="155">
        <f t="shared" si="89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90"/>
        <v>0</v>
      </c>
      <c r="O943" s="155">
        <f t="shared" si="91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87"/>
        <v>7804000</v>
      </c>
      <c r="J944" s="163">
        <f t="shared" si="88"/>
        <v>0</v>
      </c>
      <c r="K944" s="155">
        <f t="shared" si="89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90"/>
        <v>0</v>
      </c>
      <c r="O944" s="155">
        <f t="shared" si="91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92">IF($I$5=$G$4,G945,(IF($I$5=$F$4,F945,0)))</f>
        <v>6152000</v>
      </c>
      <c r="J945" s="163">
        <f t="shared" si="88"/>
        <v>0</v>
      </c>
      <c r="K945" s="155">
        <f t="shared" si="89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90"/>
        <v>0</v>
      </c>
      <c r="O945" s="155">
        <f t="shared" si="91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92"/>
        <v>5232000</v>
      </c>
      <c r="J946" s="163">
        <f t="shared" si="88"/>
        <v>0</v>
      </c>
      <c r="K946" s="155">
        <f t="shared" si="89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90"/>
        <v>0</v>
      </c>
      <c r="O946" s="155">
        <f t="shared" si="91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92"/>
        <v>3974000</v>
      </c>
      <c r="J947" s="163">
        <f t="shared" si="88"/>
        <v>0</v>
      </c>
      <c r="K947" s="155">
        <f t="shared" si="89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90"/>
        <v>0</v>
      </c>
      <c r="O947" s="155">
        <f t="shared" si="91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92"/>
        <v>5452000</v>
      </c>
      <c r="J948" s="163">
        <f t="shared" si="88"/>
        <v>0</v>
      </c>
      <c r="K948" s="155">
        <f t="shared" si="89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90"/>
        <v>0</v>
      </c>
      <c r="O948" s="155">
        <f t="shared" si="91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92"/>
        <v>4868000</v>
      </c>
      <c r="J949" s="163">
        <f t="shared" si="88"/>
        <v>0</v>
      </c>
      <c r="K949" s="155">
        <f t="shared" si="89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90"/>
        <v>0</v>
      </c>
      <c r="O949" s="155">
        <f t="shared" si="91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92"/>
        <v>3586000</v>
      </c>
      <c r="J950" s="163">
        <f t="shared" si="88"/>
        <v>0</v>
      </c>
      <c r="K950" s="155">
        <f t="shared" si="89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90"/>
        <v>0</v>
      </c>
      <c r="O950" s="155">
        <f t="shared" si="91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92"/>
        <v>3038000</v>
      </c>
      <c r="J951" s="163">
        <f t="shared" si="88"/>
        <v>0</v>
      </c>
      <c r="K951" s="155">
        <f t="shared" si="89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90"/>
        <v>0</v>
      </c>
      <c r="O951" s="155">
        <f t="shared" si="91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92"/>
        <v>2729702.1956122965</v>
      </c>
      <c r="J952" s="163">
        <f t="shared" si="88"/>
        <v>0</v>
      </c>
      <c r="K952" s="155">
        <f t="shared" si="89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90"/>
        <v>0</v>
      </c>
      <c r="O952" s="155">
        <f t="shared" si="91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92"/>
        <v>2509623.3260061787</v>
      </c>
      <c r="J953" s="163">
        <f t="shared" si="88"/>
        <v>0</v>
      </c>
      <c r="K953" s="155">
        <f t="shared" si="89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90"/>
        <v>0</v>
      </c>
      <c r="O953" s="155">
        <f t="shared" si="91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92"/>
        <v>2304000</v>
      </c>
      <c r="J954" s="163">
        <f t="shared" si="88"/>
        <v>0</v>
      </c>
      <c r="K954" s="155">
        <f t="shared" si="89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90"/>
        <v>0</v>
      </c>
      <c r="O954" s="155">
        <f t="shared" si="91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92"/>
        <v>2300000</v>
      </c>
      <c r="J955" s="163">
        <f t="shared" si="88"/>
        <v>0</v>
      </c>
      <c r="K955" s="155">
        <f t="shared" si="89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90"/>
        <v>0</v>
      </c>
      <c r="O955" s="155">
        <f t="shared" si="91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92"/>
        <v>2036000</v>
      </c>
      <c r="J956" s="163">
        <f t="shared" si="88"/>
        <v>0</v>
      </c>
      <c r="K956" s="155">
        <f t="shared" si="89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90"/>
        <v>0</v>
      </c>
      <c r="O956" s="155">
        <f t="shared" si="91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92"/>
        <v>10465400.000000002</v>
      </c>
      <c r="J957" s="163">
        <f t="shared" si="88"/>
        <v>0</v>
      </c>
      <c r="K957" s="155">
        <f t="shared" si="89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90"/>
        <v>0</v>
      </c>
      <c r="O957" s="155">
        <f t="shared" si="91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92"/>
        <v>10465400.000000002</v>
      </c>
      <c r="J958" s="163">
        <f t="shared" si="88"/>
        <v>0</v>
      </c>
      <c r="K958" s="155">
        <f t="shared" si="89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90"/>
        <v>0</v>
      </c>
      <c r="O958" s="155">
        <f t="shared" si="91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92"/>
        <v>8168600.0000000009</v>
      </c>
      <c r="J959" s="163">
        <f t="shared" si="88"/>
        <v>0</v>
      </c>
      <c r="K959" s="155">
        <f t="shared" si="89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90"/>
        <v>0</v>
      </c>
      <c r="O959" s="155">
        <f t="shared" si="91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92"/>
        <v>7737400.0000000009</v>
      </c>
      <c r="J960" s="163">
        <f t="shared" si="88"/>
        <v>0</v>
      </c>
      <c r="K960" s="155">
        <f t="shared" si="89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90"/>
        <v>0</v>
      </c>
      <c r="O960" s="155">
        <f t="shared" si="91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92"/>
        <v>6602200</v>
      </c>
      <c r="J961" s="163">
        <f t="shared" si="88"/>
        <v>0</v>
      </c>
      <c r="K961" s="155">
        <f t="shared" si="89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90"/>
        <v>0</v>
      </c>
      <c r="O961" s="155">
        <f t="shared" si="91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92"/>
        <v>6399800</v>
      </c>
      <c r="J962" s="163">
        <f t="shared" si="88"/>
        <v>0</v>
      </c>
      <c r="K962" s="155">
        <f t="shared" si="89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90"/>
        <v>0</v>
      </c>
      <c r="O962" s="155">
        <f t="shared" si="91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92"/>
        <v>6393200</v>
      </c>
      <c r="J963" s="163">
        <f t="shared" si="88"/>
        <v>0</v>
      </c>
      <c r="K963" s="155">
        <f t="shared" si="89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90"/>
        <v>0</v>
      </c>
      <c r="O963" s="155">
        <f t="shared" si="91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92"/>
        <v>5434000</v>
      </c>
      <c r="J964" s="163">
        <f t="shared" si="88"/>
        <v>0</v>
      </c>
      <c r="K964" s="155">
        <f t="shared" si="89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90"/>
        <v>0</v>
      </c>
      <c r="O964" s="155">
        <f t="shared" si="91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88"/>
        <v>0</v>
      </c>
      <c r="K965" s="155">
        <f t="shared" si="89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90"/>
        <v>0</v>
      </c>
      <c r="O965" s="155">
        <f t="shared" si="91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88"/>
        <v>0</v>
      </c>
      <c r="K966" s="155">
        <f t="shared" si="89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90"/>
        <v>0</v>
      </c>
      <c r="O966" s="155">
        <f t="shared" si="91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92"/>
        <v>4892800.0000000009</v>
      </c>
      <c r="J967" s="163">
        <f t="shared" si="88"/>
        <v>0</v>
      </c>
      <c r="K967" s="155">
        <f t="shared" si="89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90"/>
        <v>0</v>
      </c>
      <c r="O967" s="155">
        <f t="shared" si="91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92"/>
        <v>4892800.0000000009</v>
      </c>
      <c r="J968" s="163">
        <f t="shared" si="88"/>
        <v>0</v>
      </c>
      <c r="K968" s="155">
        <f t="shared" si="89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90"/>
        <v>0</v>
      </c>
      <c r="O968" s="155">
        <f t="shared" si="91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92"/>
        <v>4340600.0000000009</v>
      </c>
      <c r="J969" s="163">
        <f t="shared" si="88"/>
        <v>0</v>
      </c>
      <c r="K969" s="155">
        <f t="shared" si="89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90"/>
        <v>0</v>
      </c>
      <c r="O969" s="155">
        <f t="shared" si="91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92"/>
        <v>3282400</v>
      </c>
      <c r="J970" s="163">
        <f t="shared" si="88"/>
        <v>0</v>
      </c>
      <c r="K970" s="155">
        <f t="shared" si="8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90"/>
        <v>0</v>
      </c>
      <c r="O970" s="155">
        <f t="shared" si="91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92"/>
        <v>8584400.0000000019</v>
      </c>
      <c r="J971" s="163">
        <f t="shared" si="88"/>
        <v>0</v>
      </c>
      <c r="K971" s="155">
        <f t="shared" si="8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90"/>
        <v>0</v>
      </c>
      <c r="O971" s="155">
        <f t="shared" si="91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92"/>
        <v>6767200</v>
      </c>
      <c r="J972" s="163">
        <f t="shared" ref="J972:J1035" si="93">IF(D972="MDU-KD",1,0)</f>
        <v>0</v>
      </c>
      <c r="K972" s="155">
        <f t="shared" ref="K972:K1035" si="94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95">IF(L972=0,M972,L972)</f>
        <v>0</v>
      </c>
      <c r="O972" s="155">
        <f t="shared" ref="O972:O1035" si="96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92"/>
        <v>5755200</v>
      </c>
      <c r="J973" s="163">
        <f t="shared" si="93"/>
        <v>0</v>
      </c>
      <c r="K973" s="155">
        <f t="shared" si="9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95"/>
        <v>0</v>
      </c>
      <c r="O973" s="155">
        <f t="shared" si="96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92"/>
        <v>4371400.0000000009</v>
      </c>
      <c r="J974" s="163">
        <f t="shared" si="93"/>
        <v>0</v>
      </c>
      <c r="K974" s="155">
        <f t="shared" si="9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95"/>
        <v>0</v>
      </c>
      <c r="O974" s="155">
        <f t="shared" si="96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92"/>
        <v>5997200</v>
      </c>
      <c r="J975" s="163">
        <f t="shared" si="93"/>
        <v>0</v>
      </c>
      <c r="K975" s="155">
        <f t="shared" si="9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95"/>
        <v>0</v>
      </c>
      <c r="O975" s="155">
        <f t="shared" si="96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92"/>
        <v>5354800</v>
      </c>
      <c r="J976" s="163">
        <f t="shared" si="93"/>
        <v>0</v>
      </c>
      <c r="K976" s="155">
        <f t="shared" si="9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95"/>
        <v>0</v>
      </c>
      <c r="O976" s="155">
        <f t="shared" si="96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92"/>
        <v>3944600.0000000005</v>
      </c>
      <c r="J977" s="163">
        <f t="shared" si="93"/>
        <v>0</v>
      </c>
      <c r="K977" s="155">
        <f t="shared" si="9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95"/>
        <v>0</v>
      </c>
      <c r="O977" s="155">
        <f t="shared" si="96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92"/>
        <v>3341800</v>
      </c>
      <c r="J978" s="163">
        <f t="shared" si="93"/>
        <v>0</v>
      </c>
      <c r="K978" s="155">
        <f t="shared" si="9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95"/>
        <v>0</v>
      </c>
      <c r="O978" s="155">
        <f t="shared" si="96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92"/>
        <v>3002672.4151735264</v>
      </c>
      <c r="J979" s="163">
        <f t="shared" si="93"/>
        <v>0</v>
      </c>
      <c r="K979" s="155">
        <f t="shared" si="94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95"/>
        <v>0</v>
      </c>
      <c r="O979" s="155">
        <f t="shared" si="96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92"/>
        <v>2760585.6586067965</v>
      </c>
      <c r="J980" s="163">
        <f t="shared" si="93"/>
        <v>0</v>
      </c>
      <c r="K980" s="155">
        <f t="shared" si="94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95"/>
        <v>0</v>
      </c>
      <c r="O980" s="155">
        <f t="shared" si="96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92"/>
        <v>2534400.0000000005</v>
      </c>
      <c r="J981" s="163">
        <f t="shared" si="93"/>
        <v>0</v>
      </c>
      <c r="K981" s="155">
        <f t="shared" si="94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95"/>
        <v>0</v>
      </c>
      <c r="O981" s="155">
        <f t="shared" si="96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92"/>
        <v>2530000.0000000005</v>
      </c>
      <c r="J982" s="163">
        <f t="shared" si="93"/>
        <v>0</v>
      </c>
      <c r="K982" s="155">
        <f t="shared" si="94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95"/>
        <v>0</v>
      </c>
      <c r="O982" s="155">
        <f t="shared" si="96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92"/>
        <v>2239600.0000000005</v>
      </c>
      <c r="J983" s="163">
        <f t="shared" si="93"/>
        <v>0</v>
      </c>
      <c r="K983" s="155">
        <f t="shared" si="94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95"/>
        <v>0</v>
      </c>
      <c r="O983" s="155">
        <f t="shared" si="96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92"/>
        <v>13242832.628818881</v>
      </c>
      <c r="J984" s="163">
        <f t="shared" si="93"/>
        <v>0</v>
      </c>
      <c r="K984" s="155">
        <f t="shared" si="94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95"/>
        <v>0</v>
      </c>
      <c r="O984" s="155">
        <f t="shared" si="96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92"/>
        <v>0</v>
      </c>
      <c r="J985" s="163">
        <f t="shared" si="93"/>
        <v>0</v>
      </c>
      <c r="K985" s="155">
        <f t="shared" si="94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95"/>
        <v>0</v>
      </c>
      <c r="O985" s="155">
        <f t="shared" si="96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92"/>
        <v>0</v>
      </c>
      <c r="J986" s="163">
        <f t="shared" si="93"/>
        <v>0</v>
      </c>
      <c r="K986" s="155">
        <f t="shared" si="94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95"/>
        <v>0</v>
      </c>
      <c r="O986" s="155">
        <f t="shared" si="96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92"/>
        <v>5710000</v>
      </c>
      <c r="J987" s="163">
        <f t="shared" si="93"/>
        <v>0</v>
      </c>
      <c r="K987" s="155">
        <f t="shared" si="94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95"/>
        <v>0</v>
      </c>
      <c r="O987" s="155">
        <f t="shared" si="96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92"/>
        <v>4800000</v>
      </c>
      <c r="J988" s="163">
        <f t="shared" si="93"/>
        <v>0</v>
      </c>
      <c r="K988" s="155">
        <f t="shared" si="94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95"/>
        <v>0</v>
      </c>
      <c r="O988" s="155">
        <f t="shared" si="96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92"/>
        <v>4416000</v>
      </c>
      <c r="J989" s="163">
        <f t="shared" si="93"/>
        <v>0</v>
      </c>
      <c r="K989" s="155">
        <f t="shared" si="94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95"/>
        <v>0</v>
      </c>
      <c r="O989" s="155">
        <f t="shared" si="96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92"/>
        <v>3286000</v>
      </c>
      <c r="J990" s="163">
        <f t="shared" si="93"/>
        <v>0</v>
      </c>
      <c r="K990" s="155">
        <f t="shared" si="94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95"/>
        <v>0</v>
      </c>
      <c r="O990" s="155">
        <f t="shared" si="96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92"/>
        <v>2234000</v>
      </c>
      <c r="J991" s="163">
        <f t="shared" si="93"/>
        <v>0</v>
      </c>
      <c r="K991" s="155">
        <f t="shared" si="94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95"/>
        <v>0</v>
      </c>
      <c r="O991" s="155">
        <f t="shared" si="96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92"/>
        <v>4470000</v>
      </c>
      <c r="J992" s="163">
        <f t="shared" si="93"/>
        <v>0</v>
      </c>
      <c r="K992" s="155">
        <f t="shared" si="94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95"/>
        <v>0</v>
      </c>
      <c r="O992" s="155">
        <f t="shared" si="96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92"/>
        <v>3580000</v>
      </c>
      <c r="J993" s="163">
        <f t="shared" si="93"/>
        <v>0</v>
      </c>
      <c r="K993" s="155">
        <f t="shared" si="94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95"/>
        <v>0</v>
      </c>
      <c r="O993" s="155">
        <f t="shared" si="96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92"/>
        <v>0</v>
      </c>
      <c r="J994" s="163">
        <f t="shared" si="93"/>
        <v>0</v>
      </c>
      <c r="K994" s="155">
        <f t="shared" si="94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95"/>
        <v>0</v>
      </c>
      <c r="O994" s="155">
        <f t="shared" si="96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92"/>
        <v>0</v>
      </c>
      <c r="J995" s="163">
        <f t="shared" si="93"/>
        <v>0</v>
      </c>
      <c r="K995" s="155">
        <f t="shared" si="94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95"/>
        <v>0</v>
      </c>
      <c r="O995" s="155">
        <f t="shared" si="96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92"/>
        <v>355700</v>
      </c>
      <c r="J996" s="163">
        <f t="shared" si="93"/>
        <v>0</v>
      </c>
      <c r="K996" s="155">
        <f t="shared" si="94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95"/>
        <v>0</v>
      </c>
      <c r="O996" s="155">
        <f t="shared" si="96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92"/>
        <v>346400</v>
      </c>
      <c r="J997" s="163">
        <f t="shared" si="93"/>
        <v>0</v>
      </c>
      <c r="K997" s="155">
        <f t="shared" si="94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95"/>
        <v>0</v>
      </c>
      <c r="O997" s="155">
        <f t="shared" si="96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92"/>
        <v>571650</v>
      </c>
      <c r="J998" s="163">
        <f t="shared" si="93"/>
        <v>0</v>
      </c>
      <c r="K998" s="155">
        <f t="shared" si="94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95"/>
        <v>0</v>
      </c>
      <c r="O998" s="155">
        <f t="shared" si="96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97">IF($I$5=$G$4,G999,(IF($I$5=$F$4,F999,0)))</f>
        <v>1182800</v>
      </c>
      <c r="J999" s="163">
        <f t="shared" si="93"/>
        <v>0</v>
      </c>
      <c r="K999" s="155">
        <f t="shared" si="94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95"/>
        <v>0</v>
      </c>
      <c r="O999" s="155">
        <f t="shared" si="96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97"/>
        <v>2953300</v>
      </c>
      <c r="J1000" s="163">
        <f t="shared" si="93"/>
        <v>0</v>
      </c>
      <c r="K1000" s="155">
        <f t="shared" si="94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95"/>
        <v>0</v>
      </c>
      <c r="O1000" s="155">
        <f t="shared" si="96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97"/>
        <v>1627400</v>
      </c>
      <c r="J1001" s="163">
        <f t="shared" si="93"/>
        <v>0</v>
      </c>
      <c r="K1001" s="155">
        <f t="shared" si="94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95"/>
        <v>0</v>
      </c>
      <c r="O1001" s="155">
        <f t="shared" si="96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97"/>
        <v>3686500</v>
      </c>
      <c r="J1002" s="163">
        <f t="shared" si="93"/>
        <v>0</v>
      </c>
      <c r="K1002" s="155">
        <f t="shared" si="94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95"/>
        <v>0</v>
      </c>
      <c r="O1002" s="155">
        <f t="shared" si="96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97"/>
        <v>3784400</v>
      </c>
      <c r="J1003" s="163">
        <f t="shared" si="93"/>
        <v>0</v>
      </c>
      <c r="K1003" s="155">
        <f t="shared" si="94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95"/>
        <v>0</v>
      </c>
      <c r="O1003" s="155">
        <f t="shared" si="96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97"/>
        <v>4127900</v>
      </c>
      <c r="J1004" s="163">
        <f t="shared" si="93"/>
        <v>0</v>
      </c>
      <c r="K1004" s="155">
        <f t="shared" si="94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95"/>
        <v>0</v>
      </c>
      <c r="O1004" s="155">
        <f t="shared" si="96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97"/>
        <v>4540700</v>
      </c>
      <c r="J1005" s="163">
        <f t="shared" si="93"/>
        <v>0</v>
      </c>
      <c r="K1005" s="155">
        <f t="shared" si="94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95"/>
        <v>0</v>
      </c>
      <c r="O1005" s="155">
        <f t="shared" si="96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97"/>
        <v>614700</v>
      </c>
      <c r="J1006" s="163">
        <f t="shared" si="93"/>
        <v>0</v>
      </c>
      <c r="K1006" s="155">
        <f t="shared" si="94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95"/>
        <v>0</v>
      </c>
      <c r="O1006" s="155">
        <f t="shared" si="96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97"/>
        <v>829000</v>
      </c>
      <c r="J1007" s="163">
        <f t="shared" si="93"/>
        <v>0</v>
      </c>
      <c r="K1007" s="155">
        <f t="shared" si="94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95"/>
        <v>0</v>
      </c>
      <c r="O1007" s="155">
        <f t="shared" si="96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97"/>
        <v>0</v>
      </c>
      <c r="J1008" s="163">
        <f t="shared" si="93"/>
        <v>0</v>
      </c>
      <c r="K1008" s="155">
        <f t="shared" si="94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95"/>
        <v>0</v>
      </c>
      <c r="O1008" s="155">
        <f t="shared" si="96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97"/>
        <v>0</v>
      </c>
      <c r="J1009" s="163">
        <f t="shared" si="93"/>
        <v>0</v>
      </c>
      <c r="K1009" s="155">
        <f t="shared" si="94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95"/>
        <v>0</v>
      </c>
      <c r="O1009" s="155">
        <f t="shared" si="96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97"/>
        <v>367100.81715813151</v>
      </c>
      <c r="J1010" s="163">
        <f t="shared" si="93"/>
        <v>0</v>
      </c>
      <c r="K1010" s="155">
        <f t="shared" si="94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95"/>
        <v>0</v>
      </c>
      <c r="O1010" s="155">
        <f t="shared" si="96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97"/>
        <v>367100.81715813151</v>
      </c>
      <c r="J1011" s="163">
        <f t="shared" si="93"/>
        <v>0</v>
      </c>
      <c r="K1011" s="155">
        <f t="shared" si="94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95"/>
        <v>0</v>
      </c>
      <c r="O1011" s="155">
        <f t="shared" si="96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97"/>
        <v>483136</v>
      </c>
      <c r="J1012" s="163">
        <f t="shared" si="93"/>
        <v>0</v>
      </c>
      <c r="K1012" s="155">
        <f t="shared" si="94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95"/>
        <v>0</v>
      </c>
      <c r="O1012" s="155">
        <f t="shared" si="96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97"/>
        <v>483136</v>
      </c>
      <c r="J1013" s="163">
        <f t="shared" si="93"/>
        <v>0</v>
      </c>
      <c r="K1013" s="155">
        <f t="shared" si="94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95"/>
        <v>0</v>
      </c>
      <c r="O1013" s="155">
        <f t="shared" si="96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97"/>
        <v>542850</v>
      </c>
      <c r="J1014" s="163">
        <f t="shared" si="93"/>
        <v>0</v>
      </c>
      <c r="K1014" s="155">
        <f t="shared" si="94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95"/>
        <v>0</v>
      </c>
      <c r="O1014" s="155">
        <f t="shared" si="96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97"/>
        <v>542850</v>
      </c>
      <c r="J1015" s="163">
        <f t="shared" si="93"/>
        <v>0</v>
      </c>
      <c r="K1015" s="155">
        <f t="shared" si="94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95"/>
        <v>0</v>
      </c>
      <c r="O1015" s="155">
        <f t="shared" si="96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97"/>
        <v>580849</v>
      </c>
      <c r="J1016" s="163">
        <f t="shared" si="93"/>
        <v>0</v>
      </c>
      <c r="K1016" s="155">
        <f t="shared" si="94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95"/>
        <v>0</v>
      </c>
      <c r="O1016" s="155">
        <f t="shared" si="96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97"/>
        <v>580849</v>
      </c>
      <c r="J1017" s="163">
        <f t="shared" si="93"/>
        <v>0</v>
      </c>
      <c r="K1017" s="155">
        <f t="shared" si="94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95"/>
        <v>0</v>
      </c>
      <c r="O1017" s="155">
        <f t="shared" si="96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97"/>
        <v>640563</v>
      </c>
      <c r="J1018" s="163">
        <f t="shared" si="93"/>
        <v>0</v>
      </c>
      <c r="K1018" s="155">
        <f t="shared" si="94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95"/>
        <v>0</v>
      </c>
      <c r="O1018" s="155">
        <f t="shared" si="96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97"/>
        <v>640563</v>
      </c>
      <c r="J1019" s="163">
        <f t="shared" si="93"/>
        <v>0</v>
      </c>
      <c r="K1019" s="155">
        <f t="shared" si="94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95"/>
        <v>0</v>
      </c>
      <c r="O1019" s="155">
        <f t="shared" si="96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97"/>
        <v>777904.11254937388</v>
      </c>
      <c r="J1020" s="163">
        <f t="shared" si="93"/>
        <v>0</v>
      </c>
      <c r="K1020" s="155">
        <f t="shared" si="94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95"/>
        <v>0</v>
      </c>
      <c r="O1020" s="155">
        <f t="shared" si="96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97"/>
        <v>777904.11254937388</v>
      </c>
      <c r="J1021" s="163">
        <f t="shared" si="93"/>
        <v>0</v>
      </c>
      <c r="K1021" s="155">
        <f t="shared" si="94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95"/>
        <v>0</v>
      </c>
      <c r="O1021" s="155">
        <f t="shared" si="96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97"/>
        <v>776275</v>
      </c>
      <c r="J1022" s="163">
        <f t="shared" si="93"/>
        <v>0</v>
      </c>
      <c r="K1022" s="155">
        <f t="shared" si="94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95"/>
        <v>0</v>
      </c>
      <c r="O1022" s="155">
        <f t="shared" si="96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97"/>
        <v>776275</v>
      </c>
      <c r="J1023" s="163">
        <f t="shared" si="93"/>
        <v>0</v>
      </c>
      <c r="K1023" s="155">
        <f t="shared" si="94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95"/>
        <v>0</v>
      </c>
      <c r="O1023" s="155">
        <f t="shared" si="96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97"/>
        <v>852274</v>
      </c>
      <c r="J1024" s="163">
        <f t="shared" si="93"/>
        <v>0</v>
      </c>
      <c r="K1024" s="155">
        <f t="shared" si="94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95"/>
        <v>0</v>
      </c>
      <c r="O1024" s="155">
        <f t="shared" si="96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97"/>
        <v>852274</v>
      </c>
      <c r="J1025" s="163">
        <f t="shared" si="93"/>
        <v>0</v>
      </c>
      <c r="K1025" s="155">
        <f t="shared" si="94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95"/>
        <v>0</v>
      </c>
      <c r="O1025" s="155">
        <f t="shared" si="96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97"/>
        <v>1280085.3169734846</v>
      </c>
      <c r="J1026" s="163">
        <f t="shared" si="93"/>
        <v>0</v>
      </c>
      <c r="K1026" s="155">
        <f t="shared" si="94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95"/>
        <v>0</v>
      </c>
      <c r="O1026" s="155">
        <f t="shared" si="96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97"/>
        <v>1280085.3169734846</v>
      </c>
      <c r="J1027" s="163">
        <f t="shared" si="93"/>
        <v>0</v>
      </c>
      <c r="K1027" s="155">
        <f t="shared" si="94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95"/>
        <v>0</v>
      </c>
      <c r="O1027" s="155">
        <f t="shared" si="96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97"/>
        <v>901131</v>
      </c>
      <c r="J1028" s="163">
        <f t="shared" si="93"/>
        <v>0</v>
      </c>
      <c r="K1028" s="155">
        <f t="shared" si="94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95"/>
        <v>0</v>
      </c>
      <c r="O1028" s="155">
        <f t="shared" si="96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97"/>
        <v>901131</v>
      </c>
      <c r="J1029" s="163">
        <f t="shared" si="93"/>
        <v>0</v>
      </c>
      <c r="K1029" s="155">
        <f t="shared" si="94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95"/>
        <v>0</v>
      </c>
      <c r="O1029" s="155">
        <f t="shared" si="96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97"/>
        <v>928273</v>
      </c>
      <c r="J1030" s="163">
        <f t="shared" si="93"/>
        <v>0</v>
      </c>
      <c r="K1030" s="155">
        <f t="shared" si="94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95"/>
        <v>0</v>
      </c>
      <c r="O1030" s="155">
        <f t="shared" si="96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97"/>
        <v>928273</v>
      </c>
      <c r="J1031" s="163">
        <f t="shared" si="93"/>
        <v>0</v>
      </c>
      <c r="K1031" s="155">
        <f t="shared" si="94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95"/>
        <v>0</v>
      </c>
      <c r="O1031" s="155">
        <f t="shared" si="96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97"/>
        <v>1063986</v>
      </c>
      <c r="J1032" s="163">
        <f t="shared" si="93"/>
        <v>0</v>
      </c>
      <c r="K1032" s="155">
        <f t="shared" si="94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95"/>
        <v>0</v>
      </c>
      <c r="O1032" s="155">
        <f t="shared" si="96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97"/>
        <v>1063986</v>
      </c>
      <c r="J1033" s="163">
        <f t="shared" si="93"/>
        <v>0</v>
      </c>
      <c r="K1033" s="155">
        <f t="shared" si="94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95"/>
        <v>0</v>
      </c>
      <c r="O1033" s="155">
        <f t="shared" si="96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97"/>
        <v>1503365.2512190146</v>
      </c>
      <c r="J1034" s="163">
        <f t="shared" si="93"/>
        <v>0</v>
      </c>
      <c r="K1034" s="155">
        <f t="shared" si="9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95"/>
        <v>0</v>
      </c>
      <c r="O1034" s="155">
        <f t="shared" si="96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97"/>
        <v>1503365.2512190146</v>
      </c>
      <c r="J1035" s="163">
        <f t="shared" si="93"/>
        <v>0</v>
      </c>
      <c r="K1035" s="155">
        <f t="shared" si="9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95"/>
        <v>0</v>
      </c>
      <c r="O1035" s="155">
        <f t="shared" si="96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97"/>
        <v>0</v>
      </c>
      <c r="J1036" s="163">
        <f t="shared" ref="J1036:J1099" si="98">IF(D1036="MDU-KD",1,0)</f>
        <v>0</v>
      </c>
      <c r="K1036" s="155">
        <f t="shared" ref="K1036:K1099" si="99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100">IF(L1036=0,M1036,L1036)</f>
        <v>0</v>
      </c>
      <c r="O1036" s="155">
        <f t="shared" ref="O1036:O1099" si="101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97"/>
        <v>0</v>
      </c>
      <c r="J1037" s="163">
        <f t="shared" si="98"/>
        <v>0</v>
      </c>
      <c r="K1037" s="155">
        <f t="shared" si="9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00"/>
        <v>0</v>
      </c>
      <c r="O1037" s="155">
        <f t="shared" si="101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97"/>
        <v>13800</v>
      </c>
      <c r="J1038" s="163">
        <f t="shared" si="98"/>
        <v>0</v>
      </c>
      <c r="K1038" s="155">
        <f t="shared" si="9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00"/>
        <v>0</v>
      </c>
      <c r="O1038" s="155">
        <f t="shared" si="101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97"/>
        <v>12700</v>
      </c>
      <c r="J1039" s="163">
        <f t="shared" si="98"/>
        <v>0</v>
      </c>
      <c r="K1039" s="155">
        <f t="shared" si="9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00"/>
        <v>0</v>
      </c>
      <c r="O1039" s="155">
        <f t="shared" si="101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97"/>
        <v>1570000</v>
      </c>
      <c r="J1040" s="163">
        <f t="shared" si="98"/>
        <v>0</v>
      </c>
      <c r="K1040" s="155">
        <f t="shared" si="9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00"/>
        <v>0</v>
      </c>
      <c r="O1040" s="155">
        <f t="shared" si="101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97"/>
        <v>1255000</v>
      </c>
      <c r="J1041" s="163">
        <f t="shared" si="98"/>
        <v>0</v>
      </c>
      <c r="K1041" s="155">
        <f t="shared" si="9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00"/>
        <v>0</v>
      </c>
      <c r="O1041" s="155">
        <f t="shared" si="101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97"/>
        <v>700</v>
      </c>
      <c r="J1042" s="163">
        <f t="shared" si="98"/>
        <v>0</v>
      </c>
      <c r="K1042" s="155">
        <f t="shared" si="9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00"/>
        <v>0</v>
      </c>
      <c r="O1042" s="155">
        <f t="shared" si="101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97"/>
        <v>1700</v>
      </c>
      <c r="J1043" s="163">
        <f t="shared" si="98"/>
        <v>0</v>
      </c>
      <c r="K1043" s="155">
        <f t="shared" si="99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100"/>
        <v>0</v>
      </c>
      <c r="O1043" s="155">
        <f t="shared" si="101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97"/>
        <v>33700</v>
      </c>
      <c r="J1044" s="163">
        <f t="shared" si="98"/>
        <v>0</v>
      </c>
      <c r="K1044" s="155">
        <f t="shared" si="9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00"/>
        <v>0</v>
      </c>
      <c r="O1044" s="155">
        <f t="shared" si="101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97"/>
        <v>20100</v>
      </c>
      <c r="J1045" s="163">
        <f t="shared" si="98"/>
        <v>0</v>
      </c>
      <c r="K1045" s="155">
        <f t="shared" si="99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100"/>
        <v>0</v>
      </c>
      <c r="O1045" s="155">
        <f t="shared" si="101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97"/>
        <v>4566.666666666667</v>
      </c>
      <c r="J1046" s="163">
        <f t="shared" si="98"/>
        <v>0</v>
      </c>
      <c r="K1046" s="155">
        <f t="shared" si="9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00"/>
        <v>0</v>
      </c>
      <c r="O1046" s="155">
        <f t="shared" si="101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97"/>
        <v>1300</v>
      </c>
      <c r="J1047" s="163">
        <f t="shared" si="98"/>
        <v>0</v>
      </c>
      <c r="K1047" s="155">
        <f t="shared" si="9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00"/>
        <v>0</v>
      </c>
      <c r="O1047" s="155">
        <f t="shared" si="101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97"/>
        <v>2600</v>
      </c>
      <c r="J1048" s="163">
        <f t="shared" si="98"/>
        <v>0</v>
      </c>
      <c r="K1048" s="155">
        <f t="shared" si="9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00"/>
        <v>0</v>
      </c>
      <c r="O1048" s="155">
        <f t="shared" si="101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97"/>
        <v>6300</v>
      </c>
      <c r="J1049" s="163">
        <f t="shared" si="98"/>
        <v>0</v>
      </c>
      <c r="K1049" s="155">
        <f t="shared" si="99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00"/>
        <v>0</v>
      </c>
      <c r="O1049" s="155">
        <f t="shared" si="101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97"/>
        <v>6900</v>
      </c>
      <c r="J1050" s="163">
        <f t="shared" si="98"/>
        <v>0</v>
      </c>
      <c r="K1050" s="155">
        <f t="shared" si="99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00"/>
        <v>0</v>
      </c>
      <c r="O1050" s="155">
        <f t="shared" si="101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97"/>
        <v>8600</v>
      </c>
      <c r="J1051" s="163">
        <f t="shared" si="98"/>
        <v>0</v>
      </c>
      <c r="K1051" s="155">
        <f t="shared" si="99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00"/>
        <v>0</v>
      </c>
      <c r="O1051" s="155">
        <f t="shared" si="101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97"/>
        <v>162200</v>
      </c>
      <c r="J1052" s="163">
        <f t="shared" si="98"/>
        <v>0</v>
      </c>
      <c r="K1052" s="155">
        <f t="shared" si="99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00"/>
        <v>0</v>
      </c>
      <c r="O1052" s="155">
        <f t="shared" si="101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97"/>
        <v>0</v>
      </c>
      <c r="J1053" s="163">
        <f t="shared" si="98"/>
        <v>0</v>
      </c>
      <c r="K1053" s="155">
        <f t="shared" si="99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00"/>
        <v>0</v>
      </c>
      <c r="O1053" s="155">
        <f t="shared" si="101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97"/>
        <v>0</v>
      </c>
      <c r="J1054" s="163">
        <f t="shared" si="98"/>
        <v>0</v>
      </c>
      <c r="K1054" s="155">
        <f t="shared" si="99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00"/>
        <v>0</v>
      </c>
      <c r="O1054" s="155">
        <f t="shared" si="101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97"/>
        <v>25000</v>
      </c>
      <c r="J1055" s="163">
        <f t="shared" si="98"/>
        <v>0</v>
      </c>
      <c r="K1055" s="155">
        <f t="shared" si="99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00"/>
        <v>0</v>
      </c>
      <c r="O1055" s="155">
        <f t="shared" si="101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97"/>
        <v>60300</v>
      </c>
      <c r="J1056" s="163">
        <f t="shared" si="98"/>
        <v>0</v>
      </c>
      <c r="K1056" s="155">
        <f t="shared" si="99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00"/>
        <v>0</v>
      </c>
      <c r="O1056" s="155">
        <f t="shared" si="101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97"/>
        <v>54400</v>
      </c>
      <c r="J1057" s="163">
        <f t="shared" si="98"/>
        <v>0</v>
      </c>
      <c r="K1057" s="155">
        <f t="shared" si="99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00"/>
        <v>0</v>
      </c>
      <c r="O1057" s="155">
        <f t="shared" si="101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97"/>
        <v>106400</v>
      </c>
      <c r="J1058" s="163">
        <f t="shared" si="98"/>
        <v>0</v>
      </c>
      <c r="K1058" s="155">
        <f t="shared" si="99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00"/>
        <v>0</v>
      </c>
      <c r="O1058" s="155">
        <f t="shared" si="101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97"/>
        <v>798700</v>
      </c>
      <c r="J1059" s="163">
        <f t="shared" si="98"/>
        <v>0</v>
      </c>
      <c r="K1059" s="155">
        <f t="shared" si="99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00"/>
        <v>0</v>
      </c>
      <c r="O1059" s="155">
        <f t="shared" si="101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102">IF($I$5=$G$4,G1060,(IF($I$5=$F$4,F1060,0)))</f>
        <v>1641700</v>
      </c>
      <c r="J1060" s="163">
        <f t="shared" si="98"/>
        <v>0</v>
      </c>
      <c r="K1060" s="155">
        <f t="shared" si="99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00"/>
        <v>0</v>
      </c>
      <c r="O1060" s="155">
        <f t="shared" si="101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102"/>
        <v>39800</v>
      </c>
      <c r="J1061" s="163">
        <f t="shared" si="98"/>
        <v>0</v>
      </c>
      <c r="K1061" s="155">
        <f t="shared" si="99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00"/>
        <v>0</v>
      </c>
      <c r="O1061" s="155">
        <f t="shared" si="101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102"/>
        <v>78000</v>
      </c>
      <c r="J1062" s="163">
        <f t="shared" si="98"/>
        <v>0</v>
      </c>
      <c r="K1062" s="155">
        <f t="shared" si="99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00"/>
        <v>0</v>
      </c>
      <c r="O1062" s="155">
        <f t="shared" si="101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102"/>
        <v>0</v>
      </c>
      <c r="J1063" s="163">
        <f t="shared" si="98"/>
        <v>0</v>
      </c>
      <c r="K1063" s="155">
        <f t="shared" si="99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00"/>
        <v>0</v>
      </c>
      <c r="O1063" s="155">
        <f t="shared" si="101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102"/>
        <v>0</v>
      </c>
      <c r="J1064" s="163">
        <f t="shared" si="98"/>
        <v>0</v>
      </c>
      <c r="K1064" s="155">
        <f t="shared" si="99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00"/>
        <v>0</v>
      </c>
      <c r="O1064" s="155">
        <f t="shared" si="101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102"/>
        <v>0</v>
      </c>
      <c r="J1065" s="163">
        <f t="shared" si="98"/>
        <v>0</v>
      </c>
      <c r="K1065" s="155">
        <f t="shared" si="99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00"/>
        <v>0</v>
      </c>
      <c r="O1065" s="155">
        <f t="shared" si="101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102"/>
        <v>11880</v>
      </c>
      <c r="J1066" s="163">
        <f t="shared" si="98"/>
        <v>0</v>
      </c>
      <c r="K1066" s="155">
        <f t="shared" si="99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00"/>
        <v>0</v>
      </c>
      <c r="O1066" s="155">
        <f t="shared" si="101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102"/>
        <v>12300</v>
      </c>
      <c r="J1067" s="163">
        <f t="shared" si="98"/>
        <v>0</v>
      </c>
      <c r="K1067" s="155">
        <f t="shared" si="99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00"/>
        <v>0</v>
      </c>
      <c r="O1067" s="155">
        <f t="shared" si="101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102"/>
        <v>16500</v>
      </c>
      <c r="J1068" s="163">
        <f t="shared" si="98"/>
        <v>0</v>
      </c>
      <c r="K1068" s="155">
        <f t="shared" si="99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00"/>
        <v>0</v>
      </c>
      <c r="O1068" s="155">
        <f t="shared" si="101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102"/>
        <v>8940</v>
      </c>
      <c r="J1069" s="163">
        <f t="shared" si="98"/>
        <v>0</v>
      </c>
      <c r="K1069" s="155">
        <f t="shared" si="99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00"/>
        <v>0</v>
      </c>
      <c r="O1069" s="155">
        <f t="shared" si="101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102"/>
        <v>15060</v>
      </c>
      <c r="J1070" s="163">
        <f t="shared" si="98"/>
        <v>0</v>
      </c>
      <c r="K1070" s="155">
        <f t="shared" si="99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00"/>
        <v>0</v>
      </c>
      <c r="O1070" s="155">
        <f t="shared" si="101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102"/>
        <v>17820</v>
      </c>
      <c r="J1071" s="163">
        <f t="shared" si="98"/>
        <v>0</v>
      </c>
      <c r="K1071" s="155">
        <f t="shared" si="99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00"/>
        <v>0</v>
      </c>
      <c r="O1071" s="155">
        <f t="shared" si="101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102"/>
        <v>15060</v>
      </c>
      <c r="J1072" s="163">
        <f t="shared" si="98"/>
        <v>0</v>
      </c>
      <c r="K1072" s="155">
        <f t="shared" si="99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00"/>
        <v>0</v>
      </c>
      <c r="O1072" s="155">
        <f t="shared" si="101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102"/>
        <v>22560</v>
      </c>
      <c r="J1073" s="163">
        <f t="shared" si="98"/>
        <v>0</v>
      </c>
      <c r="K1073" s="155">
        <f t="shared" si="99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00"/>
        <v>0</v>
      </c>
      <c r="O1073" s="155">
        <f t="shared" si="101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102"/>
        <v>15060</v>
      </c>
      <c r="J1074" s="163">
        <f t="shared" si="98"/>
        <v>0</v>
      </c>
      <c r="K1074" s="155">
        <f t="shared" si="99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00"/>
        <v>0</v>
      </c>
      <c r="O1074" s="155">
        <f t="shared" si="101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102"/>
        <v>23880</v>
      </c>
      <c r="J1075" s="163">
        <f t="shared" si="98"/>
        <v>0</v>
      </c>
      <c r="K1075" s="155">
        <f t="shared" si="99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00"/>
        <v>0</v>
      </c>
      <c r="O1075" s="155">
        <f t="shared" si="101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102"/>
        <v>13320</v>
      </c>
      <c r="J1076" s="163">
        <f t="shared" si="98"/>
        <v>0</v>
      </c>
      <c r="K1076" s="155">
        <f t="shared" si="99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00"/>
        <v>0</v>
      </c>
      <c r="O1076" s="155">
        <f t="shared" si="101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102"/>
        <v>18180</v>
      </c>
      <c r="J1077" s="163">
        <f t="shared" si="98"/>
        <v>0</v>
      </c>
      <c r="K1077" s="155">
        <f t="shared" si="99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00"/>
        <v>0</v>
      </c>
      <c r="O1077" s="155">
        <f t="shared" si="101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102"/>
        <v>13920</v>
      </c>
      <c r="J1078" s="163">
        <f t="shared" si="98"/>
        <v>0</v>
      </c>
      <c r="K1078" s="155">
        <f t="shared" si="99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00"/>
        <v>0</v>
      </c>
      <c r="O1078" s="155">
        <f t="shared" si="101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102"/>
        <v>10320</v>
      </c>
      <c r="J1079" s="163">
        <f t="shared" si="98"/>
        <v>0</v>
      </c>
      <c r="K1079" s="155">
        <f t="shared" si="99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00"/>
        <v>0</v>
      </c>
      <c r="O1079" s="155">
        <f t="shared" si="101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102"/>
        <v>11880</v>
      </c>
      <c r="J1080" s="163">
        <f t="shared" si="98"/>
        <v>0</v>
      </c>
      <c r="K1080" s="155">
        <f t="shared" si="99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00"/>
        <v>0</v>
      </c>
      <c r="O1080" s="155">
        <f t="shared" si="101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102"/>
        <v>11880</v>
      </c>
      <c r="J1081" s="163">
        <f t="shared" si="98"/>
        <v>0</v>
      </c>
      <c r="K1081" s="155">
        <f t="shared" si="99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00"/>
        <v>0</v>
      </c>
      <c r="O1081" s="155">
        <f t="shared" si="101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102"/>
        <v>12300</v>
      </c>
      <c r="J1082" s="163">
        <f t="shared" si="98"/>
        <v>0</v>
      </c>
      <c r="K1082" s="155">
        <f t="shared" si="99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00"/>
        <v>0</v>
      </c>
      <c r="O1082" s="155">
        <f t="shared" si="101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102"/>
        <v>12300</v>
      </c>
      <c r="J1083" s="163">
        <f t="shared" si="98"/>
        <v>0</v>
      </c>
      <c r="K1083" s="155">
        <f t="shared" si="99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00"/>
        <v>0</v>
      </c>
      <c r="O1083" s="155">
        <f t="shared" si="101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102"/>
        <v>16500</v>
      </c>
      <c r="J1084" s="163">
        <f t="shared" si="98"/>
        <v>0</v>
      </c>
      <c r="K1084" s="155">
        <f t="shared" si="99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00"/>
        <v>0</v>
      </c>
      <c r="O1084" s="155">
        <f t="shared" si="101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102"/>
        <v>16500</v>
      </c>
      <c r="J1085" s="163">
        <f t="shared" si="98"/>
        <v>0</v>
      </c>
      <c r="K1085" s="155">
        <f t="shared" si="99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00"/>
        <v>0</v>
      </c>
      <c r="O1085" s="155">
        <f t="shared" si="101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102"/>
        <v>13260</v>
      </c>
      <c r="J1086" s="163">
        <f t="shared" si="98"/>
        <v>0</v>
      </c>
      <c r="K1086" s="155">
        <f t="shared" si="99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00"/>
        <v>0</v>
      </c>
      <c r="O1086" s="155">
        <f t="shared" si="101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102"/>
        <v>0</v>
      </c>
      <c r="J1087" s="163">
        <f t="shared" si="98"/>
        <v>0</v>
      </c>
      <c r="K1087" s="155">
        <f t="shared" si="99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00"/>
        <v>0</v>
      </c>
      <c r="O1087" s="155">
        <f t="shared" si="101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102"/>
        <v>0</v>
      </c>
      <c r="J1088" s="163">
        <f t="shared" si="98"/>
        <v>0</v>
      </c>
      <c r="K1088" s="155">
        <f t="shared" si="99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00"/>
        <v>0</v>
      </c>
      <c r="O1088" s="155">
        <f t="shared" si="101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102"/>
        <v>31920</v>
      </c>
      <c r="J1089" s="163">
        <f t="shared" si="98"/>
        <v>0</v>
      </c>
      <c r="K1089" s="155">
        <f t="shared" si="99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00"/>
        <v>0</v>
      </c>
      <c r="O1089" s="155">
        <f t="shared" si="101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102"/>
        <v>31920</v>
      </c>
      <c r="J1090" s="163">
        <f t="shared" si="98"/>
        <v>0</v>
      </c>
      <c r="K1090" s="155">
        <f t="shared" si="99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00"/>
        <v>0</v>
      </c>
      <c r="O1090" s="155">
        <f t="shared" si="101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102"/>
        <v>31920</v>
      </c>
      <c r="J1091" s="163">
        <f t="shared" si="98"/>
        <v>0</v>
      </c>
      <c r="K1091" s="155">
        <f t="shared" si="99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00"/>
        <v>0</v>
      </c>
      <c r="O1091" s="155">
        <f t="shared" si="101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102"/>
        <v>48060</v>
      </c>
      <c r="J1092" s="163">
        <f t="shared" si="98"/>
        <v>0</v>
      </c>
      <c r="K1092" s="155">
        <f t="shared" si="99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00"/>
        <v>0</v>
      </c>
      <c r="O1092" s="155">
        <f t="shared" si="101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102"/>
        <v>16200</v>
      </c>
      <c r="J1093" s="163">
        <f t="shared" si="98"/>
        <v>0</v>
      </c>
      <c r="K1093" s="155">
        <f t="shared" si="99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00"/>
        <v>0</v>
      </c>
      <c r="O1093" s="155">
        <f t="shared" si="101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102"/>
        <v>48060</v>
      </c>
      <c r="J1094" s="163">
        <f t="shared" si="98"/>
        <v>0</v>
      </c>
      <c r="K1094" s="155">
        <f t="shared" si="99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00"/>
        <v>0</v>
      </c>
      <c r="O1094" s="155">
        <f t="shared" si="101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102"/>
        <v>50400</v>
      </c>
      <c r="J1095" s="163">
        <f t="shared" si="98"/>
        <v>0</v>
      </c>
      <c r="K1095" s="155">
        <f t="shared" si="99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00"/>
        <v>0</v>
      </c>
      <c r="O1095" s="155">
        <f t="shared" si="101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102"/>
        <v>26400</v>
      </c>
      <c r="J1096" s="163">
        <f t="shared" si="98"/>
        <v>0</v>
      </c>
      <c r="K1096" s="155">
        <f t="shared" si="99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00"/>
        <v>0</v>
      </c>
      <c r="O1096" s="155">
        <f t="shared" si="101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102"/>
        <v>42180</v>
      </c>
      <c r="J1097" s="163">
        <f t="shared" si="98"/>
        <v>0</v>
      </c>
      <c r="K1097" s="155">
        <f t="shared" si="99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00"/>
        <v>0</v>
      </c>
      <c r="O1097" s="155">
        <f t="shared" si="101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102"/>
        <v>42180</v>
      </c>
      <c r="J1098" s="163">
        <f t="shared" si="98"/>
        <v>0</v>
      </c>
      <c r="K1098" s="155">
        <f t="shared" si="9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00"/>
        <v>0</v>
      </c>
      <c r="O1098" s="155">
        <f t="shared" si="101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102"/>
        <v>27120</v>
      </c>
      <c r="J1099" s="163">
        <f t="shared" si="98"/>
        <v>0</v>
      </c>
      <c r="K1099" s="155">
        <f t="shared" si="9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00"/>
        <v>0</v>
      </c>
      <c r="O1099" s="155">
        <f t="shared" si="101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102"/>
        <v>46800</v>
      </c>
      <c r="J1100" s="163">
        <f t="shared" ref="J1100:J1163" si="103">IF(D1100="MDU-KD",1,0)</f>
        <v>0</v>
      </c>
      <c r="K1100" s="155">
        <f t="shared" ref="K1100:K1163" si="104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105">IF(L1100=0,M1100,L1100)</f>
        <v>0</v>
      </c>
      <c r="O1100" s="155">
        <f t="shared" ref="O1100:O1163" si="106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102"/>
        <v>46800</v>
      </c>
      <c r="J1101" s="163">
        <f t="shared" si="103"/>
        <v>0</v>
      </c>
      <c r="K1101" s="155">
        <f t="shared" si="10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05"/>
        <v>0</v>
      </c>
      <c r="O1101" s="155">
        <f t="shared" si="106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102"/>
        <v>45240</v>
      </c>
      <c r="J1102" s="163">
        <f t="shared" si="103"/>
        <v>0</v>
      </c>
      <c r="K1102" s="155">
        <f t="shared" si="10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05"/>
        <v>0</v>
      </c>
      <c r="O1102" s="155">
        <f t="shared" si="106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102"/>
        <v>22740</v>
      </c>
      <c r="J1103" s="163">
        <f t="shared" si="103"/>
        <v>0</v>
      </c>
      <c r="K1103" s="155">
        <f t="shared" si="10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05"/>
        <v>0</v>
      </c>
      <c r="O1103" s="155">
        <f t="shared" si="106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102"/>
        <v>22740</v>
      </c>
      <c r="J1104" s="163">
        <f t="shared" si="103"/>
        <v>0</v>
      </c>
      <c r="K1104" s="155">
        <f t="shared" si="10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05"/>
        <v>0</v>
      </c>
      <c r="O1104" s="155">
        <f t="shared" si="106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102"/>
        <v>24420</v>
      </c>
      <c r="J1105" s="163">
        <f t="shared" si="103"/>
        <v>0</v>
      </c>
      <c r="K1105" s="155">
        <f t="shared" si="10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05"/>
        <v>0</v>
      </c>
      <c r="O1105" s="155">
        <f t="shared" si="106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102"/>
        <v>24420</v>
      </c>
      <c r="J1106" s="163">
        <f t="shared" si="103"/>
        <v>0</v>
      </c>
      <c r="K1106" s="155">
        <f t="shared" si="10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05"/>
        <v>0</v>
      </c>
      <c r="O1106" s="155">
        <f t="shared" si="106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102"/>
        <v>24420</v>
      </c>
      <c r="J1107" s="163">
        <f t="shared" si="103"/>
        <v>0</v>
      </c>
      <c r="K1107" s="155">
        <f t="shared" si="10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05"/>
        <v>0</v>
      </c>
      <c r="O1107" s="155">
        <f t="shared" si="106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102"/>
        <v>24420</v>
      </c>
      <c r="J1108" s="163">
        <f t="shared" si="103"/>
        <v>0</v>
      </c>
      <c r="K1108" s="155">
        <f t="shared" si="10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05"/>
        <v>0</v>
      </c>
      <c r="O1108" s="155">
        <f t="shared" si="106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102"/>
        <v>21720</v>
      </c>
      <c r="J1109" s="163">
        <f t="shared" si="103"/>
        <v>0</v>
      </c>
      <c r="K1109" s="155">
        <f t="shared" si="10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05"/>
        <v>0</v>
      </c>
      <c r="O1109" s="155">
        <f t="shared" si="106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102"/>
        <v>20100</v>
      </c>
      <c r="J1110" s="163">
        <f t="shared" si="103"/>
        <v>0</v>
      </c>
      <c r="K1110" s="155">
        <f t="shared" si="10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05"/>
        <v>0</v>
      </c>
      <c r="O1110" s="155">
        <f t="shared" si="106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102"/>
        <v>20100</v>
      </c>
      <c r="J1111" s="163">
        <f t="shared" si="103"/>
        <v>0</v>
      </c>
      <c r="K1111" s="155">
        <f t="shared" si="10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05"/>
        <v>0</v>
      </c>
      <c r="O1111" s="155">
        <f t="shared" si="106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102"/>
        <v>20100</v>
      </c>
      <c r="J1112" s="163">
        <f t="shared" si="103"/>
        <v>0</v>
      </c>
      <c r="K1112" s="155">
        <f t="shared" si="104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05"/>
        <v>0</v>
      </c>
      <c r="O1112" s="155">
        <f t="shared" si="106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102"/>
        <v>20100</v>
      </c>
      <c r="J1113" s="163">
        <f t="shared" si="103"/>
        <v>0</v>
      </c>
      <c r="K1113" s="155">
        <f t="shared" si="104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05"/>
        <v>0</v>
      </c>
      <c r="O1113" s="155">
        <f t="shared" si="106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102"/>
        <v>42240</v>
      </c>
      <c r="J1114" s="163">
        <f t="shared" si="103"/>
        <v>0</v>
      </c>
      <c r="K1114" s="155">
        <f t="shared" si="104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05"/>
        <v>0</v>
      </c>
      <c r="O1114" s="155">
        <f t="shared" si="106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102"/>
        <v>42240</v>
      </c>
      <c r="J1115" s="163">
        <f t="shared" si="103"/>
        <v>0</v>
      </c>
      <c r="K1115" s="155">
        <f t="shared" si="104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05"/>
        <v>0</v>
      </c>
      <c r="O1115" s="155">
        <f t="shared" si="106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102"/>
        <v>40260</v>
      </c>
      <c r="J1116" s="163">
        <f t="shared" si="103"/>
        <v>0</v>
      </c>
      <c r="K1116" s="155">
        <f t="shared" si="104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05"/>
        <v>0</v>
      </c>
      <c r="O1116" s="155">
        <f t="shared" si="106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102"/>
        <v>28020</v>
      </c>
      <c r="J1117" s="163">
        <f t="shared" si="103"/>
        <v>0</v>
      </c>
      <c r="K1117" s="155">
        <f t="shared" si="104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05"/>
        <v>0</v>
      </c>
      <c r="O1117" s="155">
        <f t="shared" si="106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102"/>
        <v>28020</v>
      </c>
      <c r="J1118" s="163">
        <f t="shared" si="103"/>
        <v>0</v>
      </c>
      <c r="K1118" s="155">
        <f t="shared" si="104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05"/>
        <v>0</v>
      </c>
      <c r="O1118" s="155">
        <f t="shared" si="106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102"/>
        <v>45360</v>
      </c>
      <c r="J1119" s="163">
        <f t="shared" si="103"/>
        <v>0</v>
      </c>
      <c r="K1119" s="155">
        <f t="shared" si="104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05"/>
        <v>0</v>
      </c>
      <c r="O1119" s="155">
        <f t="shared" si="106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102"/>
        <v>45360</v>
      </c>
      <c r="J1120" s="163">
        <f t="shared" si="103"/>
        <v>0</v>
      </c>
      <c r="K1120" s="155">
        <f t="shared" si="104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05"/>
        <v>0</v>
      </c>
      <c r="O1120" s="155">
        <f t="shared" si="106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102"/>
        <v>36060</v>
      </c>
      <c r="J1121" s="163">
        <f t="shared" si="103"/>
        <v>0</v>
      </c>
      <c r="K1121" s="155">
        <f t="shared" si="104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05"/>
        <v>0</v>
      </c>
      <c r="O1121" s="155">
        <f t="shared" si="106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102"/>
        <v>33660</v>
      </c>
      <c r="J1122" s="163">
        <f t="shared" si="103"/>
        <v>0</v>
      </c>
      <c r="K1122" s="155">
        <f t="shared" si="104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05"/>
        <v>0</v>
      </c>
      <c r="O1122" s="155">
        <f t="shared" si="106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102"/>
        <v>0</v>
      </c>
      <c r="J1123" s="163">
        <f t="shared" si="103"/>
        <v>0</v>
      </c>
      <c r="K1123" s="155">
        <f t="shared" si="104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05"/>
        <v>0</v>
      </c>
      <c r="O1123" s="155">
        <f t="shared" si="106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107">IF($I$5=$G$4,G1124,(IF($I$5=$F$4,F1124,0)))</f>
        <v>0</v>
      </c>
      <c r="J1124" s="163">
        <f t="shared" si="103"/>
        <v>0</v>
      </c>
      <c r="K1124" s="155">
        <f t="shared" si="104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05"/>
        <v>0</v>
      </c>
      <c r="O1124" s="155">
        <f t="shared" si="106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107"/>
        <v>38820</v>
      </c>
      <c r="J1125" s="163">
        <f t="shared" si="103"/>
        <v>0</v>
      </c>
      <c r="K1125" s="155">
        <f t="shared" si="104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05"/>
        <v>0</v>
      </c>
      <c r="O1125" s="155">
        <f t="shared" si="106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107"/>
        <v>38820</v>
      </c>
      <c r="J1126" s="163">
        <f t="shared" si="103"/>
        <v>0</v>
      </c>
      <c r="K1126" s="155">
        <f t="shared" si="104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05"/>
        <v>0</v>
      </c>
      <c r="O1126" s="155">
        <f t="shared" si="106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107"/>
        <v>47880</v>
      </c>
      <c r="J1127" s="163">
        <f t="shared" si="103"/>
        <v>0</v>
      </c>
      <c r="K1127" s="155">
        <f t="shared" si="104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05"/>
        <v>0</v>
      </c>
      <c r="O1127" s="155">
        <f t="shared" si="106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107"/>
        <v>49920</v>
      </c>
      <c r="J1128" s="163">
        <f t="shared" si="103"/>
        <v>0</v>
      </c>
      <c r="K1128" s="155">
        <f t="shared" si="104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05"/>
        <v>0</v>
      </c>
      <c r="O1128" s="155">
        <f t="shared" si="106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107"/>
        <v>64260</v>
      </c>
      <c r="J1129" s="163">
        <f t="shared" si="103"/>
        <v>0</v>
      </c>
      <c r="K1129" s="155">
        <f t="shared" si="104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05"/>
        <v>0</v>
      </c>
      <c r="O1129" s="155">
        <f t="shared" si="106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107"/>
        <v>110640</v>
      </c>
      <c r="J1130" s="163">
        <f t="shared" si="103"/>
        <v>0</v>
      </c>
      <c r="K1130" s="155">
        <f t="shared" si="104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05"/>
        <v>0</v>
      </c>
      <c r="O1130" s="155">
        <f t="shared" si="106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107"/>
        <v>0</v>
      </c>
      <c r="J1131" s="163">
        <f t="shared" si="103"/>
        <v>0</v>
      </c>
      <c r="K1131" s="155">
        <f t="shared" si="104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05"/>
        <v>0</v>
      </c>
      <c r="O1131" s="155">
        <f t="shared" si="106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107"/>
        <v>0</v>
      </c>
      <c r="J1132" s="163">
        <f t="shared" si="103"/>
        <v>0</v>
      </c>
      <c r="K1132" s="155">
        <f t="shared" si="104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05"/>
        <v>0</v>
      </c>
      <c r="O1132" s="155">
        <f t="shared" si="106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107"/>
        <v>45120</v>
      </c>
      <c r="J1133" s="163">
        <f t="shared" si="103"/>
        <v>0</v>
      </c>
      <c r="K1133" s="155">
        <f t="shared" si="104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05"/>
        <v>0</v>
      </c>
      <c r="O1133" s="155">
        <f t="shared" si="106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107"/>
        <v>45120</v>
      </c>
      <c r="J1134" s="163">
        <f t="shared" si="103"/>
        <v>0</v>
      </c>
      <c r="K1134" s="155">
        <f t="shared" si="104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05"/>
        <v>0</v>
      </c>
      <c r="O1134" s="155">
        <f t="shared" si="106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107"/>
        <v>44940</v>
      </c>
      <c r="J1135" s="163">
        <f t="shared" si="103"/>
        <v>0</v>
      </c>
      <c r="K1135" s="155">
        <f t="shared" si="104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05"/>
        <v>0</v>
      </c>
      <c r="O1135" s="155">
        <f t="shared" si="106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107"/>
        <v>47640</v>
      </c>
      <c r="J1136" s="163">
        <f t="shared" si="103"/>
        <v>0</v>
      </c>
      <c r="K1136" s="155">
        <f t="shared" si="104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05"/>
        <v>0</v>
      </c>
      <c r="O1136" s="155">
        <f t="shared" si="106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107"/>
        <v>50340</v>
      </c>
      <c r="J1137" s="163">
        <f t="shared" si="103"/>
        <v>0</v>
      </c>
      <c r="K1137" s="155">
        <f t="shared" si="104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05"/>
        <v>0</v>
      </c>
      <c r="O1137" s="155">
        <f t="shared" si="106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107"/>
        <v>43860</v>
      </c>
      <c r="J1138" s="163">
        <f t="shared" si="103"/>
        <v>0</v>
      </c>
      <c r="K1138" s="155">
        <f t="shared" si="104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05"/>
        <v>0</v>
      </c>
      <c r="O1138" s="155">
        <f t="shared" si="106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107"/>
        <v>50940</v>
      </c>
      <c r="J1139" s="163">
        <f t="shared" si="103"/>
        <v>0</v>
      </c>
      <c r="K1139" s="155">
        <f t="shared" si="104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05"/>
        <v>0</v>
      </c>
      <c r="O1139" s="155">
        <f t="shared" si="106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107"/>
        <v>50940</v>
      </c>
      <c r="J1140" s="163">
        <f t="shared" si="103"/>
        <v>0</v>
      </c>
      <c r="K1140" s="155">
        <f t="shared" si="104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05"/>
        <v>0</v>
      </c>
      <c r="O1140" s="155">
        <f t="shared" si="106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107"/>
        <v>48240</v>
      </c>
      <c r="J1141" s="163">
        <f t="shared" si="103"/>
        <v>0</v>
      </c>
      <c r="K1141" s="155">
        <f t="shared" si="104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05"/>
        <v>0</v>
      </c>
      <c r="O1141" s="155">
        <f t="shared" si="106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107"/>
        <v>47280</v>
      </c>
      <c r="J1142" s="163">
        <f t="shared" si="103"/>
        <v>0</v>
      </c>
      <c r="K1142" s="155">
        <f t="shared" si="104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05"/>
        <v>0</v>
      </c>
      <c r="O1142" s="155">
        <f t="shared" si="106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107"/>
        <v>59940</v>
      </c>
      <c r="J1143" s="163">
        <f t="shared" si="103"/>
        <v>0</v>
      </c>
      <c r="K1143" s="155">
        <f t="shared" si="104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05"/>
        <v>0</v>
      </c>
      <c r="O1143" s="155">
        <f t="shared" si="106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107"/>
        <v>55080</v>
      </c>
      <c r="J1144" s="163">
        <f t="shared" si="103"/>
        <v>0</v>
      </c>
      <c r="K1144" s="155">
        <f t="shared" si="104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05"/>
        <v>0</v>
      </c>
      <c r="O1144" s="155">
        <f t="shared" si="106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107"/>
        <v>44640</v>
      </c>
      <c r="J1145" s="163">
        <f t="shared" si="103"/>
        <v>0</v>
      </c>
      <c r="K1145" s="155">
        <f t="shared" si="104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05"/>
        <v>0</v>
      </c>
      <c r="O1145" s="155">
        <f t="shared" si="106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107"/>
        <v>58920</v>
      </c>
      <c r="J1146" s="163">
        <f t="shared" si="103"/>
        <v>0</v>
      </c>
      <c r="K1146" s="155">
        <f t="shared" si="104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05"/>
        <v>0</v>
      </c>
      <c r="O1146" s="155">
        <f t="shared" si="106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107"/>
        <v>58920</v>
      </c>
      <c r="J1147" s="163">
        <f t="shared" si="103"/>
        <v>0</v>
      </c>
      <c r="K1147" s="155">
        <f t="shared" si="104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05"/>
        <v>0</v>
      </c>
      <c r="O1147" s="155">
        <f t="shared" si="106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107"/>
        <v>58140</v>
      </c>
      <c r="J1148" s="163">
        <f t="shared" si="103"/>
        <v>0</v>
      </c>
      <c r="K1148" s="155">
        <f t="shared" si="104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05"/>
        <v>0</v>
      </c>
      <c r="O1148" s="155">
        <f t="shared" si="106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107"/>
        <v>58140</v>
      </c>
      <c r="J1149" s="163">
        <f t="shared" si="103"/>
        <v>0</v>
      </c>
      <c r="K1149" s="155">
        <f t="shared" si="104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05"/>
        <v>0</v>
      </c>
      <c r="O1149" s="155">
        <f t="shared" si="106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107"/>
        <v>56340</v>
      </c>
      <c r="J1150" s="163">
        <f t="shared" si="103"/>
        <v>0</v>
      </c>
      <c r="K1150" s="155">
        <f t="shared" si="104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05"/>
        <v>0</v>
      </c>
      <c r="O1150" s="155">
        <f t="shared" si="106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107"/>
        <v>105060</v>
      </c>
      <c r="J1151" s="163">
        <f t="shared" si="103"/>
        <v>0</v>
      </c>
      <c r="K1151" s="155">
        <f t="shared" si="104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05"/>
        <v>0</v>
      </c>
      <c r="O1151" s="155">
        <f t="shared" si="106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107"/>
        <v>57540</v>
      </c>
      <c r="J1152" s="163">
        <f t="shared" si="103"/>
        <v>0</v>
      </c>
      <c r="K1152" s="155">
        <f t="shared" si="104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05"/>
        <v>0</v>
      </c>
      <c r="O1152" s="155">
        <f t="shared" si="106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107"/>
        <v>61080</v>
      </c>
      <c r="J1153" s="163">
        <f t="shared" si="103"/>
        <v>0</v>
      </c>
      <c r="K1153" s="155">
        <f t="shared" si="104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05"/>
        <v>0</v>
      </c>
      <c r="O1153" s="155">
        <f t="shared" si="106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107"/>
        <v>71880</v>
      </c>
      <c r="J1154" s="163">
        <f t="shared" si="103"/>
        <v>0</v>
      </c>
      <c r="K1154" s="155">
        <f t="shared" si="104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05"/>
        <v>0</v>
      </c>
      <c r="O1154" s="155">
        <f t="shared" si="106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107"/>
        <v>61080</v>
      </c>
      <c r="J1155" s="163">
        <f t="shared" si="103"/>
        <v>0</v>
      </c>
      <c r="K1155" s="155">
        <f t="shared" si="104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05"/>
        <v>0</v>
      </c>
      <c r="O1155" s="155">
        <f t="shared" si="106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107"/>
        <v>55860</v>
      </c>
      <c r="J1156" s="163">
        <f t="shared" si="103"/>
        <v>0</v>
      </c>
      <c r="K1156" s="155">
        <f t="shared" si="104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05"/>
        <v>0</v>
      </c>
      <c r="O1156" s="155">
        <f t="shared" si="106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107"/>
        <v>58680</v>
      </c>
      <c r="J1157" s="163">
        <f t="shared" si="103"/>
        <v>0</v>
      </c>
      <c r="K1157" s="155">
        <f t="shared" si="104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05"/>
        <v>0</v>
      </c>
      <c r="O1157" s="155">
        <f t="shared" si="106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107"/>
        <v>115680</v>
      </c>
      <c r="J1158" s="163">
        <f t="shared" si="103"/>
        <v>0</v>
      </c>
      <c r="K1158" s="155">
        <f t="shared" si="104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05"/>
        <v>0</v>
      </c>
      <c r="O1158" s="155">
        <f t="shared" si="106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107"/>
        <v>118500</v>
      </c>
      <c r="J1159" s="163">
        <f t="shared" si="103"/>
        <v>0</v>
      </c>
      <c r="K1159" s="155">
        <f t="shared" si="104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05"/>
        <v>0</v>
      </c>
      <c r="O1159" s="155">
        <f t="shared" si="106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107"/>
        <v>118500</v>
      </c>
      <c r="J1160" s="163">
        <f t="shared" si="103"/>
        <v>0</v>
      </c>
      <c r="K1160" s="155">
        <f t="shared" si="104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05"/>
        <v>0</v>
      </c>
      <c r="O1160" s="155">
        <f t="shared" si="106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107"/>
        <v>117900</v>
      </c>
      <c r="J1161" s="163">
        <f t="shared" si="103"/>
        <v>0</v>
      </c>
      <c r="K1161" s="155">
        <f t="shared" si="104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05"/>
        <v>0</v>
      </c>
      <c r="O1161" s="155">
        <f t="shared" si="106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107"/>
        <v>120120</v>
      </c>
      <c r="J1162" s="163">
        <f t="shared" si="103"/>
        <v>0</v>
      </c>
      <c r="K1162" s="155">
        <f t="shared" si="10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05"/>
        <v>0</v>
      </c>
      <c r="O1162" s="155">
        <f t="shared" si="106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107"/>
        <v>50460</v>
      </c>
      <c r="J1163" s="163">
        <f t="shared" si="103"/>
        <v>0</v>
      </c>
      <c r="K1163" s="155">
        <f t="shared" si="10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05"/>
        <v>0</v>
      </c>
      <c r="O1163" s="155">
        <f t="shared" si="106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107"/>
        <v>50460</v>
      </c>
      <c r="J1164" s="163">
        <f t="shared" ref="J1164:J1227" si="108">IF(D1164="MDU-KD",1,0)</f>
        <v>0</v>
      </c>
      <c r="K1164" s="155">
        <f t="shared" ref="K1164:K1227" si="109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110">IF(L1164=0,M1164,L1164)</f>
        <v>0</v>
      </c>
      <c r="O1164" s="155">
        <f t="shared" ref="O1164:O1227" si="111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107"/>
        <v>41400</v>
      </c>
      <c r="J1165" s="163">
        <f t="shared" si="108"/>
        <v>0</v>
      </c>
      <c r="K1165" s="155">
        <f t="shared" si="10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10"/>
        <v>0</v>
      </c>
      <c r="O1165" s="155">
        <f t="shared" si="111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107"/>
        <v>61140</v>
      </c>
      <c r="J1166" s="163">
        <f t="shared" si="108"/>
        <v>0</v>
      </c>
      <c r="K1166" s="155">
        <f t="shared" si="10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10"/>
        <v>0</v>
      </c>
      <c r="O1166" s="155">
        <f t="shared" si="111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107"/>
        <v>61140</v>
      </c>
      <c r="J1167" s="163">
        <f t="shared" si="108"/>
        <v>0</v>
      </c>
      <c r="K1167" s="155">
        <f t="shared" si="10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10"/>
        <v>0</v>
      </c>
      <c r="O1167" s="155">
        <f t="shared" si="111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107"/>
        <v>55380</v>
      </c>
      <c r="J1168" s="163">
        <f t="shared" si="108"/>
        <v>0</v>
      </c>
      <c r="K1168" s="155">
        <f t="shared" si="10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10"/>
        <v>0</v>
      </c>
      <c r="O1168" s="155">
        <f t="shared" si="111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107"/>
        <v>61860</v>
      </c>
      <c r="J1169" s="163">
        <f t="shared" si="108"/>
        <v>0</v>
      </c>
      <c r="K1169" s="155">
        <f t="shared" si="10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10"/>
        <v>0</v>
      </c>
      <c r="O1169" s="155">
        <f t="shared" si="111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107"/>
        <v>63900</v>
      </c>
      <c r="J1170" s="163">
        <f t="shared" si="108"/>
        <v>0</v>
      </c>
      <c r="K1170" s="155">
        <f t="shared" si="10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10"/>
        <v>0</v>
      </c>
      <c r="O1170" s="155">
        <f t="shared" si="111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107"/>
        <v>59220</v>
      </c>
      <c r="J1171" s="163">
        <f t="shared" si="108"/>
        <v>0</v>
      </c>
      <c r="K1171" s="155">
        <f t="shared" si="10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10"/>
        <v>0</v>
      </c>
      <c r="O1171" s="155">
        <f t="shared" si="111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107"/>
        <v>0</v>
      </c>
      <c r="J1172" s="163">
        <f t="shared" si="108"/>
        <v>0</v>
      </c>
      <c r="K1172" s="155">
        <f t="shared" si="10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10"/>
        <v>0</v>
      </c>
      <c r="O1172" s="155">
        <f t="shared" si="111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107"/>
        <v>0</v>
      </c>
      <c r="J1173" s="163">
        <f t="shared" si="108"/>
        <v>0</v>
      </c>
      <c r="K1173" s="155">
        <f t="shared" si="10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10"/>
        <v>0</v>
      </c>
      <c r="O1173" s="155">
        <f t="shared" si="111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107"/>
        <v>89700</v>
      </c>
      <c r="J1174" s="163">
        <f t="shared" si="108"/>
        <v>0</v>
      </c>
      <c r="K1174" s="155">
        <f t="shared" si="10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10"/>
        <v>0</v>
      </c>
      <c r="O1174" s="155">
        <f t="shared" si="111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107"/>
        <v>91200</v>
      </c>
      <c r="J1175" s="163">
        <f t="shared" si="108"/>
        <v>0</v>
      </c>
      <c r="K1175" s="155">
        <f t="shared" si="10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10"/>
        <v>0</v>
      </c>
      <c r="O1175" s="155">
        <f t="shared" si="111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107"/>
        <v>95640</v>
      </c>
      <c r="J1176" s="163">
        <f t="shared" si="108"/>
        <v>0</v>
      </c>
      <c r="K1176" s="155">
        <f t="shared" si="109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10"/>
        <v>0</v>
      </c>
      <c r="O1176" s="155">
        <f t="shared" si="111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107"/>
        <v>95640</v>
      </c>
      <c r="J1177" s="163">
        <f t="shared" si="108"/>
        <v>0</v>
      </c>
      <c r="K1177" s="155">
        <f t="shared" si="109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10"/>
        <v>0</v>
      </c>
      <c r="O1177" s="155">
        <f t="shared" si="111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107"/>
        <v>116340</v>
      </c>
      <c r="J1178" s="163">
        <f t="shared" si="108"/>
        <v>0</v>
      </c>
      <c r="K1178" s="155">
        <f t="shared" si="109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10"/>
        <v>0</v>
      </c>
      <c r="O1178" s="155">
        <f t="shared" si="111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107"/>
        <v>115020</v>
      </c>
      <c r="J1179" s="163">
        <f t="shared" si="108"/>
        <v>0</v>
      </c>
      <c r="K1179" s="155">
        <f t="shared" si="109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10"/>
        <v>0</v>
      </c>
      <c r="O1179" s="155">
        <f t="shared" si="111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107"/>
        <v>115020</v>
      </c>
      <c r="J1180" s="163">
        <f t="shared" si="108"/>
        <v>0</v>
      </c>
      <c r="K1180" s="155">
        <f t="shared" si="109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10"/>
        <v>0</v>
      </c>
      <c r="O1180" s="155">
        <f t="shared" si="111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107"/>
        <v>115020</v>
      </c>
      <c r="J1181" s="163">
        <f t="shared" si="108"/>
        <v>0</v>
      </c>
      <c r="K1181" s="155">
        <f t="shared" si="109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10"/>
        <v>0</v>
      </c>
      <c r="O1181" s="155">
        <f t="shared" si="111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107"/>
        <v>117900</v>
      </c>
      <c r="J1182" s="163">
        <f t="shared" si="108"/>
        <v>0</v>
      </c>
      <c r="K1182" s="155">
        <f t="shared" si="109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10"/>
        <v>0</v>
      </c>
      <c r="O1182" s="155">
        <f t="shared" si="111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107"/>
        <v>136860</v>
      </c>
      <c r="J1183" s="163">
        <f t="shared" si="108"/>
        <v>0</v>
      </c>
      <c r="K1183" s="155">
        <f t="shared" si="109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10"/>
        <v>0</v>
      </c>
      <c r="O1183" s="155">
        <f t="shared" si="111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107"/>
        <v>220920</v>
      </c>
      <c r="J1184" s="163">
        <f t="shared" si="108"/>
        <v>0</v>
      </c>
      <c r="K1184" s="155">
        <f t="shared" si="109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10"/>
        <v>0</v>
      </c>
      <c r="O1184" s="155">
        <f t="shared" si="111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107"/>
        <v>220920</v>
      </c>
      <c r="J1185" s="163">
        <f t="shared" si="108"/>
        <v>0</v>
      </c>
      <c r="K1185" s="155">
        <f t="shared" si="109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10"/>
        <v>0</v>
      </c>
      <c r="O1185" s="155">
        <f t="shared" si="111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107"/>
        <v>0</v>
      </c>
      <c r="J1186" s="163">
        <f t="shared" si="108"/>
        <v>0</v>
      </c>
      <c r="K1186" s="155">
        <f t="shared" si="109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10"/>
        <v>0</v>
      </c>
      <c r="O1186" s="155">
        <f t="shared" si="111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107"/>
        <v>0</v>
      </c>
      <c r="J1187" s="163">
        <f t="shared" si="108"/>
        <v>0</v>
      </c>
      <c r="K1187" s="155">
        <f t="shared" si="109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10"/>
        <v>0</v>
      </c>
      <c r="O1187" s="155">
        <f t="shared" si="111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112">IF($I$5=$G$4,G1188,(IF($I$5=$F$4,F1188,0)))</f>
        <v>19440</v>
      </c>
      <c r="J1188" s="163">
        <f t="shared" si="108"/>
        <v>0</v>
      </c>
      <c r="K1188" s="155">
        <f t="shared" si="109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10"/>
        <v>0</v>
      </c>
      <c r="O1188" s="155">
        <f t="shared" si="111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112"/>
        <v>28860</v>
      </c>
      <c r="J1189" s="163">
        <f t="shared" si="108"/>
        <v>0</v>
      </c>
      <c r="K1189" s="155">
        <f t="shared" si="109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10"/>
        <v>0</v>
      </c>
      <c r="O1189" s="155">
        <f t="shared" si="111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112"/>
        <v>33180</v>
      </c>
      <c r="J1190" s="163">
        <f t="shared" si="108"/>
        <v>0</v>
      </c>
      <c r="K1190" s="155">
        <f t="shared" si="109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10"/>
        <v>0</v>
      </c>
      <c r="O1190" s="155">
        <f t="shared" si="111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112"/>
        <v>30900</v>
      </c>
      <c r="J1191" s="163">
        <f t="shared" si="108"/>
        <v>0</v>
      </c>
      <c r="K1191" s="155">
        <f t="shared" si="109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10"/>
        <v>0</v>
      </c>
      <c r="O1191" s="155">
        <f t="shared" si="111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112"/>
        <v>40740</v>
      </c>
      <c r="J1192" s="163">
        <f t="shared" si="108"/>
        <v>0</v>
      </c>
      <c r="K1192" s="155">
        <f t="shared" si="109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10"/>
        <v>0</v>
      </c>
      <c r="O1192" s="155">
        <f t="shared" si="111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112"/>
        <v>34020</v>
      </c>
      <c r="J1193" s="163">
        <f t="shared" si="108"/>
        <v>0</v>
      </c>
      <c r="K1193" s="155">
        <f t="shared" si="109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10"/>
        <v>0</v>
      </c>
      <c r="O1193" s="155">
        <f t="shared" si="111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112"/>
        <v>358140</v>
      </c>
      <c r="J1194" s="163">
        <f t="shared" si="108"/>
        <v>0</v>
      </c>
      <c r="K1194" s="155">
        <f t="shared" si="109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10"/>
        <v>0</v>
      </c>
      <c r="O1194" s="155">
        <f t="shared" si="111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112"/>
        <v>240900</v>
      </c>
      <c r="J1195" s="163">
        <f t="shared" si="108"/>
        <v>0</v>
      </c>
      <c r="K1195" s="155">
        <f t="shared" si="109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10"/>
        <v>0</v>
      </c>
      <c r="O1195" s="155">
        <f t="shared" si="111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112"/>
        <v>0</v>
      </c>
      <c r="J1196" s="163">
        <f t="shared" si="108"/>
        <v>0</v>
      </c>
      <c r="K1196" s="155">
        <f t="shared" si="109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10"/>
        <v>0</v>
      </c>
      <c r="O1196" s="155">
        <f t="shared" si="111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112"/>
        <v>0</v>
      </c>
      <c r="J1197" s="163">
        <f t="shared" si="108"/>
        <v>0</v>
      </c>
      <c r="K1197" s="155">
        <f t="shared" si="109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10"/>
        <v>0</v>
      </c>
      <c r="O1197" s="155">
        <f t="shared" si="111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112"/>
        <v>33840</v>
      </c>
      <c r="J1198" s="163">
        <f t="shared" si="108"/>
        <v>0</v>
      </c>
      <c r="K1198" s="155">
        <f t="shared" si="109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10"/>
        <v>0</v>
      </c>
      <c r="O1198" s="155">
        <f t="shared" si="111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112"/>
        <v>39240</v>
      </c>
      <c r="J1199" s="163">
        <f t="shared" si="108"/>
        <v>0</v>
      </c>
      <c r="K1199" s="155">
        <f t="shared" si="109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10"/>
        <v>0</v>
      </c>
      <c r="O1199" s="155">
        <f t="shared" si="111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112"/>
        <v>7320</v>
      </c>
      <c r="J1200" s="163">
        <f t="shared" si="108"/>
        <v>0</v>
      </c>
      <c r="K1200" s="155">
        <f t="shared" si="109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10"/>
        <v>0</v>
      </c>
      <c r="O1200" s="155">
        <f t="shared" si="111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112"/>
        <v>9600</v>
      </c>
      <c r="J1201" s="163">
        <f t="shared" si="108"/>
        <v>0</v>
      </c>
      <c r="K1201" s="155">
        <f t="shared" si="109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10"/>
        <v>0</v>
      </c>
      <c r="O1201" s="155">
        <f t="shared" si="111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112"/>
        <v>103860</v>
      </c>
      <c r="J1202" s="163">
        <f t="shared" si="108"/>
        <v>0</v>
      </c>
      <c r="K1202" s="155">
        <f t="shared" si="109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10"/>
        <v>0</v>
      </c>
      <c r="O1202" s="155">
        <f t="shared" si="111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112"/>
        <v>923940</v>
      </c>
      <c r="J1203" s="163">
        <f t="shared" si="108"/>
        <v>0</v>
      </c>
      <c r="K1203" s="155">
        <f t="shared" si="109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10"/>
        <v>0</v>
      </c>
      <c r="O1203" s="155">
        <f t="shared" si="111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112"/>
        <v>14160</v>
      </c>
      <c r="J1204" s="163">
        <f t="shared" si="108"/>
        <v>0</v>
      </c>
      <c r="K1204" s="155">
        <f t="shared" si="109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10"/>
        <v>0</v>
      </c>
      <c r="O1204" s="155">
        <f t="shared" si="111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112"/>
        <v>12060</v>
      </c>
      <c r="J1205" s="163">
        <f t="shared" si="108"/>
        <v>0</v>
      </c>
      <c r="K1205" s="155">
        <f t="shared" si="109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10"/>
        <v>0</v>
      </c>
      <c r="O1205" s="155">
        <f t="shared" si="111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112"/>
        <v>14160</v>
      </c>
      <c r="J1206" s="163">
        <f t="shared" si="108"/>
        <v>0</v>
      </c>
      <c r="K1206" s="155">
        <f t="shared" si="109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10"/>
        <v>0</v>
      </c>
      <c r="O1206" s="155">
        <f t="shared" si="111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112"/>
        <v>14160</v>
      </c>
      <c r="J1207" s="163">
        <f t="shared" si="108"/>
        <v>0</v>
      </c>
      <c r="K1207" s="155">
        <f t="shared" si="109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10"/>
        <v>0</v>
      </c>
      <c r="O1207" s="155">
        <f t="shared" si="111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112"/>
        <v>35040</v>
      </c>
      <c r="J1208" s="163">
        <f t="shared" si="108"/>
        <v>0</v>
      </c>
      <c r="K1208" s="155">
        <f t="shared" si="109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10"/>
        <v>0</v>
      </c>
      <c r="O1208" s="155">
        <f t="shared" si="111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112"/>
        <v>25860</v>
      </c>
      <c r="J1209" s="163">
        <f t="shared" si="108"/>
        <v>0</v>
      </c>
      <c r="K1209" s="155">
        <f t="shared" si="109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10"/>
        <v>0</v>
      </c>
      <c r="O1209" s="155">
        <f t="shared" si="111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112"/>
        <v>35040</v>
      </c>
      <c r="J1210" s="163">
        <f t="shared" si="108"/>
        <v>0</v>
      </c>
      <c r="K1210" s="155">
        <f t="shared" si="109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10"/>
        <v>0</v>
      </c>
      <c r="O1210" s="155">
        <f t="shared" si="111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112"/>
        <v>35040</v>
      </c>
      <c r="J1211" s="163">
        <f t="shared" si="108"/>
        <v>0</v>
      </c>
      <c r="K1211" s="155">
        <f t="shared" si="109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10"/>
        <v>0</v>
      </c>
      <c r="O1211" s="155">
        <f t="shared" si="111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112"/>
        <v>25860</v>
      </c>
      <c r="J1212" s="163">
        <f t="shared" si="108"/>
        <v>0</v>
      </c>
      <c r="K1212" s="155">
        <f t="shared" si="109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10"/>
        <v>0</v>
      </c>
      <c r="O1212" s="155">
        <f t="shared" si="111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112"/>
        <v>25860</v>
      </c>
      <c r="J1213" s="163">
        <f t="shared" si="108"/>
        <v>0</v>
      </c>
      <c r="K1213" s="155">
        <f t="shared" si="109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10"/>
        <v>0</v>
      </c>
      <c r="O1213" s="155">
        <f t="shared" si="111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112"/>
        <v>30960</v>
      </c>
      <c r="J1214" s="163">
        <f t="shared" si="108"/>
        <v>0</v>
      </c>
      <c r="K1214" s="155">
        <f t="shared" si="109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10"/>
        <v>0</v>
      </c>
      <c r="O1214" s="155">
        <f t="shared" si="111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112"/>
        <v>25860</v>
      </c>
      <c r="J1215" s="163">
        <f t="shared" si="108"/>
        <v>0</v>
      </c>
      <c r="K1215" s="155">
        <f t="shared" si="109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10"/>
        <v>0</v>
      </c>
      <c r="O1215" s="155">
        <f t="shared" si="111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112"/>
        <v>2305860</v>
      </c>
      <c r="J1216" s="163">
        <f t="shared" si="108"/>
        <v>0</v>
      </c>
      <c r="K1216" s="155">
        <f t="shared" si="109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10"/>
        <v>0</v>
      </c>
      <c r="O1216" s="155">
        <f t="shared" si="111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112"/>
        <v>18780</v>
      </c>
      <c r="J1217" s="163">
        <f t="shared" si="108"/>
        <v>0</v>
      </c>
      <c r="K1217" s="155">
        <f t="shared" si="109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10"/>
        <v>0</v>
      </c>
      <c r="O1217" s="155">
        <f t="shared" si="111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112"/>
        <v>27360</v>
      </c>
      <c r="J1218" s="163">
        <f t="shared" si="108"/>
        <v>0</v>
      </c>
      <c r="K1218" s="155">
        <f t="shared" si="109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10"/>
        <v>0</v>
      </c>
      <c r="O1218" s="155">
        <f t="shared" si="111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112"/>
        <v>18780</v>
      </c>
      <c r="J1219" s="163">
        <f t="shared" si="108"/>
        <v>0</v>
      </c>
      <c r="K1219" s="155">
        <f t="shared" si="109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10"/>
        <v>0</v>
      </c>
      <c r="O1219" s="155">
        <f t="shared" si="111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112"/>
        <v>27360</v>
      </c>
      <c r="J1220" s="163">
        <f t="shared" si="108"/>
        <v>0</v>
      </c>
      <c r="K1220" s="155">
        <f t="shared" si="109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10"/>
        <v>0</v>
      </c>
      <c r="O1220" s="155">
        <f t="shared" si="111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112"/>
        <v>18720</v>
      </c>
      <c r="J1221" s="163">
        <f t="shared" si="108"/>
        <v>0</v>
      </c>
      <c r="K1221" s="155">
        <f t="shared" si="109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10"/>
        <v>0</v>
      </c>
      <c r="O1221" s="155">
        <f t="shared" si="111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112"/>
        <v>18720</v>
      </c>
      <c r="J1222" s="163">
        <f t="shared" si="108"/>
        <v>0</v>
      </c>
      <c r="K1222" s="155">
        <f t="shared" si="109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10"/>
        <v>0</v>
      </c>
      <c r="O1222" s="155">
        <f t="shared" si="111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112"/>
        <v>18720</v>
      </c>
      <c r="J1223" s="163">
        <f t="shared" si="108"/>
        <v>0</v>
      </c>
      <c r="K1223" s="155">
        <f t="shared" si="109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10"/>
        <v>0</v>
      </c>
      <c r="O1223" s="155">
        <f t="shared" si="111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112"/>
        <v>25260</v>
      </c>
      <c r="J1224" s="163">
        <f t="shared" si="108"/>
        <v>0</v>
      </c>
      <c r="K1224" s="155">
        <f t="shared" si="109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10"/>
        <v>0</v>
      </c>
      <c r="O1224" s="155">
        <f t="shared" si="111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112"/>
        <v>25260</v>
      </c>
      <c r="J1225" s="163">
        <f t="shared" si="108"/>
        <v>0</v>
      </c>
      <c r="K1225" s="155">
        <f t="shared" si="109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10"/>
        <v>0</v>
      </c>
      <c r="O1225" s="155">
        <f t="shared" si="111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112"/>
        <v>22860</v>
      </c>
      <c r="J1226" s="163">
        <f t="shared" si="108"/>
        <v>0</v>
      </c>
      <c r="K1226" s="155">
        <f t="shared" si="10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10"/>
        <v>0</v>
      </c>
      <c r="O1226" s="155">
        <f t="shared" si="111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112"/>
        <v>74340</v>
      </c>
      <c r="J1227" s="163">
        <f t="shared" si="108"/>
        <v>0</v>
      </c>
      <c r="K1227" s="155">
        <f t="shared" si="10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10"/>
        <v>0</v>
      </c>
      <c r="O1227" s="155">
        <f t="shared" si="111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112"/>
        <v>74340</v>
      </c>
      <c r="J1228" s="163">
        <f t="shared" ref="J1228:J1291" si="113">IF(D1228="MDU-KD",1,0)</f>
        <v>0</v>
      </c>
      <c r="K1228" s="155">
        <f t="shared" ref="K1228:K1291" si="114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15">IF(L1228=0,M1228,L1228)</f>
        <v>0</v>
      </c>
      <c r="O1228" s="155">
        <f t="shared" ref="O1228:O1291" si="116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112"/>
        <v>27540</v>
      </c>
      <c r="J1229" s="163">
        <f t="shared" si="113"/>
        <v>0</v>
      </c>
      <c r="K1229" s="155">
        <f t="shared" si="11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15"/>
        <v>0</v>
      </c>
      <c r="O1229" s="155">
        <f t="shared" si="116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112"/>
        <v>21480</v>
      </c>
      <c r="J1230" s="163">
        <f t="shared" si="113"/>
        <v>0</v>
      </c>
      <c r="K1230" s="155">
        <f t="shared" si="11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15"/>
        <v>0</v>
      </c>
      <c r="O1230" s="155">
        <f t="shared" si="116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112"/>
        <v>25560</v>
      </c>
      <c r="J1231" s="163">
        <f t="shared" si="113"/>
        <v>0</v>
      </c>
      <c r="K1231" s="155">
        <f t="shared" si="11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15"/>
        <v>0</v>
      </c>
      <c r="O1231" s="155">
        <f t="shared" si="116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112"/>
        <v>457260</v>
      </c>
      <c r="J1232" s="163">
        <f t="shared" si="113"/>
        <v>0</v>
      </c>
      <c r="K1232" s="155">
        <f t="shared" si="11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15"/>
        <v>0</v>
      </c>
      <c r="O1232" s="155">
        <f t="shared" si="116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112"/>
        <v>6360</v>
      </c>
      <c r="J1233" s="163">
        <f t="shared" si="113"/>
        <v>0</v>
      </c>
      <c r="K1233" s="155">
        <f t="shared" si="11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15"/>
        <v>0</v>
      </c>
      <c r="O1233" s="155">
        <f t="shared" si="116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112"/>
        <v>368820</v>
      </c>
      <c r="J1234" s="163">
        <f t="shared" si="113"/>
        <v>0</v>
      </c>
      <c r="K1234" s="155">
        <f t="shared" si="11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15"/>
        <v>0</v>
      </c>
      <c r="O1234" s="155">
        <f t="shared" si="116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112"/>
        <v>497400</v>
      </c>
      <c r="J1235" s="163">
        <f t="shared" si="113"/>
        <v>0</v>
      </c>
      <c r="K1235" s="155">
        <f t="shared" si="11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15"/>
        <v>0</v>
      </c>
      <c r="O1235" s="155">
        <f t="shared" si="116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112"/>
        <v>107520</v>
      </c>
      <c r="J1236" s="163">
        <f t="shared" si="113"/>
        <v>0</v>
      </c>
      <c r="K1236" s="155">
        <f t="shared" si="11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15"/>
        <v>0</v>
      </c>
      <c r="O1236" s="155">
        <f t="shared" si="116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112"/>
        <v>8622.4599999999991</v>
      </c>
      <c r="J1237" s="163">
        <f t="shared" si="113"/>
        <v>0</v>
      </c>
      <c r="K1237" s="155">
        <f t="shared" si="11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15"/>
        <v>0</v>
      </c>
      <c r="O1237" s="155">
        <f t="shared" si="116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112"/>
        <v>0</v>
      </c>
      <c r="J1238" s="163">
        <f t="shared" si="113"/>
        <v>0</v>
      </c>
      <c r="K1238" s="155">
        <f t="shared" si="11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15"/>
        <v>0</v>
      </c>
      <c r="O1238" s="155">
        <f t="shared" si="116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112"/>
        <v>0</v>
      </c>
      <c r="J1239" s="163">
        <f t="shared" si="113"/>
        <v>0</v>
      </c>
      <c r="K1239" s="155">
        <f t="shared" si="11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15"/>
        <v>0</v>
      </c>
      <c r="O1239" s="155">
        <f t="shared" si="116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112"/>
        <v>940920</v>
      </c>
      <c r="J1240" s="163">
        <f t="shared" si="113"/>
        <v>0</v>
      </c>
      <c r="K1240" s="155">
        <f t="shared" si="114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15"/>
        <v>0</v>
      </c>
      <c r="O1240" s="155">
        <f t="shared" si="116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112"/>
        <v>2080260</v>
      </c>
      <c r="J1241" s="163">
        <f t="shared" si="113"/>
        <v>0</v>
      </c>
      <c r="K1241" s="155">
        <f t="shared" si="114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15"/>
        <v>0</v>
      </c>
      <c r="O1241" s="155">
        <f t="shared" si="116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112"/>
        <v>2080260</v>
      </c>
      <c r="J1242" s="163">
        <f t="shared" si="113"/>
        <v>0</v>
      </c>
      <c r="K1242" s="155">
        <f t="shared" si="114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15"/>
        <v>0</v>
      </c>
      <c r="O1242" s="155">
        <f t="shared" si="116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112"/>
        <v>909420</v>
      </c>
      <c r="J1243" s="163">
        <f t="shared" si="113"/>
        <v>0</v>
      </c>
      <c r="K1243" s="155">
        <f t="shared" si="114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15"/>
        <v>0</v>
      </c>
      <c r="O1243" s="155">
        <f t="shared" si="116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112"/>
        <v>0</v>
      </c>
      <c r="J1244" s="163">
        <f t="shared" si="113"/>
        <v>0</v>
      </c>
      <c r="K1244" s="155">
        <f t="shared" si="114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15"/>
        <v>0</v>
      </c>
      <c r="O1244" s="155">
        <f t="shared" si="116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112"/>
        <v>0</v>
      </c>
      <c r="J1245" s="163">
        <f t="shared" si="113"/>
        <v>0</v>
      </c>
      <c r="K1245" s="155">
        <f t="shared" si="114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15"/>
        <v>0</v>
      </c>
      <c r="O1245" s="155">
        <f t="shared" si="116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112"/>
        <v>285420</v>
      </c>
      <c r="J1246" s="163">
        <f t="shared" si="113"/>
        <v>0</v>
      </c>
      <c r="K1246" s="155">
        <f t="shared" si="114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15"/>
        <v>0</v>
      </c>
      <c r="O1246" s="155">
        <f t="shared" si="116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112"/>
        <v>285420</v>
      </c>
      <c r="J1247" s="163">
        <f t="shared" si="113"/>
        <v>0</v>
      </c>
      <c r="K1247" s="155">
        <f t="shared" si="114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15"/>
        <v>0</v>
      </c>
      <c r="O1247" s="155">
        <f t="shared" si="116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112"/>
        <v>222780</v>
      </c>
      <c r="J1248" s="163">
        <f t="shared" si="113"/>
        <v>0</v>
      </c>
      <c r="K1248" s="155">
        <f t="shared" si="114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15"/>
        <v>0</v>
      </c>
      <c r="O1248" s="155">
        <f t="shared" si="116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112"/>
        <v>211020</v>
      </c>
      <c r="J1249" s="163">
        <f t="shared" si="113"/>
        <v>0</v>
      </c>
      <c r="K1249" s="155">
        <f t="shared" si="114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15"/>
        <v>0</v>
      </c>
      <c r="O1249" s="155">
        <f t="shared" si="116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112"/>
        <v>180060</v>
      </c>
      <c r="J1250" s="163">
        <f t="shared" si="113"/>
        <v>0</v>
      </c>
      <c r="K1250" s="155">
        <f t="shared" si="114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15"/>
        <v>0</v>
      </c>
      <c r="O1250" s="155">
        <f t="shared" si="116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112"/>
        <v>174540</v>
      </c>
      <c r="J1251" s="163">
        <f t="shared" si="113"/>
        <v>0</v>
      </c>
      <c r="K1251" s="155">
        <f t="shared" si="114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15"/>
        <v>0</v>
      </c>
      <c r="O1251" s="155">
        <f t="shared" si="116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112"/>
        <v>174360</v>
      </c>
      <c r="J1252" s="163">
        <f t="shared" si="113"/>
        <v>0</v>
      </c>
      <c r="K1252" s="155">
        <f t="shared" si="114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15"/>
        <v>0</v>
      </c>
      <c r="O1252" s="155">
        <f t="shared" si="116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17">IF($I$5=$G$4,G1253,(IF($I$5=$F$4,F1253,0)))</f>
        <v>148200</v>
      </c>
      <c r="J1253" s="163">
        <f t="shared" si="113"/>
        <v>0</v>
      </c>
      <c r="K1253" s="155">
        <f t="shared" si="114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15"/>
        <v>0</v>
      </c>
      <c r="O1253" s="155">
        <f t="shared" si="116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17"/>
        <v>165600</v>
      </c>
      <c r="J1254" s="163">
        <f t="shared" si="113"/>
        <v>0</v>
      </c>
      <c r="K1254" s="155">
        <f t="shared" si="114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15"/>
        <v>0</v>
      </c>
      <c r="O1254" s="155">
        <f t="shared" si="116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17"/>
        <v>160860</v>
      </c>
      <c r="J1255" s="163">
        <f t="shared" si="113"/>
        <v>0</v>
      </c>
      <c r="K1255" s="155">
        <f t="shared" si="114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15"/>
        <v>0</v>
      </c>
      <c r="O1255" s="155">
        <f t="shared" si="116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17"/>
        <v>133440</v>
      </c>
      <c r="J1256" s="163">
        <f t="shared" si="113"/>
        <v>0</v>
      </c>
      <c r="K1256" s="155">
        <f t="shared" si="114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15"/>
        <v>0</v>
      </c>
      <c r="O1256" s="155">
        <f t="shared" si="116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17"/>
        <v>133440</v>
      </c>
      <c r="J1257" s="163">
        <f t="shared" si="113"/>
        <v>0</v>
      </c>
      <c r="K1257" s="155">
        <f t="shared" si="114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15"/>
        <v>0</v>
      </c>
      <c r="O1257" s="155">
        <f t="shared" si="116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17"/>
        <v>118380</v>
      </c>
      <c r="J1258" s="163">
        <f t="shared" si="113"/>
        <v>0</v>
      </c>
      <c r="K1258" s="155">
        <f t="shared" si="114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15"/>
        <v>0</v>
      </c>
      <c r="O1258" s="155">
        <f t="shared" si="116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17"/>
        <v>89520</v>
      </c>
      <c r="J1259" s="163">
        <f t="shared" si="113"/>
        <v>0</v>
      </c>
      <c r="K1259" s="155">
        <f t="shared" si="114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15"/>
        <v>0</v>
      </c>
      <c r="O1259" s="155">
        <f t="shared" si="116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17"/>
        <v>234120</v>
      </c>
      <c r="J1260" s="163">
        <f t="shared" si="113"/>
        <v>0</v>
      </c>
      <c r="K1260" s="155">
        <f t="shared" si="114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15"/>
        <v>0</v>
      </c>
      <c r="O1260" s="155">
        <f t="shared" si="116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17"/>
        <v>184560</v>
      </c>
      <c r="J1261" s="163">
        <f t="shared" si="113"/>
        <v>0</v>
      </c>
      <c r="K1261" s="155">
        <f t="shared" si="114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15"/>
        <v>0</v>
      </c>
      <c r="O1261" s="155">
        <f t="shared" si="116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17"/>
        <v>156960</v>
      </c>
      <c r="J1262" s="163">
        <f t="shared" si="113"/>
        <v>0</v>
      </c>
      <c r="K1262" s="155">
        <f t="shared" si="114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15"/>
        <v>0</v>
      </c>
      <c r="O1262" s="155">
        <f t="shared" si="116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17"/>
        <v>119220</v>
      </c>
      <c r="J1263" s="163">
        <f t="shared" si="113"/>
        <v>0</v>
      </c>
      <c r="K1263" s="155">
        <f t="shared" si="114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15"/>
        <v>0</v>
      </c>
      <c r="O1263" s="155">
        <f t="shared" si="116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17"/>
        <v>163560</v>
      </c>
      <c r="J1264" s="163">
        <f t="shared" si="113"/>
        <v>0</v>
      </c>
      <c r="K1264" s="155">
        <f t="shared" si="114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15"/>
        <v>0</v>
      </c>
      <c r="O1264" s="155">
        <f t="shared" si="116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17"/>
        <v>146040</v>
      </c>
      <c r="J1265" s="163">
        <f t="shared" si="113"/>
        <v>0</v>
      </c>
      <c r="K1265" s="155">
        <f t="shared" si="114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15"/>
        <v>0</v>
      </c>
      <c r="O1265" s="155">
        <f t="shared" si="116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17"/>
        <v>107580</v>
      </c>
      <c r="J1266" s="163">
        <f t="shared" si="113"/>
        <v>0</v>
      </c>
      <c r="K1266" s="155">
        <f t="shared" si="114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15"/>
        <v>0</v>
      </c>
      <c r="O1266" s="155">
        <f t="shared" si="116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17"/>
        <v>91140</v>
      </c>
      <c r="J1267" s="163">
        <f t="shared" si="113"/>
        <v>0</v>
      </c>
      <c r="K1267" s="155">
        <f t="shared" si="114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15"/>
        <v>0</v>
      </c>
      <c r="O1267" s="155">
        <f t="shared" si="116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17"/>
        <v>81891.065868368882</v>
      </c>
      <c r="J1268" s="163">
        <f t="shared" si="113"/>
        <v>0</v>
      </c>
      <c r="K1268" s="155">
        <f t="shared" si="114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15"/>
        <v>0</v>
      </c>
      <c r="O1268" s="155">
        <f t="shared" si="116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17"/>
        <v>75288.699780185358</v>
      </c>
      <c r="J1269" s="163">
        <f t="shared" si="113"/>
        <v>0</v>
      </c>
      <c r="K1269" s="155">
        <f t="shared" si="114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15"/>
        <v>0</v>
      </c>
      <c r="O1269" s="155">
        <f t="shared" si="116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17"/>
        <v>69120</v>
      </c>
      <c r="J1270" s="163">
        <f t="shared" si="113"/>
        <v>0</v>
      </c>
      <c r="K1270" s="155">
        <f t="shared" si="114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15"/>
        <v>0</v>
      </c>
      <c r="O1270" s="155">
        <f t="shared" si="116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17"/>
        <v>69000</v>
      </c>
      <c r="J1271" s="163">
        <f t="shared" si="113"/>
        <v>0</v>
      </c>
      <c r="K1271" s="155">
        <f t="shared" si="114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15"/>
        <v>0</v>
      </c>
      <c r="O1271" s="155">
        <f t="shared" si="116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17"/>
        <v>61080</v>
      </c>
      <c r="J1272" s="163">
        <f t="shared" si="113"/>
        <v>0</v>
      </c>
      <c r="K1272" s="155">
        <f t="shared" si="114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15"/>
        <v>0</v>
      </c>
      <c r="O1272" s="155">
        <f t="shared" si="116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17"/>
        <v>313962</v>
      </c>
      <c r="J1273" s="163">
        <f t="shared" si="113"/>
        <v>0</v>
      </c>
      <c r="K1273" s="155">
        <f t="shared" si="114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15"/>
        <v>0</v>
      </c>
      <c r="O1273" s="155">
        <f t="shared" si="116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17"/>
        <v>313962</v>
      </c>
      <c r="J1274" s="163">
        <f t="shared" si="113"/>
        <v>0</v>
      </c>
      <c r="K1274" s="155">
        <f t="shared" si="114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15"/>
        <v>0</v>
      </c>
      <c r="O1274" s="155">
        <f t="shared" si="116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17"/>
        <v>245058.00000000003</v>
      </c>
      <c r="J1275" s="163">
        <f t="shared" si="113"/>
        <v>0</v>
      </c>
      <c r="K1275" s="155">
        <f t="shared" si="114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15"/>
        <v>0</v>
      </c>
      <c r="O1275" s="155">
        <f t="shared" si="116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17"/>
        <v>232122.00000000003</v>
      </c>
      <c r="J1276" s="163">
        <f t="shared" si="113"/>
        <v>0</v>
      </c>
      <c r="K1276" s="155">
        <f t="shared" si="114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15"/>
        <v>0</v>
      </c>
      <c r="O1276" s="155">
        <f t="shared" si="116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17"/>
        <v>198066</v>
      </c>
      <c r="J1277" s="163">
        <f t="shared" si="113"/>
        <v>0</v>
      </c>
      <c r="K1277" s="155">
        <f t="shared" si="114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15"/>
        <v>0</v>
      </c>
      <c r="O1277" s="155">
        <f t="shared" si="116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17"/>
        <v>191994</v>
      </c>
      <c r="J1278" s="163">
        <f t="shared" si="113"/>
        <v>0</v>
      </c>
      <c r="K1278" s="155">
        <f t="shared" si="114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15"/>
        <v>0</v>
      </c>
      <c r="O1278" s="155">
        <f t="shared" si="116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17"/>
        <v>191796</v>
      </c>
      <c r="J1279" s="163">
        <f t="shared" si="113"/>
        <v>0</v>
      </c>
      <c r="K1279" s="155">
        <f t="shared" si="114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15"/>
        <v>0</v>
      </c>
      <c r="O1279" s="155">
        <f t="shared" si="116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17"/>
        <v>163020</v>
      </c>
      <c r="J1280" s="163">
        <f t="shared" si="113"/>
        <v>0</v>
      </c>
      <c r="K1280" s="155">
        <f t="shared" si="114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15"/>
        <v>0</v>
      </c>
      <c r="O1280" s="155">
        <f t="shared" si="116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17"/>
        <v>182160</v>
      </c>
      <c r="J1281" s="163">
        <f t="shared" si="113"/>
        <v>0</v>
      </c>
      <c r="K1281" s="155">
        <f t="shared" si="114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15"/>
        <v>0</v>
      </c>
      <c r="O1281" s="155">
        <f t="shared" si="116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113"/>
        <v>0</v>
      </c>
      <c r="K1282" s="155">
        <f t="shared" si="114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15"/>
        <v>0</v>
      </c>
      <c r="O1282" s="155">
        <f t="shared" si="116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17"/>
        <v>146784</v>
      </c>
      <c r="J1283" s="163">
        <f t="shared" si="113"/>
        <v>0</v>
      </c>
      <c r="K1283" s="155">
        <f t="shared" si="114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15"/>
        <v>0</v>
      </c>
      <c r="O1283" s="155">
        <f t="shared" si="116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17"/>
        <v>146784</v>
      </c>
      <c r="J1284" s="163">
        <f t="shared" si="113"/>
        <v>0</v>
      </c>
      <c r="K1284" s="155">
        <f t="shared" si="114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15"/>
        <v>0</v>
      </c>
      <c r="O1284" s="155">
        <f t="shared" si="116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17"/>
        <v>130218.00000000001</v>
      </c>
      <c r="J1285" s="163">
        <f t="shared" si="113"/>
        <v>0</v>
      </c>
      <c r="K1285" s="155">
        <f t="shared" si="114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15"/>
        <v>0</v>
      </c>
      <c r="O1285" s="155">
        <f t="shared" si="116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17"/>
        <v>98472</v>
      </c>
      <c r="J1286" s="163">
        <f t="shared" si="113"/>
        <v>0</v>
      </c>
      <c r="K1286" s="155">
        <f t="shared" si="114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15"/>
        <v>0</v>
      </c>
      <c r="O1286" s="155">
        <f t="shared" si="116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17"/>
        <v>257532.00000000003</v>
      </c>
      <c r="J1287" s="163">
        <f t="shared" si="113"/>
        <v>0</v>
      </c>
      <c r="K1287" s="155">
        <f t="shared" si="114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15"/>
        <v>0</v>
      </c>
      <c r="O1287" s="155">
        <f t="shared" si="116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17"/>
        <v>203016</v>
      </c>
      <c r="J1288" s="163">
        <f t="shared" si="113"/>
        <v>0</v>
      </c>
      <c r="K1288" s="155">
        <f t="shared" si="114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15"/>
        <v>0</v>
      </c>
      <c r="O1288" s="155">
        <f t="shared" si="116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17"/>
        <v>172656</v>
      </c>
      <c r="J1289" s="163">
        <f t="shared" si="113"/>
        <v>0</v>
      </c>
      <c r="K1289" s="155">
        <f t="shared" si="114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15"/>
        <v>0</v>
      </c>
      <c r="O1289" s="155">
        <f t="shared" si="116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17"/>
        <v>131142</v>
      </c>
      <c r="J1290" s="163">
        <f t="shared" si="113"/>
        <v>0</v>
      </c>
      <c r="K1290" s="155">
        <f t="shared" si="11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15"/>
        <v>0</v>
      </c>
      <c r="O1290" s="155">
        <f t="shared" si="116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17"/>
        <v>179916</v>
      </c>
      <c r="J1291" s="163">
        <f t="shared" si="113"/>
        <v>0</v>
      </c>
      <c r="K1291" s="155">
        <f t="shared" si="11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15"/>
        <v>0</v>
      </c>
      <c r="O1291" s="155">
        <f t="shared" si="116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17"/>
        <v>160644</v>
      </c>
      <c r="J1292" s="163">
        <f t="shared" ref="J1292:J1355" si="118">IF(D1292="MDU-KD",1,0)</f>
        <v>0</v>
      </c>
      <c r="K1292" s="155">
        <f t="shared" ref="K1292:K1355" si="119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20">IF(L1292=0,M1292,L1292)</f>
        <v>0</v>
      </c>
      <c r="O1292" s="155">
        <f t="shared" ref="O1292:O1355" si="121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17"/>
        <v>118338.00000000001</v>
      </c>
      <c r="J1293" s="163">
        <f t="shared" si="118"/>
        <v>0</v>
      </c>
      <c r="K1293" s="155">
        <f t="shared" si="11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20"/>
        <v>0</v>
      </c>
      <c r="O1293" s="155">
        <f t="shared" si="121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17"/>
        <v>100254</v>
      </c>
      <c r="J1294" s="163">
        <f t="shared" si="118"/>
        <v>0</v>
      </c>
      <c r="K1294" s="155">
        <f t="shared" si="11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20"/>
        <v>0</v>
      </c>
      <c r="O1294" s="155">
        <f t="shared" si="121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17"/>
        <v>90080.172455205786</v>
      </c>
      <c r="J1295" s="163">
        <f t="shared" si="118"/>
        <v>0</v>
      </c>
      <c r="K1295" s="155">
        <f t="shared" si="11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20"/>
        <v>0</v>
      </c>
      <c r="O1295" s="155">
        <f t="shared" si="121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17"/>
        <v>82817.569758203899</v>
      </c>
      <c r="J1296" s="163">
        <f t="shared" si="118"/>
        <v>0</v>
      </c>
      <c r="K1296" s="155">
        <f t="shared" si="11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20"/>
        <v>0</v>
      </c>
      <c r="O1296" s="155">
        <f t="shared" si="121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17"/>
        <v>76032</v>
      </c>
      <c r="J1297" s="163">
        <f t="shared" si="118"/>
        <v>0</v>
      </c>
      <c r="K1297" s="155">
        <f t="shared" si="11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20"/>
        <v>0</v>
      </c>
      <c r="O1297" s="155">
        <f t="shared" si="121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17"/>
        <v>75900</v>
      </c>
      <c r="J1298" s="163">
        <f t="shared" si="118"/>
        <v>0</v>
      </c>
      <c r="K1298" s="155">
        <f t="shared" si="11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20"/>
        <v>0</v>
      </c>
      <c r="O1298" s="155">
        <f t="shared" si="121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17"/>
        <v>67188</v>
      </c>
      <c r="J1299" s="163">
        <f t="shared" si="118"/>
        <v>0</v>
      </c>
      <c r="K1299" s="155">
        <f t="shared" si="11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20"/>
        <v>0</v>
      </c>
      <c r="O1299" s="155">
        <f t="shared" si="121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17"/>
        <v>397284.97886456642</v>
      </c>
      <c r="J1300" s="163">
        <f t="shared" si="118"/>
        <v>0</v>
      </c>
      <c r="K1300" s="155">
        <f t="shared" si="11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20"/>
        <v>0</v>
      </c>
      <c r="O1300" s="155">
        <f t="shared" si="121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17"/>
        <v>0</v>
      </c>
      <c r="J1301" s="163">
        <f t="shared" si="118"/>
        <v>0</v>
      </c>
      <c r="K1301" s="155">
        <f t="shared" si="11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20"/>
        <v>0</v>
      </c>
      <c r="O1301" s="155">
        <f t="shared" si="121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17"/>
        <v>0</v>
      </c>
      <c r="J1302" s="163">
        <f t="shared" si="118"/>
        <v>0</v>
      </c>
      <c r="K1302" s="155">
        <f t="shared" si="11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20"/>
        <v>0</v>
      </c>
      <c r="O1302" s="155">
        <f t="shared" si="121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17"/>
        <v>171300</v>
      </c>
      <c r="J1303" s="163">
        <f t="shared" si="118"/>
        <v>0</v>
      </c>
      <c r="K1303" s="155">
        <f t="shared" si="11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20"/>
        <v>0</v>
      </c>
      <c r="O1303" s="155">
        <f t="shared" si="121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17"/>
        <v>144000</v>
      </c>
      <c r="J1304" s="163">
        <f t="shared" si="118"/>
        <v>0</v>
      </c>
      <c r="K1304" s="155">
        <f t="shared" si="119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20"/>
        <v>0</v>
      </c>
      <c r="O1304" s="155">
        <f t="shared" si="121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17"/>
        <v>132480</v>
      </c>
      <c r="J1305" s="163">
        <f t="shared" si="118"/>
        <v>0</v>
      </c>
      <c r="K1305" s="155">
        <f t="shared" si="119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20"/>
        <v>0</v>
      </c>
      <c r="O1305" s="155">
        <f t="shared" si="121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17"/>
        <v>98580</v>
      </c>
      <c r="J1306" s="163">
        <f t="shared" si="118"/>
        <v>0</v>
      </c>
      <c r="K1306" s="155">
        <f t="shared" si="119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20"/>
        <v>0</v>
      </c>
      <c r="O1306" s="155">
        <f t="shared" si="121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17"/>
        <v>67020</v>
      </c>
      <c r="J1307" s="163">
        <f t="shared" si="118"/>
        <v>0</v>
      </c>
      <c r="K1307" s="155">
        <f t="shared" si="119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20"/>
        <v>0</v>
      </c>
      <c r="O1307" s="155">
        <f t="shared" si="121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17"/>
        <v>134100</v>
      </c>
      <c r="J1308" s="163">
        <f t="shared" si="118"/>
        <v>0</v>
      </c>
      <c r="K1308" s="155">
        <f t="shared" si="119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20"/>
        <v>0</v>
      </c>
      <c r="O1308" s="155">
        <f t="shared" si="121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17"/>
        <v>107400</v>
      </c>
      <c r="J1309" s="163">
        <f t="shared" si="118"/>
        <v>0</v>
      </c>
      <c r="K1309" s="155">
        <f t="shared" si="119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20"/>
        <v>0</v>
      </c>
      <c r="O1309" s="155">
        <f t="shared" si="121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17"/>
        <v>0</v>
      </c>
      <c r="J1310" s="163">
        <f t="shared" si="118"/>
        <v>0</v>
      </c>
      <c r="K1310" s="155">
        <f t="shared" si="119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20"/>
        <v>0</v>
      </c>
      <c r="O1310" s="155">
        <f t="shared" si="121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17"/>
        <v>0</v>
      </c>
      <c r="J1311" s="163">
        <f t="shared" si="118"/>
        <v>0</v>
      </c>
      <c r="K1311" s="155">
        <f t="shared" si="119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20"/>
        <v>0</v>
      </c>
      <c r="O1311" s="155">
        <f t="shared" si="121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17"/>
        <v>5708400</v>
      </c>
      <c r="J1312" s="163">
        <f t="shared" si="118"/>
        <v>0</v>
      </c>
      <c r="K1312" s="155">
        <f t="shared" si="119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20"/>
        <v>0</v>
      </c>
      <c r="O1312" s="155">
        <f t="shared" si="121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17"/>
        <v>5708400</v>
      </c>
      <c r="J1313" s="163">
        <f t="shared" si="118"/>
        <v>0</v>
      </c>
      <c r="K1313" s="155">
        <f t="shared" si="119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20"/>
        <v>0</v>
      </c>
      <c r="O1313" s="155">
        <f t="shared" si="121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17"/>
        <v>4455600</v>
      </c>
      <c r="J1314" s="163">
        <f t="shared" si="118"/>
        <v>0</v>
      </c>
      <c r="K1314" s="155">
        <f t="shared" si="119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20"/>
        <v>0</v>
      </c>
      <c r="O1314" s="155">
        <f t="shared" si="121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17"/>
        <v>4220400</v>
      </c>
      <c r="J1315" s="163">
        <f t="shared" si="118"/>
        <v>0</v>
      </c>
      <c r="K1315" s="155">
        <f t="shared" si="119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20"/>
        <v>0</v>
      </c>
      <c r="O1315" s="155">
        <f t="shared" si="121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17"/>
        <v>3601200</v>
      </c>
      <c r="J1316" s="163">
        <f t="shared" si="118"/>
        <v>0</v>
      </c>
      <c r="K1316" s="155">
        <f t="shared" si="119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20"/>
        <v>0</v>
      </c>
      <c r="O1316" s="155">
        <f t="shared" si="121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17"/>
        <v>3490800</v>
      </c>
      <c r="J1317" s="163">
        <f t="shared" si="118"/>
        <v>0</v>
      </c>
      <c r="K1317" s="155">
        <f t="shared" si="119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20"/>
        <v>0</v>
      </c>
      <c r="O1317" s="155">
        <f t="shared" si="121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18"/>
        <v>0</v>
      </c>
      <c r="K1318" s="155">
        <f t="shared" si="119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20"/>
        <v>0</v>
      </c>
      <c r="O1318" s="155">
        <f t="shared" si="121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22">IF($I$5=$G$4,G1319,(IF($I$5=$F$4,F1319,0)))</f>
        <v>2964000</v>
      </c>
      <c r="J1319" s="163">
        <f t="shared" si="118"/>
        <v>0</v>
      </c>
      <c r="K1319" s="155">
        <f t="shared" si="119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20"/>
        <v>0</v>
      </c>
      <c r="O1319" s="155">
        <f t="shared" si="121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22"/>
        <v>3312000</v>
      </c>
      <c r="J1320" s="163">
        <f t="shared" si="118"/>
        <v>0</v>
      </c>
      <c r="K1320" s="155">
        <f t="shared" si="119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20"/>
        <v>0</v>
      </c>
      <c r="O1320" s="155">
        <f t="shared" si="121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22"/>
        <v>3217200</v>
      </c>
      <c r="J1321" s="163">
        <f t="shared" si="118"/>
        <v>0</v>
      </c>
      <c r="K1321" s="155">
        <f t="shared" si="119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20"/>
        <v>0</v>
      </c>
      <c r="O1321" s="155">
        <f t="shared" si="121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22"/>
        <v>2668800</v>
      </c>
      <c r="J1322" s="163">
        <f t="shared" si="118"/>
        <v>0</v>
      </c>
      <c r="K1322" s="155">
        <f t="shared" si="119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20"/>
        <v>0</v>
      </c>
      <c r="O1322" s="155">
        <f t="shared" si="121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22"/>
        <v>2668800</v>
      </c>
      <c r="J1323" s="163">
        <f t="shared" si="118"/>
        <v>0</v>
      </c>
      <c r="K1323" s="155">
        <f t="shared" si="119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20"/>
        <v>0</v>
      </c>
      <c r="O1323" s="155">
        <f t="shared" si="121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22"/>
        <v>2367600</v>
      </c>
      <c r="J1324" s="163">
        <f t="shared" si="118"/>
        <v>0</v>
      </c>
      <c r="K1324" s="155">
        <f t="shared" si="119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20"/>
        <v>0</v>
      </c>
      <c r="O1324" s="155">
        <f t="shared" si="121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22"/>
        <v>1790400</v>
      </c>
      <c r="J1325" s="163">
        <f t="shared" si="118"/>
        <v>0</v>
      </c>
      <c r="K1325" s="155">
        <f t="shared" si="119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20"/>
        <v>0</v>
      </c>
      <c r="O1325" s="155">
        <f t="shared" si="121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22"/>
        <v>4682400</v>
      </c>
      <c r="J1326" s="163">
        <f t="shared" si="118"/>
        <v>0</v>
      </c>
      <c r="K1326" s="155">
        <f t="shared" si="119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20"/>
        <v>0</v>
      </c>
      <c r="O1326" s="155">
        <f t="shared" si="121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22"/>
        <v>3691200</v>
      </c>
      <c r="J1327" s="163">
        <f t="shared" si="118"/>
        <v>0</v>
      </c>
      <c r="K1327" s="155">
        <f t="shared" si="119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20"/>
        <v>0</v>
      </c>
      <c r="O1327" s="155">
        <f t="shared" si="121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22"/>
        <v>3139200</v>
      </c>
      <c r="J1328" s="163">
        <f t="shared" si="118"/>
        <v>0</v>
      </c>
      <c r="K1328" s="155">
        <f t="shared" si="119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20"/>
        <v>0</v>
      </c>
      <c r="O1328" s="155">
        <f t="shared" si="121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22"/>
        <v>2384400</v>
      </c>
      <c r="J1329" s="163">
        <f t="shared" si="118"/>
        <v>0</v>
      </c>
      <c r="K1329" s="155">
        <f t="shared" si="119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20"/>
        <v>0</v>
      </c>
      <c r="O1329" s="155">
        <f t="shared" si="121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22"/>
        <v>3271200</v>
      </c>
      <c r="J1330" s="163">
        <f t="shared" si="118"/>
        <v>0</v>
      </c>
      <c r="K1330" s="155">
        <f t="shared" si="119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20"/>
        <v>0</v>
      </c>
      <c r="O1330" s="155">
        <f t="shared" si="121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22"/>
        <v>2920800</v>
      </c>
      <c r="J1331" s="163">
        <f t="shared" si="118"/>
        <v>0</v>
      </c>
      <c r="K1331" s="155">
        <f t="shared" si="119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20"/>
        <v>0</v>
      </c>
      <c r="O1331" s="155">
        <f t="shared" si="121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22"/>
        <v>2151600</v>
      </c>
      <c r="J1332" s="163">
        <f t="shared" si="118"/>
        <v>0</v>
      </c>
      <c r="K1332" s="155">
        <f t="shared" si="119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20"/>
        <v>0</v>
      </c>
      <c r="O1332" s="155">
        <f t="shared" si="121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22"/>
        <v>1822800</v>
      </c>
      <c r="J1333" s="163">
        <f t="shared" si="118"/>
        <v>0</v>
      </c>
      <c r="K1333" s="155">
        <f t="shared" si="119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20"/>
        <v>0</v>
      </c>
      <c r="O1333" s="155">
        <f t="shared" si="121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22"/>
        <v>1637821.3173673779</v>
      </c>
      <c r="J1334" s="163">
        <f t="shared" si="118"/>
        <v>0</v>
      </c>
      <c r="K1334" s="155">
        <f t="shared" si="119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20"/>
        <v>0</v>
      </c>
      <c r="O1334" s="155">
        <f t="shared" si="121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22"/>
        <v>1505773.9956037072</v>
      </c>
      <c r="J1335" s="163">
        <f t="shared" si="118"/>
        <v>0</v>
      </c>
      <c r="K1335" s="155">
        <f t="shared" si="119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20"/>
        <v>0</v>
      </c>
      <c r="O1335" s="155">
        <f t="shared" si="121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22"/>
        <v>1382400</v>
      </c>
      <c r="J1336" s="163">
        <f t="shared" si="118"/>
        <v>0</v>
      </c>
      <c r="K1336" s="155">
        <f t="shared" si="119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20"/>
        <v>0</v>
      </c>
      <c r="O1336" s="155">
        <f t="shared" si="121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22"/>
        <v>1380000</v>
      </c>
      <c r="J1337" s="163">
        <f t="shared" si="118"/>
        <v>0</v>
      </c>
      <c r="K1337" s="155">
        <f t="shared" si="119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20"/>
        <v>0</v>
      </c>
      <c r="O1337" s="155">
        <f t="shared" si="121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22"/>
        <v>1221600</v>
      </c>
      <c r="J1338" s="163">
        <f t="shared" si="118"/>
        <v>0</v>
      </c>
      <c r="K1338" s="155">
        <f t="shared" si="119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20"/>
        <v>0</v>
      </c>
      <c r="O1338" s="155">
        <f t="shared" si="121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22"/>
        <v>6279240.0000000009</v>
      </c>
      <c r="J1339" s="163">
        <f t="shared" si="118"/>
        <v>0</v>
      </c>
      <c r="K1339" s="155">
        <f t="shared" si="119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20"/>
        <v>0</v>
      </c>
      <c r="O1339" s="155">
        <f t="shared" si="121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22"/>
        <v>6279240.0000000009</v>
      </c>
      <c r="J1340" s="163">
        <f t="shared" si="118"/>
        <v>0</v>
      </c>
      <c r="K1340" s="155">
        <f t="shared" si="119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20"/>
        <v>0</v>
      </c>
      <c r="O1340" s="155">
        <f t="shared" si="121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22"/>
        <v>4901160</v>
      </c>
      <c r="J1341" s="163">
        <f t="shared" si="118"/>
        <v>0</v>
      </c>
      <c r="K1341" s="155">
        <f t="shared" si="119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20"/>
        <v>0</v>
      </c>
      <c r="O1341" s="155">
        <f t="shared" si="121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22"/>
        <v>4642440</v>
      </c>
      <c r="J1342" s="163">
        <f t="shared" si="118"/>
        <v>0</v>
      </c>
      <c r="K1342" s="155">
        <f t="shared" si="119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20"/>
        <v>0</v>
      </c>
      <c r="O1342" s="155">
        <f t="shared" si="121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22"/>
        <v>3961320</v>
      </c>
      <c r="J1343" s="163">
        <f t="shared" si="118"/>
        <v>0</v>
      </c>
      <c r="K1343" s="155">
        <f t="shared" si="119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20"/>
        <v>0</v>
      </c>
      <c r="O1343" s="155">
        <f t="shared" si="121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22"/>
        <v>3839880</v>
      </c>
      <c r="J1344" s="163">
        <f t="shared" si="118"/>
        <v>0</v>
      </c>
      <c r="K1344" s="155">
        <f t="shared" si="119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20"/>
        <v>0</v>
      </c>
      <c r="O1344" s="155">
        <f t="shared" si="121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22"/>
        <v>3835920</v>
      </c>
      <c r="J1345" s="163">
        <f t="shared" si="118"/>
        <v>0</v>
      </c>
      <c r="K1345" s="155">
        <f t="shared" si="119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20"/>
        <v>0</v>
      </c>
      <c r="O1345" s="155">
        <f t="shared" si="121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22"/>
        <v>3260400</v>
      </c>
      <c r="J1346" s="163">
        <f t="shared" si="118"/>
        <v>0</v>
      </c>
      <c r="K1346" s="155">
        <f t="shared" si="119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20"/>
        <v>0</v>
      </c>
      <c r="O1346" s="155">
        <f t="shared" si="121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22"/>
        <v>3643200</v>
      </c>
      <c r="J1347" s="163">
        <f t="shared" si="118"/>
        <v>0</v>
      </c>
      <c r="K1347" s="155">
        <f t="shared" si="119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20"/>
        <v>0</v>
      </c>
      <c r="O1347" s="155">
        <f t="shared" si="121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22"/>
        <v>3538920</v>
      </c>
      <c r="J1348" s="163">
        <f t="shared" si="118"/>
        <v>0</v>
      </c>
      <c r="K1348" s="155">
        <f t="shared" si="119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20"/>
        <v>0</v>
      </c>
      <c r="O1348" s="155">
        <f t="shared" si="121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22"/>
        <v>2935680.0000000005</v>
      </c>
      <c r="J1349" s="163">
        <f t="shared" si="118"/>
        <v>0</v>
      </c>
      <c r="K1349" s="155">
        <f t="shared" si="119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20"/>
        <v>0</v>
      </c>
      <c r="O1349" s="155">
        <f t="shared" si="121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22"/>
        <v>2935680.0000000005</v>
      </c>
      <c r="J1350" s="163">
        <f t="shared" si="118"/>
        <v>0</v>
      </c>
      <c r="K1350" s="155">
        <f t="shared" si="119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20"/>
        <v>0</v>
      </c>
      <c r="O1350" s="155">
        <f t="shared" si="121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22"/>
        <v>2604360.0000000005</v>
      </c>
      <c r="J1351" s="163">
        <f t="shared" si="118"/>
        <v>0</v>
      </c>
      <c r="K1351" s="155">
        <f t="shared" si="119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20"/>
        <v>0</v>
      </c>
      <c r="O1351" s="155">
        <f t="shared" si="121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22"/>
        <v>1969440</v>
      </c>
      <c r="J1352" s="163">
        <f t="shared" si="118"/>
        <v>0</v>
      </c>
      <c r="K1352" s="155">
        <f t="shared" si="119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20"/>
        <v>0</v>
      </c>
      <c r="O1352" s="155">
        <f t="shared" si="121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22"/>
        <v>5150640.0000000009</v>
      </c>
      <c r="J1353" s="163">
        <f t="shared" si="118"/>
        <v>0</v>
      </c>
      <c r="K1353" s="155">
        <f t="shared" si="119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20"/>
        <v>0</v>
      </c>
      <c r="O1353" s="155">
        <f t="shared" si="121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22"/>
        <v>4060320</v>
      </c>
      <c r="J1354" s="163">
        <f t="shared" si="118"/>
        <v>0</v>
      </c>
      <c r="K1354" s="155">
        <f t="shared" si="11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20"/>
        <v>0</v>
      </c>
      <c r="O1354" s="155">
        <f t="shared" si="121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22"/>
        <v>3453120</v>
      </c>
      <c r="J1355" s="163">
        <f t="shared" si="118"/>
        <v>0</v>
      </c>
      <c r="K1355" s="155">
        <f t="shared" si="11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20"/>
        <v>0</v>
      </c>
      <c r="O1355" s="155">
        <f t="shared" si="121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22"/>
        <v>2622840.0000000005</v>
      </c>
      <c r="J1356" s="163">
        <f t="shared" ref="J1356:J1419" si="123">IF(D1356="MDU-KD",1,0)</f>
        <v>0</v>
      </c>
      <c r="K1356" s="155">
        <f t="shared" ref="K1356:K1419" si="124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25">IF(L1356=0,M1356,L1356)</f>
        <v>0</v>
      </c>
      <c r="O1356" s="155">
        <f t="shared" ref="O1356:O1419" si="126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22"/>
        <v>3598320</v>
      </c>
      <c r="J1357" s="163">
        <f t="shared" si="123"/>
        <v>0</v>
      </c>
      <c r="K1357" s="155">
        <f t="shared" si="12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25"/>
        <v>0</v>
      </c>
      <c r="O1357" s="155">
        <f t="shared" si="126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22"/>
        <v>3212880</v>
      </c>
      <c r="J1358" s="163">
        <f t="shared" si="123"/>
        <v>0</v>
      </c>
      <c r="K1358" s="155">
        <f t="shared" si="12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25"/>
        <v>0</v>
      </c>
      <c r="O1358" s="155">
        <f t="shared" si="126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23"/>
        <v>0</v>
      </c>
      <c r="K1359" s="155">
        <f t="shared" si="12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25"/>
        <v>0</v>
      </c>
      <c r="O1359" s="155">
        <f t="shared" si="126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23"/>
        <v>0</v>
      </c>
      <c r="K1360" s="155">
        <f t="shared" si="12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25"/>
        <v>0</v>
      </c>
      <c r="O1360" s="155">
        <f t="shared" si="126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22"/>
        <v>1801603.4491041158</v>
      </c>
      <c r="J1361" s="163">
        <f t="shared" si="123"/>
        <v>0</v>
      </c>
      <c r="K1361" s="155">
        <f t="shared" si="12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25"/>
        <v>0</v>
      </c>
      <c r="O1361" s="155">
        <f t="shared" si="126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22"/>
        <v>1656351.3951640779</v>
      </c>
      <c r="J1362" s="163">
        <f t="shared" si="123"/>
        <v>0</v>
      </c>
      <c r="K1362" s="155">
        <f t="shared" si="12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25"/>
        <v>0</v>
      </c>
      <c r="O1362" s="155">
        <f t="shared" si="126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22"/>
        <v>1520640.0000000002</v>
      </c>
      <c r="J1363" s="163">
        <f t="shared" si="123"/>
        <v>0</v>
      </c>
      <c r="K1363" s="155">
        <f t="shared" si="12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25"/>
        <v>0</v>
      </c>
      <c r="O1363" s="155">
        <f t="shared" si="126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22"/>
        <v>1518000.0000000002</v>
      </c>
      <c r="J1364" s="163">
        <f t="shared" si="123"/>
        <v>0</v>
      </c>
      <c r="K1364" s="155">
        <f t="shared" si="12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25"/>
        <v>0</v>
      </c>
      <c r="O1364" s="155">
        <f t="shared" si="126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22"/>
        <v>1343760.0000000002</v>
      </c>
      <c r="J1365" s="163">
        <f t="shared" si="123"/>
        <v>0</v>
      </c>
      <c r="K1365" s="155">
        <f t="shared" si="12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25"/>
        <v>0</v>
      </c>
      <c r="O1365" s="155">
        <f t="shared" si="126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22"/>
        <v>7945699.5772913285</v>
      </c>
      <c r="J1366" s="163">
        <f t="shared" si="123"/>
        <v>0</v>
      </c>
      <c r="K1366" s="155">
        <f t="shared" si="12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25"/>
        <v>0</v>
      </c>
      <c r="O1366" s="155">
        <f t="shared" si="126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22"/>
        <v>0</v>
      </c>
      <c r="J1367" s="163">
        <f t="shared" si="123"/>
        <v>0</v>
      </c>
      <c r="K1367" s="155">
        <f t="shared" si="12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25"/>
        <v>0</v>
      </c>
      <c r="O1367" s="155">
        <f t="shared" si="126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22"/>
        <v>0</v>
      </c>
      <c r="J1368" s="163">
        <f t="shared" si="123"/>
        <v>0</v>
      </c>
      <c r="K1368" s="155">
        <f t="shared" si="124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25"/>
        <v>0</v>
      </c>
      <c r="O1368" s="155">
        <f t="shared" si="126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22"/>
        <v>3426000</v>
      </c>
      <c r="J1369" s="163">
        <f t="shared" si="123"/>
        <v>0</v>
      </c>
      <c r="K1369" s="155">
        <f t="shared" si="124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25"/>
        <v>0</v>
      </c>
      <c r="O1369" s="155">
        <f t="shared" si="126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22"/>
        <v>2880000</v>
      </c>
      <c r="J1370" s="163">
        <f t="shared" si="123"/>
        <v>0</v>
      </c>
      <c r="K1370" s="155">
        <f t="shared" si="124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25"/>
        <v>0</v>
      </c>
      <c r="O1370" s="155">
        <f t="shared" si="126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22"/>
        <v>2649600</v>
      </c>
      <c r="J1371" s="163">
        <f t="shared" si="123"/>
        <v>0</v>
      </c>
      <c r="K1371" s="155">
        <f t="shared" si="124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25"/>
        <v>0</v>
      </c>
      <c r="O1371" s="155">
        <f t="shared" si="126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22"/>
        <v>1971600</v>
      </c>
      <c r="J1372" s="163">
        <f t="shared" si="123"/>
        <v>0</v>
      </c>
      <c r="K1372" s="155">
        <f t="shared" si="124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25"/>
        <v>0</v>
      </c>
      <c r="O1372" s="155">
        <f t="shared" si="126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22"/>
        <v>1340400</v>
      </c>
      <c r="J1373" s="163">
        <f t="shared" si="123"/>
        <v>0</v>
      </c>
      <c r="K1373" s="155">
        <f t="shared" si="124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25"/>
        <v>0</v>
      </c>
      <c r="O1373" s="155">
        <f t="shared" si="126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22"/>
        <v>2682000</v>
      </c>
      <c r="J1374" s="163">
        <f t="shared" si="123"/>
        <v>0</v>
      </c>
      <c r="K1374" s="155">
        <f t="shared" si="124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25"/>
        <v>0</v>
      </c>
      <c r="O1374" s="155">
        <f t="shared" si="126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22"/>
        <v>2148000</v>
      </c>
      <c r="J1375" s="163">
        <f t="shared" si="123"/>
        <v>0</v>
      </c>
      <c r="K1375" s="155">
        <f t="shared" si="124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25"/>
        <v>0</v>
      </c>
      <c r="O1375" s="155">
        <f t="shared" si="126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22"/>
        <v>0</v>
      </c>
      <c r="J1376" s="163">
        <f t="shared" si="123"/>
        <v>0</v>
      </c>
      <c r="K1376" s="155">
        <f t="shared" si="124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25"/>
        <v>0</v>
      </c>
      <c r="O1376" s="155">
        <f t="shared" si="126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22"/>
        <v>0</v>
      </c>
      <c r="J1377" s="163">
        <f t="shared" si="123"/>
        <v>0</v>
      </c>
      <c r="K1377" s="155">
        <f t="shared" si="124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25"/>
        <v>0</v>
      </c>
      <c r="O1377" s="155">
        <f t="shared" si="126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22"/>
        <v>213420</v>
      </c>
      <c r="J1378" s="163">
        <f t="shared" si="123"/>
        <v>0</v>
      </c>
      <c r="K1378" s="155">
        <f t="shared" si="124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25"/>
        <v>0</v>
      </c>
      <c r="O1378" s="155">
        <f t="shared" si="126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22"/>
        <v>207840</v>
      </c>
      <c r="J1379" s="163">
        <f t="shared" si="123"/>
        <v>0</v>
      </c>
      <c r="K1379" s="155">
        <f t="shared" si="124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25"/>
        <v>0</v>
      </c>
      <c r="O1379" s="155">
        <f t="shared" si="126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22"/>
        <v>342990</v>
      </c>
      <c r="J1380" s="163">
        <f t="shared" si="123"/>
        <v>0</v>
      </c>
      <c r="K1380" s="155">
        <f t="shared" si="124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25"/>
        <v>0</v>
      </c>
      <c r="O1380" s="155">
        <f t="shared" si="126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22"/>
        <v>709680</v>
      </c>
      <c r="J1381" s="163">
        <f t="shared" si="123"/>
        <v>0</v>
      </c>
      <c r="K1381" s="155">
        <f t="shared" si="124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25"/>
        <v>0</v>
      </c>
      <c r="O1381" s="155">
        <f t="shared" si="126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22"/>
        <v>1771980</v>
      </c>
      <c r="J1382" s="163">
        <f t="shared" si="123"/>
        <v>0</v>
      </c>
      <c r="K1382" s="155">
        <f t="shared" si="124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25"/>
        <v>0</v>
      </c>
      <c r="O1382" s="155">
        <f t="shared" si="126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22"/>
        <v>976440</v>
      </c>
      <c r="J1383" s="163">
        <f t="shared" si="123"/>
        <v>0</v>
      </c>
      <c r="K1383" s="155">
        <f t="shared" si="124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25"/>
        <v>0</v>
      </c>
      <c r="O1383" s="155">
        <f t="shared" si="126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22"/>
        <v>2211900</v>
      </c>
      <c r="J1384" s="163">
        <f t="shared" si="123"/>
        <v>0</v>
      </c>
      <c r="K1384" s="155">
        <f t="shared" si="124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25"/>
        <v>0</v>
      </c>
      <c r="O1384" s="155">
        <f t="shared" si="126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27">IF($I$5=$G$4,G1385,(IF($I$5=$F$4,F1385,0)))</f>
        <v>2270640</v>
      </c>
      <c r="J1385" s="163">
        <f t="shared" si="123"/>
        <v>0</v>
      </c>
      <c r="K1385" s="155">
        <f t="shared" si="124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25"/>
        <v>0</v>
      </c>
      <c r="O1385" s="155">
        <f t="shared" si="126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27"/>
        <v>2476740</v>
      </c>
      <c r="J1386" s="163">
        <f t="shared" si="123"/>
        <v>0</v>
      </c>
      <c r="K1386" s="155">
        <f t="shared" si="124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25"/>
        <v>0</v>
      </c>
      <c r="O1386" s="155">
        <f t="shared" si="126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27"/>
        <v>0</v>
      </c>
      <c r="J1387" s="163">
        <f t="shared" si="123"/>
        <v>0</v>
      </c>
      <c r="K1387" s="155">
        <f t="shared" si="124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25"/>
        <v>0</v>
      </c>
      <c r="O1387" s="155">
        <f t="shared" si="126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27"/>
        <v>0</v>
      </c>
      <c r="J1388" s="163">
        <f t="shared" si="123"/>
        <v>0</v>
      </c>
      <c r="K1388" s="155">
        <f t="shared" si="124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25"/>
        <v>0</v>
      </c>
      <c r="O1388" s="155">
        <f t="shared" si="126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27"/>
        <v>220260.49029487889</v>
      </c>
      <c r="J1389" s="163">
        <f t="shared" si="123"/>
        <v>0</v>
      </c>
      <c r="K1389" s="155">
        <f t="shared" si="124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25"/>
        <v>0</v>
      </c>
      <c r="O1389" s="155">
        <f t="shared" si="126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27"/>
        <v>220260.49029487889</v>
      </c>
      <c r="J1390" s="163">
        <f t="shared" si="123"/>
        <v>0</v>
      </c>
      <c r="K1390" s="155">
        <f t="shared" si="124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25"/>
        <v>0</v>
      </c>
      <c r="O1390" s="155">
        <f t="shared" si="126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27"/>
        <v>250977.08928157968</v>
      </c>
      <c r="J1391" s="163">
        <f t="shared" si="123"/>
        <v>0</v>
      </c>
      <c r="K1391" s="155">
        <f t="shared" si="124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25"/>
        <v>0</v>
      </c>
      <c r="O1391" s="155">
        <f t="shared" si="126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27"/>
        <v>289200</v>
      </c>
      <c r="J1392" s="163">
        <f t="shared" si="123"/>
        <v>0</v>
      </c>
      <c r="K1392" s="155">
        <f t="shared" si="124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25"/>
        <v>0</v>
      </c>
      <c r="O1392" s="155">
        <f t="shared" si="126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27"/>
        <v>277947.76156258525</v>
      </c>
      <c r="J1393" s="163">
        <f t="shared" si="123"/>
        <v>0</v>
      </c>
      <c r="K1393" s="155">
        <f t="shared" si="124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25"/>
        <v>0</v>
      </c>
      <c r="O1393" s="155">
        <f t="shared" si="126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27"/>
        <v>309000</v>
      </c>
      <c r="J1394" s="163">
        <f t="shared" si="123"/>
        <v>0</v>
      </c>
      <c r="K1394" s="155">
        <f t="shared" si="124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25"/>
        <v>0</v>
      </c>
      <c r="O1394" s="155">
        <f t="shared" si="126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27"/>
        <v>277947.76156258525</v>
      </c>
      <c r="J1395" s="163">
        <f t="shared" si="123"/>
        <v>0</v>
      </c>
      <c r="K1395" s="155">
        <f t="shared" si="124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25"/>
        <v>0</v>
      </c>
      <c r="O1395" s="155">
        <f t="shared" si="126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27"/>
        <v>345600</v>
      </c>
      <c r="J1396" s="163">
        <f t="shared" si="123"/>
        <v>0</v>
      </c>
      <c r="K1396" s="155">
        <f t="shared" si="124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25"/>
        <v>0</v>
      </c>
      <c r="O1396" s="155">
        <f t="shared" si="126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27"/>
        <v>438273.42456634069</v>
      </c>
      <c r="J1397" s="163">
        <f t="shared" si="123"/>
        <v>0</v>
      </c>
      <c r="K1397" s="155">
        <f t="shared" si="124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25"/>
        <v>0</v>
      </c>
      <c r="O1397" s="155">
        <f t="shared" si="126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27"/>
        <v>384600</v>
      </c>
      <c r="J1398" s="163">
        <f t="shared" si="123"/>
        <v>0</v>
      </c>
      <c r="K1398" s="155">
        <f t="shared" si="124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25"/>
        <v>0</v>
      </c>
      <c r="O1398" s="155">
        <f t="shared" si="126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28">IF($I$5=$G$4,G1399,(IF($I$5=$F$4,F1399,0)))</f>
        <v>466742.46752962429</v>
      </c>
      <c r="J1399" s="163">
        <f t="shared" si="123"/>
        <v>0</v>
      </c>
      <c r="K1399" s="155">
        <f t="shared" si="124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25"/>
        <v>0</v>
      </c>
      <c r="O1399" s="155">
        <f t="shared" si="126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28"/>
        <v>466742.46752962429</v>
      </c>
      <c r="J1400" s="163">
        <f t="shared" si="123"/>
        <v>0</v>
      </c>
      <c r="K1400" s="155">
        <f t="shared" si="124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25"/>
        <v>0</v>
      </c>
      <c r="O1400" s="155">
        <f t="shared" si="126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28"/>
        <v>513941.14402138407</v>
      </c>
      <c r="J1401" s="163">
        <f t="shared" si="123"/>
        <v>0</v>
      </c>
      <c r="K1401" s="155">
        <f t="shared" si="124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25"/>
        <v>0</v>
      </c>
      <c r="O1401" s="155">
        <f t="shared" si="126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28"/>
        <v>502200</v>
      </c>
      <c r="J1402" s="163">
        <f t="shared" si="123"/>
        <v>0</v>
      </c>
      <c r="K1402" s="155">
        <f t="shared" si="124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25"/>
        <v>0</v>
      </c>
      <c r="O1402" s="155">
        <f t="shared" si="126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28"/>
        <v>580618.63938275899</v>
      </c>
      <c r="J1403" s="163">
        <f t="shared" si="123"/>
        <v>0</v>
      </c>
      <c r="K1403" s="155">
        <f t="shared" si="124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25"/>
        <v>0</v>
      </c>
      <c r="O1403" s="155">
        <f t="shared" si="126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28"/>
        <v>522000</v>
      </c>
      <c r="J1404" s="163">
        <f t="shared" si="123"/>
        <v>0</v>
      </c>
      <c r="K1404" s="155">
        <f t="shared" si="124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25"/>
        <v>0</v>
      </c>
      <c r="O1404" s="155">
        <f t="shared" si="126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28"/>
        <v>768051.19018409075</v>
      </c>
      <c r="J1405" s="163">
        <f t="shared" si="123"/>
        <v>0</v>
      </c>
      <c r="K1405" s="155">
        <f t="shared" si="124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25"/>
        <v>0</v>
      </c>
      <c r="O1405" s="155">
        <f t="shared" si="126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28"/>
        <v>768051.19018409075</v>
      </c>
      <c r="J1406" s="163">
        <f t="shared" si="123"/>
        <v>0</v>
      </c>
      <c r="K1406" s="155">
        <f t="shared" si="124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25"/>
        <v>0</v>
      </c>
      <c r="O1406" s="155">
        <f t="shared" si="126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28"/>
        <v>755996.11696758063</v>
      </c>
      <c r="J1407" s="163">
        <f t="shared" si="123"/>
        <v>0</v>
      </c>
      <c r="K1407" s="155">
        <f t="shared" si="124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25"/>
        <v>0</v>
      </c>
      <c r="O1407" s="155">
        <f t="shared" si="126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28"/>
        <v>589800</v>
      </c>
      <c r="J1408" s="163">
        <f t="shared" si="123"/>
        <v>0</v>
      </c>
      <c r="K1408" s="155">
        <f t="shared" si="124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25"/>
        <v>0</v>
      </c>
      <c r="O1408" s="155">
        <f t="shared" si="126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28"/>
        <v>832055.45603276498</v>
      </c>
      <c r="J1409" s="163">
        <f t="shared" si="123"/>
        <v>0</v>
      </c>
      <c r="K1409" s="155">
        <f t="shared" si="124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25"/>
        <v>0</v>
      </c>
      <c r="O1409" s="155">
        <f t="shared" si="126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28"/>
        <v>636000</v>
      </c>
      <c r="J1410" s="163">
        <f t="shared" si="123"/>
        <v>0</v>
      </c>
      <c r="K1410" s="155">
        <f t="shared" si="124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25"/>
        <v>0</v>
      </c>
      <c r="O1410" s="155">
        <f t="shared" si="126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28"/>
        <v>842833.50878142437</v>
      </c>
      <c r="J1411" s="163">
        <f t="shared" si="123"/>
        <v>0</v>
      </c>
      <c r="K1411" s="155">
        <f t="shared" si="124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25"/>
        <v>0</v>
      </c>
      <c r="O1411" s="155">
        <f t="shared" si="126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28"/>
        <v>762000</v>
      </c>
      <c r="J1412" s="163">
        <f t="shared" si="123"/>
        <v>0</v>
      </c>
      <c r="K1412" s="155">
        <f t="shared" si="124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25"/>
        <v>0</v>
      </c>
      <c r="O1412" s="155">
        <f t="shared" si="126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28"/>
        <v>902019.15073140874</v>
      </c>
      <c r="J1413" s="163">
        <f t="shared" si="123"/>
        <v>0</v>
      </c>
      <c r="K1413" s="155">
        <f t="shared" si="124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25"/>
        <v>0</v>
      </c>
      <c r="O1413" s="155">
        <f t="shared" si="126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28"/>
        <v>902019.15073140874</v>
      </c>
      <c r="J1414" s="163">
        <f t="shared" si="123"/>
        <v>0</v>
      </c>
      <c r="K1414" s="155">
        <f t="shared" si="124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25"/>
        <v>0</v>
      </c>
      <c r="O1414" s="155">
        <f t="shared" si="126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28"/>
        <v>0</v>
      </c>
      <c r="J1415" s="163">
        <f t="shared" si="123"/>
        <v>0</v>
      </c>
      <c r="K1415" s="155">
        <f t="shared" si="124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25"/>
        <v>0</v>
      </c>
      <c r="O1415" s="155">
        <f t="shared" si="126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28"/>
        <v>0</v>
      </c>
      <c r="J1416" s="163">
        <f t="shared" si="123"/>
        <v>0</v>
      </c>
      <c r="K1416" s="155">
        <f t="shared" si="124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25"/>
        <v>0</v>
      </c>
      <c r="O1416" s="155">
        <f t="shared" si="126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28"/>
        <v>96180</v>
      </c>
      <c r="J1417" s="163">
        <f t="shared" si="123"/>
        <v>0</v>
      </c>
      <c r="K1417" s="155">
        <f t="shared" si="124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25"/>
        <v>0</v>
      </c>
      <c r="O1417" s="155">
        <f t="shared" si="126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28"/>
        <v>257820</v>
      </c>
      <c r="J1418" s="163">
        <f t="shared" si="123"/>
        <v>0</v>
      </c>
      <c r="K1418" s="155">
        <f t="shared" si="124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25"/>
        <v>0</v>
      </c>
      <c r="O1418" s="155">
        <f t="shared" si="126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28"/>
        <v>299160</v>
      </c>
      <c r="J1419" s="163">
        <f t="shared" si="123"/>
        <v>0</v>
      </c>
      <c r="K1419" s="155">
        <f t="shared" si="124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25"/>
        <v>0</v>
      </c>
      <c r="O1419" s="155">
        <f t="shared" si="126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28"/>
        <v>246960</v>
      </c>
      <c r="J1420" s="163">
        <f t="shared" ref="J1420:J1457" si="129">IF(D1420="MDU-KD",1,0)</f>
        <v>0</v>
      </c>
      <c r="K1420" s="155">
        <f t="shared" ref="K1420:K1457" si="130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31">IF(L1420=0,M1420,L1420)</f>
        <v>0</v>
      </c>
      <c r="O1420" s="155">
        <f t="shared" ref="O1420:O1457" si="132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28"/>
        <v>286461</v>
      </c>
      <c r="J1421" s="163">
        <f t="shared" si="129"/>
        <v>0</v>
      </c>
      <c r="K1421" s="155">
        <f t="shared" si="130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31"/>
        <v>0</v>
      </c>
      <c r="O1421" s="155">
        <f t="shared" si="132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29"/>
        <v>0</v>
      </c>
      <c r="K1422" s="155">
        <f t="shared" si="130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31"/>
        <v>0</v>
      </c>
      <c r="O1422" s="155">
        <f t="shared" si="132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29"/>
        <v>0</v>
      </c>
      <c r="K1423" s="155">
        <f t="shared" si="130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31"/>
        <v>0</v>
      </c>
      <c r="O1423" s="155">
        <f t="shared" si="132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28"/>
        <v>300600</v>
      </c>
      <c r="J1424" s="163">
        <f t="shared" si="129"/>
        <v>0</v>
      </c>
      <c r="K1424" s="155">
        <f t="shared" si="130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31"/>
        <v>0</v>
      </c>
      <c r="O1424" s="155">
        <f t="shared" si="132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28"/>
        <v>358140</v>
      </c>
      <c r="J1425" s="163">
        <f t="shared" si="129"/>
        <v>0</v>
      </c>
      <c r="K1425" s="155">
        <f t="shared" si="130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31"/>
        <v>0</v>
      </c>
      <c r="O1425" s="155">
        <f t="shared" si="132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28"/>
        <v>341777.99941898551</v>
      </c>
      <c r="J1426" s="163">
        <f t="shared" si="129"/>
        <v>0</v>
      </c>
      <c r="K1426" s="155">
        <f t="shared" si="130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31"/>
        <v>0</v>
      </c>
      <c r="O1426" s="155">
        <f t="shared" si="132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28"/>
        <v>395879.58401850733</v>
      </c>
      <c r="J1427" s="163">
        <f t="shared" si="129"/>
        <v>0</v>
      </c>
      <c r="K1427" s="155">
        <f t="shared" si="130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31"/>
        <v>0</v>
      </c>
      <c r="O1427" s="155">
        <f t="shared" si="132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28"/>
        <v>6240</v>
      </c>
      <c r="J1428" s="163">
        <f t="shared" si="129"/>
        <v>0</v>
      </c>
      <c r="K1428" s="155">
        <f t="shared" si="130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31"/>
        <v>0</v>
      </c>
      <c r="O1428" s="155">
        <f t="shared" si="132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28"/>
        <v>5760</v>
      </c>
      <c r="J1429" s="163">
        <f t="shared" si="129"/>
        <v>0</v>
      </c>
      <c r="K1429" s="155">
        <f t="shared" si="130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31"/>
        <v>0</v>
      </c>
      <c r="O1429" s="155">
        <f t="shared" si="132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28"/>
        <v>337284.9788645666</v>
      </c>
      <c r="J1430" s="163">
        <f t="shared" si="129"/>
        <v>0</v>
      </c>
      <c r="K1430" s="155">
        <f t="shared" si="130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31"/>
        <v>0</v>
      </c>
      <c r="O1430" s="155">
        <f t="shared" si="132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28"/>
        <v>269827.98309165332</v>
      </c>
      <c r="J1431" s="163">
        <f t="shared" si="129"/>
        <v>0</v>
      </c>
      <c r="K1431" s="155">
        <f t="shared" si="130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31"/>
        <v>0</v>
      </c>
      <c r="O1431" s="155">
        <f t="shared" si="132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28"/>
        <v>420</v>
      </c>
      <c r="J1432" s="163">
        <f t="shared" si="129"/>
        <v>0</v>
      </c>
      <c r="K1432" s="155">
        <f t="shared" si="130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31"/>
        <v>0</v>
      </c>
      <c r="O1432" s="155">
        <f t="shared" si="132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28"/>
        <v>720</v>
      </c>
      <c r="J1433" s="163">
        <f t="shared" si="129"/>
        <v>0</v>
      </c>
      <c r="K1433" s="155">
        <f t="shared" si="130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31"/>
        <v>0</v>
      </c>
      <c r="O1433" s="155">
        <f t="shared" si="132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28"/>
        <v>15300</v>
      </c>
      <c r="J1434" s="163">
        <f t="shared" si="129"/>
        <v>0</v>
      </c>
      <c r="K1434" s="155">
        <f t="shared" si="130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31"/>
        <v>0</v>
      </c>
      <c r="O1434" s="155">
        <f t="shared" si="132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28"/>
        <v>9120</v>
      </c>
      <c r="J1435" s="163">
        <f t="shared" si="129"/>
        <v>0</v>
      </c>
      <c r="K1435" s="155">
        <f t="shared" si="130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31"/>
        <v>0</v>
      </c>
      <c r="O1435" s="155">
        <f t="shared" si="132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4">
        <v>2740</v>
      </c>
      <c r="G1436" s="414">
        <v>2740</v>
      </c>
      <c r="H1436" s="177"/>
      <c r="I1436" s="176">
        <f t="shared" si="128"/>
        <v>2740</v>
      </c>
      <c r="J1436" s="163">
        <f t="shared" si="129"/>
        <v>0</v>
      </c>
      <c r="K1436" s="155">
        <f t="shared" si="130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31"/>
        <v>0</v>
      </c>
      <c r="O1436" s="155">
        <f t="shared" si="132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33">IF($I$5=$G$4,G1437,(IF($I$5=$F$4,F1437,0)))</f>
        <v>0</v>
      </c>
      <c r="J1437" s="163">
        <f t="shared" si="129"/>
        <v>0</v>
      </c>
      <c r="K1437" s="155">
        <f t="shared" si="130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31"/>
        <v>0</v>
      </c>
      <c r="O1437" s="155">
        <f t="shared" si="132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33"/>
        <v>0</v>
      </c>
      <c r="J1438" s="163">
        <f t="shared" si="129"/>
        <v>0</v>
      </c>
      <c r="K1438" s="155">
        <f t="shared" si="130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31"/>
        <v>0</v>
      </c>
      <c r="O1438" s="155">
        <f t="shared" si="132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33"/>
        <v>15000</v>
      </c>
      <c r="J1439" s="163">
        <f t="shared" si="129"/>
        <v>0</v>
      </c>
      <c r="K1439" s="155">
        <f t="shared" si="130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31"/>
        <v>0</v>
      </c>
      <c r="O1439" s="155">
        <f t="shared" si="132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33"/>
        <v>36180</v>
      </c>
      <c r="J1440" s="163">
        <f t="shared" si="129"/>
        <v>0</v>
      </c>
      <c r="K1440" s="155">
        <f t="shared" si="130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31"/>
        <v>0</v>
      </c>
      <c r="O1440" s="155">
        <f t="shared" si="132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33"/>
        <v>32640</v>
      </c>
      <c r="J1441" s="163">
        <f t="shared" si="129"/>
        <v>0</v>
      </c>
      <c r="K1441" s="155">
        <f t="shared" si="130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31"/>
        <v>0</v>
      </c>
      <c r="O1441" s="155">
        <f t="shared" si="132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33"/>
        <v>63840</v>
      </c>
      <c r="J1442" s="163">
        <f t="shared" si="129"/>
        <v>0</v>
      </c>
      <c r="K1442" s="155">
        <f t="shared" si="130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31"/>
        <v>0</v>
      </c>
      <c r="O1442" s="155">
        <f t="shared" si="132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34">IF($I$5=$G$4,G1443,(IF($I$5=$F$4,F1443,0)))</f>
        <v>450000</v>
      </c>
      <c r="J1443" s="163">
        <f t="shared" si="129"/>
        <v>0</v>
      </c>
      <c r="K1443" s="155">
        <f t="shared" si="130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31"/>
        <v>0</v>
      </c>
      <c r="O1443" s="155">
        <f t="shared" si="132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34"/>
        <v>985020</v>
      </c>
      <c r="J1444" s="163">
        <f t="shared" si="129"/>
        <v>0</v>
      </c>
      <c r="K1444" s="155">
        <f t="shared" si="130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31"/>
        <v>0</v>
      </c>
      <c r="O1444" s="155">
        <f t="shared" si="132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34"/>
        <v>0</v>
      </c>
      <c r="J1445" s="163">
        <f t="shared" si="129"/>
        <v>0</v>
      </c>
      <c r="K1445" s="155">
        <f t="shared" si="130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31"/>
        <v>0</v>
      </c>
      <c r="O1445" s="155">
        <f t="shared" si="132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34"/>
        <v>0</v>
      </c>
      <c r="J1446" s="163">
        <f t="shared" si="129"/>
        <v>0</v>
      </c>
      <c r="K1446" s="155">
        <f t="shared" si="130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31"/>
        <v>0</v>
      </c>
      <c r="O1446" s="155">
        <f t="shared" si="132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34"/>
        <v>2.5000000000000001E-2</v>
      </c>
      <c r="J1447" s="163">
        <f t="shared" si="129"/>
        <v>0</v>
      </c>
      <c r="K1447" s="155">
        <f t="shared" si="130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31"/>
        <v>0</v>
      </c>
      <c r="O1447" s="155">
        <f t="shared" si="132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34"/>
        <v>800000</v>
      </c>
      <c r="J1448" s="163">
        <f t="shared" si="129"/>
        <v>0</v>
      </c>
      <c r="K1448" s="155">
        <f t="shared" si="130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31"/>
        <v>0</v>
      </c>
      <c r="O1448" s="155">
        <f t="shared" si="132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34"/>
        <v>300000</v>
      </c>
      <c r="J1449" s="163">
        <f t="shared" si="129"/>
        <v>0</v>
      </c>
      <c r="K1449" s="155">
        <f t="shared" si="130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31"/>
        <v>0</v>
      </c>
      <c r="O1449" s="155">
        <f t="shared" si="132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34"/>
        <v>300000</v>
      </c>
      <c r="J1450" s="163">
        <f t="shared" si="129"/>
        <v>0</v>
      </c>
      <c r="K1450" s="155">
        <f t="shared" si="130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31"/>
        <v>0</v>
      </c>
      <c r="O1450" s="155">
        <f t="shared" si="132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34"/>
        <v>57250</v>
      </c>
      <c r="J1451" s="163">
        <f t="shared" si="129"/>
        <v>0</v>
      </c>
      <c r="K1451" s="155">
        <f t="shared" si="130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31"/>
        <v>0</v>
      </c>
      <c r="O1451" s="155">
        <f t="shared" si="132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34"/>
        <v>13770</v>
      </c>
      <c r="J1452" s="163">
        <f t="shared" si="129"/>
        <v>0</v>
      </c>
      <c r="K1452" s="155">
        <f t="shared" si="130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31"/>
        <v>0</v>
      </c>
      <c r="O1452" s="155">
        <f t="shared" si="132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34"/>
        <v>29730</v>
      </c>
      <c r="J1453" s="163">
        <f t="shared" si="129"/>
        <v>0</v>
      </c>
      <c r="K1453" s="155">
        <f t="shared" si="130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31"/>
        <v>0</v>
      </c>
      <c r="O1453" s="155">
        <f t="shared" si="132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34"/>
        <v>250000</v>
      </c>
      <c r="J1454" s="163">
        <f t="shared" si="129"/>
        <v>0</v>
      </c>
      <c r="K1454" s="155">
        <f t="shared" si="130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31"/>
        <v>0</v>
      </c>
      <c r="O1454" s="155">
        <f t="shared" si="132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34"/>
        <v>54500</v>
      </c>
      <c r="J1455" s="163">
        <f t="shared" si="129"/>
        <v>0</v>
      </c>
      <c r="K1455" s="155">
        <f t="shared" si="130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31"/>
        <v>0</v>
      </c>
      <c r="O1455" s="155">
        <f t="shared" si="132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34"/>
        <v>816100</v>
      </c>
      <c r="J1456" s="163">
        <f t="shared" si="129"/>
        <v>0</v>
      </c>
      <c r="K1456" s="155">
        <f t="shared" si="130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31"/>
        <v>0</v>
      </c>
      <c r="O1456" s="155">
        <f t="shared" si="132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34"/>
        <v>601800</v>
      </c>
      <c r="J1457" s="163">
        <f t="shared" si="129"/>
        <v>0</v>
      </c>
      <c r="K1457" s="155">
        <f t="shared" si="130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31"/>
        <v>0</v>
      </c>
      <c r="O1457" s="155">
        <f t="shared" si="132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34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34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34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34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34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34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34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34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34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34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34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34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34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34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34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34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34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34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34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34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34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34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34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34"/>
        <v>115253</v>
      </c>
    </row>
    <row r="1482" spans="2:9" ht="15" customHeight="1">
      <c r="B1482" s="187">
        <v>2</v>
      </c>
      <c r="C1482" s="415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34"/>
        <v>115253</v>
      </c>
    </row>
    <row r="1483" spans="2:9" ht="15" customHeight="1">
      <c r="B1483" s="187">
        <v>3</v>
      </c>
      <c r="C1483" s="415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34"/>
        <v>115253</v>
      </c>
    </row>
    <row r="1484" spans="2:9" ht="15" customHeight="1">
      <c r="B1484" s="187">
        <v>4</v>
      </c>
      <c r="C1484" s="415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34"/>
        <v>115253</v>
      </c>
    </row>
    <row r="1485" spans="2:9" ht="15" customHeight="1">
      <c r="B1485" s="187">
        <v>5</v>
      </c>
      <c r="C1485" s="415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34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34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34"/>
        <v>115253</v>
      </c>
    </row>
    <row r="1488" spans="2:9" ht="15" customHeight="1">
      <c r="B1488" s="187">
        <v>8</v>
      </c>
      <c r="C1488" s="415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34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34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34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34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34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34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34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34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34"/>
        <v>12000</v>
      </c>
    </row>
    <row r="1497" spans="2:9" ht="15" customHeight="1">
      <c r="I1497" s="88">
        <f t="shared" si="134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32" priority="4" operator="equal">
      <formula>0</formula>
    </cfRule>
  </conditionalFormatting>
  <conditionalFormatting sqref="B217 D217:G217">
    <cfRule type="cellIs" dxfId="31" priority="11" operator="equal">
      <formula>0</formula>
    </cfRule>
  </conditionalFormatting>
  <conditionalFormatting sqref="B8:C135">
    <cfRule type="cellIs" dxfId="30" priority="66" operator="equal">
      <formula>0</formula>
    </cfRule>
  </conditionalFormatting>
  <conditionalFormatting sqref="B216:G216">
    <cfRule type="cellIs" dxfId="29" priority="16" operator="equal">
      <formula>0</formula>
    </cfRule>
  </conditionalFormatting>
  <conditionalFormatting sqref="B218:G1496">
    <cfRule type="cellIs" dxfId="28" priority="1" operator="equal">
      <formula>0</formula>
    </cfRule>
  </conditionalFormatting>
  <conditionalFormatting sqref="C143:G149">
    <cfRule type="cellIs" dxfId="27" priority="20" operator="equal">
      <formula>0</formula>
    </cfRule>
  </conditionalFormatting>
  <conditionalFormatting sqref="D9:G142">
    <cfRule type="cellIs" dxfId="26" priority="26" operator="equal">
      <formula>0</formula>
    </cfRule>
  </conditionalFormatting>
  <conditionalFormatting sqref="D1:IV5 A1:C7 D6:K6 H1458:IV1460 H1461:XFD1488 H1489:H1496 I1489:XFD1497 A1497:H1497 A1498:XFD65539">
    <cfRule type="cellIs" dxfId="25" priority="178" operator="equal">
      <formula>0</formula>
    </cfRule>
  </conditionalFormatting>
  <conditionalFormatting sqref="D7:IV8 C136:C142 B136:B149 B150:G213 B214:B215 D214:G215">
    <cfRule type="cellIs" dxfId="24" priority="77" operator="equal">
      <formula>0</formula>
    </cfRule>
  </conditionalFormatting>
  <conditionalFormatting sqref="H9:H1421">
    <cfRule type="cellIs" dxfId="23" priority="3" operator="equal">
      <formula>0</formula>
    </cfRule>
  </conditionalFormatting>
  <conditionalFormatting sqref="H1422:I1457">
    <cfRule type="cellIs" dxfId="22" priority="143" operator="equal">
      <formula>0</formula>
    </cfRule>
  </conditionalFormatting>
  <conditionalFormatting sqref="I108:I1421">
    <cfRule type="cellIs" dxfId="21" priority="2" operator="equal">
      <formula>0</formula>
    </cfRule>
  </conditionalFormatting>
  <conditionalFormatting sqref="I9:IV107">
    <cfRule type="cellIs" dxfId="20" priority="153" operator="equal">
      <formula>0</formula>
    </cfRule>
  </conditionalFormatting>
  <conditionalFormatting sqref="J108:IV1457">
    <cfRule type="cellIs" dxfId="19" priority="5" operator="equal">
      <formula>0</formula>
    </cfRule>
  </conditionalFormatting>
  <conditionalFormatting sqref="M6:IV6">
    <cfRule type="cellIs" dxfId="18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4" zoomScale="55" zoomScaleNormal="55" zoomScaleSheetLayoutView="85" workbookViewId="0">
      <selection activeCell="D17" sqref="D17:E17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74" t="s">
        <v>1453</v>
      </c>
      <c r="C2" s="574"/>
      <c r="D2" s="574"/>
      <c r="E2" s="574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579" t="s">
        <v>1528</v>
      </c>
      <c r="C4" s="580"/>
      <c r="D4" s="580"/>
      <c r="E4" s="581"/>
      <c r="F4" s="372"/>
      <c r="G4" s="372"/>
      <c r="H4" s="373"/>
      <c r="I4" s="606" t="s">
        <v>1529</v>
      </c>
      <c r="J4" s="607"/>
      <c r="K4" s="607"/>
      <c r="L4" s="608"/>
    </row>
    <row r="5" spans="1:12" ht="34.5" customHeight="1">
      <c r="A5" s="193"/>
      <c r="B5" s="375" t="s">
        <v>1378</v>
      </c>
      <c r="C5" s="224" t="s">
        <v>9</v>
      </c>
      <c r="D5" s="575" t="str">
        <f>DATA!D14</f>
        <v>IKA BINTA ADRIYANI</v>
      </c>
      <c r="E5" s="576"/>
      <c r="F5" s="197"/>
      <c r="G5" s="197"/>
      <c r="I5" s="376" t="s">
        <v>1378</v>
      </c>
      <c r="J5" s="224" t="s">
        <v>9</v>
      </c>
      <c r="K5" s="609" t="str">
        <f>D5</f>
        <v>IKA BINTA ADRIYANI</v>
      </c>
      <c r="L5" s="610"/>
    </row>
    <row r="6" spans="1:12" ht="31.5" customHeight="1">
      <c r="A6" s="193"/>
      <c r="B6" s="375" t="s">
        <v>1525</v>
      </c>
      <c r="C6" s="224" t="s">
        <v>9</v>
      </c>
      <c r="D6" s="584">
        <f>DATA!D17*1000</f>
        <v>900</v>
      </c>
      <c r="E6" s="585"/>
      <c r="F6" s="197"/>
      <c r="G6" s="197"/>
      <c r="I6" s="376" t="s">
        <v>1526</v>
      </c>
      <c r="J6" s="224" t="s">
        <v>9</v>
      </c>
      <c r="K6" s="611">
        <f>DATA!D20*1000</f>
        <v>10600</v>
      </c>
      <c r="L6" s="612"/>
    </row>
    <row r="7" spans="1:12" ht="30.75" customHeight="1">
      <c r="A7" s="193"/>
      <c r="B7" s="375" t="s">
        <v>1440</v>
      </c>
      <c r="C7" s="224" t="s">
        <v>9</v>
      </c>
      <c r="D7" s="582">
        <f>DATA!D18</f>
        <v>1</v>
      </c>
      <c r="E7" s="583"/>
      <c r="F7" s="374" t="s">
        <v>1452</v>
      </c>
      <c r="I7" s="376" t="s">
        <v>1440</v>
      </c>
      <c r="J7" s="224" t="s">
        <v>9</v>
      </c>
      <c r="K7" s="613">
        <f>DATA!D21</f>
        <v>1</v>
      </c>
      <c r="L7" s="614"/>
    </row>
    <row r="8" spans="1:12" ht="51" customHeight="1">
      <c r="A8" s="193"/>
      <c r="B8" s="375" t="s">
        <v>1441</v>
      </c>
      <c r="C8" s="224" t="s">
        <v>9</v>
      </c>
      <c r="D8" s="582">
        <f>DATA!D19</f>
        <v>220</v>
      </c>
      <c r="E8" s="583"/>
      <c r="F8" s="374" t="s">
        <v>1452</v>
      </c>
      <c r="G8" s="369">
        <v>220</v>
      </c>
      <c r="I8" s="376" t="s">
        <v>1441</v>
      </c>
      <c r="J8" s="224" t="s">
        <v>9</v>
      </c>
      <c r="K8" s="613">
        <f>DATA!D22</f>
        <v>220</v>
      </c>
      <c r="L8" s="614"/>
    </row>
    <row r="9" spans="1:12" ht="30" customHeight="1" thickBot="1">
      <c r="A9" s="193"/>
      <c r="B9" s="381" t="s">
        <v>1537</v>
      </c>
      <c r="C9" s="371" t="s">
        <v>9</v>
      </c>
      <c r="D9" s="577">
        <f>IF(D7=1,D6/(380/3^0.5),(D6/(380*3^0.5)))</f>
        <v>4.102225596873657</v>
      </c>
      <c r="E9" s="578"/>
      <c r="F9" s="196"/>
      <c r="G9" s="370">
        <v>380</v>
      </c>
      <c r="I9" s="382" t="s">
        <v>1537</v>
      </c>
      <c r="J9" s="371" t="s">
        <v>9</v>
      </c>
      <c r="K9" s="615">
        <f>IF(K7=1,K6/(380/3^0.5),(K6/(380*3^0.5)))</f>
        <v>48.315101474289733</v>
      </c>
      <c r="L9" s="616"/>
    </row>
    <row r="10" spans="1:12" ht="24.75" customHeight="1">
      <c r="B10" s="383"/>
      <c r="C10" s="380"/>
      <c r="D10" s="384"/>
      <c r="E10" s="384"/>
      <c r="F10" s="196"/>
      <c r="G10" s="370"/>
      <c r="I10" s="383"/>
      <c r="J10" s="380"/>
      <c r="K10" s="384"/>
      <c r="L10" s="384"/>
    </row>
    <row r="11" spans="1:12" ht="16.5" thickBot="1">
      <c r="B11" s="377" t="s">
        <v>1538</v>
      </c>
      <c r="I11" s="377" t="s">
        <v>1532</v>
      </c>
    </row>
    <row r="12" spans="1:12" ht="34.5" customHeight="1">
      <c r="A12" s="193"/>
      <c r="B12" s="405" t="s">
        <v>1530</v>
      </c>
      <c r="C12" s="399" t="s">
        <v>9</v>
      </c>
      <c r="D12" s="586" t="s">
        <v>1644</v>
      </c>
      <c r="E12" s="587"/>
      <c r="F12" s="197"/>
      <c r="G12" s="197"/>
      <c r="I12" s="398" t="s">
        <v>1530</v>
      </c>
      <c r="J12" s="399" t="s">
        <v>9</v>
      </c>
      <c r="K12" s="586"/>
      <c r="L12" s="587"/>
    </row>
    <row r="13" spans="1:12" ht="31.5" customHeight="1">
      <c r="A13" s="193"/>
      <c r="B13" s="406" t="s">
        <v>1379</v>
      </c>
      <c r="C13" s="386" t="s">
        <v>9</v>
      </c>
      <c r="D13" s="590" t="s">
        <v>1637</v>
      </c>
      <c r="E13" s="591"/>
      <c r="F13" s="197"/>
      <c r="G13" s="197"/>
      <c r="I13" s="400" t="s">
        <v>1379</v>
      </c>
      <c r="J13" s="386" t="s">
        <v>9</v>
      </c>
      <c r="K13" s="590"/>
      <c r="L13" s="591"/>
    </row>
    <row r="14" spans="1:12" ht="30.75" customHeight="1">
      <c r="A14" s="193"/>
      <c r="B14" s="406" t="s">
        <v>1531</v>
      </c>
      <c r="C14" s="386" t="s">
        <v>9</v>
      </c>
      <c r="D14" s="598">
        <v>100</v>
      </c>
      <c r="E14" s="599"/>
      <c r="F14" s="374" t="s">
        <v>1452</v>
      </c>
      <c r="G14" s="378">
        <v>50</v>
      </c>
      <c r="I14" s="400" t="s">
        <v>1531</v>
      </c>
      <c r="J14" s="386" t="s">
        <v>9</v>
      </c>
      <c r="K14" s="600"/>
      <c r="L14" s="601"/>
    </row>
    <row r="15" spans="1:12" ht="57" customHeight="1">
      <c r="A15" s="193"/>
      <c r="B15" s="406" t="s">
        <v>1440</v>
      </c>
      <c r="C15" s="386" t="s">
        <v>9</v>
      </c>
      <c r="D15" s="392">
        <v>3</v>
      </c>
      <c r="E15" s="401"/>
      <c r="F15" s="374" t="s">
        <v>1452</v>
      </c>
      <c r="G15" s="378">
        <v>100</v>
      </c>
      <c r="I15" s="400" t="s">
        <v>1440</v>
      </c>
      <c r="J15" s="386" t="s">
        <v>9</v>
      </c>
      <c r="K15" s="392"/>
      <c r="L15" s="401"/>
    </row>
    <row r="16" spans="1:12" ht="44.25" customHeight="1">
      <c r="A16" s="193"/>
      <c r="B16" s="406" t="s">
        <v>1541</v>
      </c>
      <c r="C16" s="386"/>
      <c r="D16" s="602">
        <f>32+33+34</f>
        <v>99</v>
      </c>
      <c r="E16" s="603"/>
      <c r="F16" s="374"/>
      <c r="G16" s="378">
        <v>160</v>
      </c>
      <c r="I16" s="400" t="s">
        <v>1533</v>
      </c>
      <c r="J16" s="386" t="s">
        <v>9</v>
      </c>
      <c r="K16" s="604">
        <f>K9</f>
        <v>48.315101474289733</v>
      </c>
      <c r="L16" s="605"/>
    </row>
    <row r="17" spans="1:12" ht="34.5" customHeight="1">
      <c r="A17" s="193"/>
      <c r="B17" s="406" t="s">
        <v>1534</v>
      </c>
      <c r="C17" s="386" t="s">
        <v>9</v>
      </c>
      <c r="D17" s="592">
        <f>IF(D15=1,D14/(20/3^0.5),(D14/(20*3^0.5)))</f>
        <v>2.8867513459481291</v>
      </c>
      <c r="E17" s="593"/>
      <c r="F17" s="374" t="s">
        <v>1452</v>
      </c>
      <c r="G17" s="379">
        <v>200</v>
      </c>
      <c r="I17" s="400" t="s">
        <v>1534</v>
      </c>
      <c r="J17" s="386" t="s">
        <v>9</v>
      </c>
      <c r="K17" s="596">
        <f>IF(K15=1,K14/(20/3^0.5),(K14/(20*3^0.5)))</f>
        <v>0</v>
      </c>
      <c r="L17" s="597"/>
    </row>
    <row r="18" spans="1:12" ht="34.5" customHeight="1">
      <c r="A18" s="193"/>
      <c r="B18" s="406" t="s">
        <v>1535</v>
      </c>
      <c r="C18" s="386" t="s">
        <v>9</v>
      </c>
      <c r="D18" s="592">
        <f>IF(D15=1,D14/(380/3^0.5),(D14/(380*3^0.5)))*1000</f>
        <v>151.93428136569102</v>
      </c>
      <c r="E18" s="593"/>
      <c r="F18" s="374" t="s">
        <v>1452</v>
      </c>
      <c r="G18" s="379">
        <v>250</v>
      </c>
      <c r="I18" s="400" t="s">
        <v>1535</v>
      </c>
      <c r="J18" s="386" t="s">
        <v>9</v>
      </c>
      <c r="K18" s="596">
        <f>IF(K15=1,K14/(380/3^0.5),(K14/(380*3^0.5)))*1000</f>
        <v>0</v>
      </c>
      <c r="L18" s="597"/>
    </row>
    <row r="19" spans="1:12" ht="30" customHeight="1">
      <c r="A19" s="193"/>
      <c r="B19" s="407" t="s">
        <v>1527</v>
      </c>
      <c r="C19" s="385" t="s">
        <v>9</v>
      </c>
      <c r="D19" s="592">
        <f>IF(D15=1,D14/(380/3^0.5),(D14/(380*3^0.5)))</f>
        <v>0.15193428136569101</v>
      </c>
      <c r="E19" s="593"/>
      <c r="F19" s="196"/>
      <c r="G19" s="370"/>
      <c r="I19" s="402" t="s">
        <v>1527</v>
      </c>
      <c r="J19" s="385" t="s">
        <v>9</v>
      </c>
      <c r="K19" s="596">
        <f>IF(K15=1,K14/(380/3^0.5),(K14/(380*3^0.5)))</f>
        <v>0</v>
      </c>
      <c r="L19" s="597"/>
    </row>
    <row r="20" spans="1:12" ht="30" customHeight="1" thickBot="1">
      <c r="A20" s="193"/>
      <c r="B20" s="408" t="s">
        <v>1536</v>
      </c>
      <c r="C20" s="404" t="s">
        <v>9</v>
      </c>
      <c r="D20" s="588">
        <f>D16/D18</f>
        <v>0.65159751380741149</v>
      </c>
      <c r="E20" s="589"/>
      <c r="F20" s="196"/>
      <c r="G20" s="370"/>
      <c r="I20" s="403" t="s">
        <v>1527</v>
      </c>
      <c r="J20" s="404" t="s">
        <v>9</v>
      </c>
      <c r="K20" s="594" t="e">
        <f>K16/K18</f>
        <v>#DIV/0!</v>
      </c>
      <c r="L20" s="595"/>
    </row>
    <row r="21" spans="1:12" ht="9.75" customHeight="1">
      <c r="A21" s="193"/>
      <c r="B21" s="393" t="s">
        <v>1536</v>
      </c>
      <c r="C21" s="394" t="s">
        <v>9</v>
      </c>
      <c r="D21" s="573">
        <v>1</v>
      </c>
      <c r="E21" s="573"/>
      <c r="F21" s="395"/>
      <c r="G21" s="396"/>
      <c r="H21" s="397"/>
      <c r="I21" s="393" t="s">
        <v>1527</v>
      </c>
      <c r="J21" s="394" t="s">
        <v>9</v>
      </c>
      <c r="K21" s="573">
        <v>1</v>
      </c>
      <c r="L21" s="573"/>
    </row>
    <row r="22" spans="1:12" ht="6.75" customHeight="1">
      <c r="B22" s="383"/>
      <c r="C22" s="380"/>
      <c r="D22" s="391"/>
      <c r="E22" s="391"/>
      <c r="F22" s="196"/>
      <c r="G22" s="370"/>
      <c r="J22" s="380"/>
      <c r="K22" s="391"/>
      <c r="L22" s="391"/>
    </row>
    <row r="23" spans="1:12" ht="15.75" thickBot="1"/>
    <row r="24" spans="1:12" ht="200.25" customHeight="1" thickBot="1">
      <c r="B24" s="570"/>
      <c r="C24" s="571"/>
      <c r="D24" s="571"/>
      <c r="E24" s="572"/>
      <c r="I24" s="570"/>
      <c r="J24" s="571"/>
      <c r="K24" s="571"/>
      <c r="L24" s="572"/>
    </row>
    <row r="26" spans="1:12">
      <c r="D26" s="388"/>
    </row>
    <row r="27" spans="1:12">
      <c r="D27" s="389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17" priority="5" stopIfTrue="1" operator="greaterThan">
      <formula>0.89</formula>
    </cfRule>
    <cfRule type="cellIs" dxfId="16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300" verticalDpi="30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7" zoomScale="85" zoomScaleNormal="85" workbookViewId="0">
      <selection activeCell="D20" sqref="D20"/>
    </sheetView>
  </sheetViews>
  <sheetFormatPr defaultColWidth="9.140625" defaultRowHeight="15"/>
  <cols>
    <col min="1" max="1" width="1.28515625" style="234" customWidth="1"/>
    <col min="2" max="2" width="25.140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617"/>
      <c r="C1" s="617"/>
      <c r="D1" s="617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6">
        <v>1084.1250458865841</v>
      </c>
      <c r="F5" s="412" t="s">
        <v>1600</v>
      </c>
      <c r="K5" s="411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2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9.6999999999999993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9399300</v>
      </c>
    </row>
    <row r="10" spans="2:11" ht="20.100000000000001" customHeight="1">
      <c r="B10" s="238" t="s">
        <v>1445</v>
      </c>
      <c r="C10" s="239" t="s">
        <v>9</v>
      </c>
      <c r="D10" s="245">
        <f ca="1">RAB!K101</f>
        <v>27295074.566000003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545901.49132000003</v>
      </c>
    </row>
    <row r="12" spans="2:11" ht="9" customHeight="1">
      <c r="B12" s="618"/>
      <c r="C12" s="618"/>
      <c r="D12" s="618"/>
    </row>
    <row r="13" spans="2:11" ht="15.75" customHeight="1">
      <c r="B13" s="246"/>
      <c r="C13" s="246"/>
      <c r="D13" s="246"/>
    </row>
    <row r="14" spans="2:11" ht="48.75" customHeight="1">
      <c r="B14" s="359" t="s">
        <v>1378</v>
      </c>
      <c r="C14" s="360" t="s">
        <v>9</v>
      </c>
      <c r="D14" s="365" t="str">
        <f>RAB!G6</f>
        <v>IKA BINTA ADRIYANI</v>
      </c>
      <c r="E14" s="247" t="s">
        <v>1452</v>
      </c>
    </row>
    <row r="15" spans="2:11" ht="20.100000000000001" customHeight="1">
      <c r="B15" s="361" t="s">
        <v>1446</v>
      </c>
      <c r="C15" s="362" t="s">
        <v>9</v>
      </c>
      <c r="D15" s="366" t="s">
        <v>1636</v>
      </c>
      <c r="E15" s="247" t="s">
        <v>1452</v>
      </c>
    </row>
    <row r="16" spans="2:11" ht="20.100000000000001" customHeight="1">
      <c r="B16" s="361" t="s">
        <v>1447</v>
      </c>
      <c r="C16" s="362" t="s">
        <v>9</v>
      </c>
      <c r="D16" s="366" t="s">
        <v>1450</v>
      </c>
      <c r="E16" s="247" t="s">
        <v>1452</v>
      </c>
    </row>
    <row r="17" spans="2:5" ht="20.100000000000001" customHeight="1">
      <c r="B17" s="361" t="s">
        <v>1448</v>
      </c>
      <c r="C17" s="362" t="s">
        <v>9</v>
      </c>
      <c r="D17" s="367">
        <v>0.9</v>
      </c>
      <c r="E17" s="247" t="s">
        <v>1452</v>
      </c>
    </row>
    <row r="18" spans="2:5" ht="20.100000000000001" hidden="1" customHeight="1">
      <c r="B18" s="361" t="s">
        <v>1539</v>
      </c>
      <c r="C18" s="362"/>
      <c r="D18" s="367">
        <f>IF((D17&lt;=11),1,3)</f>
        <v>1</v>
      </c>
      <c r="E18" s="247"/>
    </row>
    <row r="19" spans="2:5" ht="20.100000000000001" hidden="1" customHeight="1">
      <c r="B19" s="361" t="s">
        <v>1540</v>
      </c>
      <c r="C19" s="362"/>
      <c r="D19" s="367">
        <f>IF((D17&lt;=11),220,380)</f>
        <v>220</v>
      </c>
      <c r="E19" s="247"/>
    </row>
    <row r="20" spans="2:5" ht="20.100000000000001" customHeight="1">
      <c r="B20" s="361" t="s">
        <v>1449</v>
      </c>
      <c r="C20" s="362" t="s">
        <v>9</v>
      </c>
      <c r="D20" s="366">
        <v>10.6</v>
      </c>
      <c r="E20" s="247" t="s">
        <v>1452</v>
      </c>
    </row>
    <row r="21" spans="2:5" ht="20.100000000000001" hidden="1" customHeight="1">
      <c r="B21" s="361" t="s">
        <v>1539</v>
      </c>
      <c r="C21" s="362"/>
      <c r="D21" s="367">
        <f>IF((D20&lt;=11),1,3)</f>
        <v>1</v>
      </c>
      <c r="E21" s="247"/>
    </row>
    <row r="22" spans="2:5" ht="20.100000000000001" hidden="1" customHeight="1">
      <c r="B22" s="361" t="s">
        <v>1540</v>
      </c>
      <c r="C22" s="362"/>
      <c r="D22" s="367">
        <f>IF((D20&lt;=11),220,380)</f>
        <v>220</v>
      </c>
      <c r="E22" s="247"/>
    </row>
    <row r="23" spans="2:5" ht="20.100000000000001" customHeight="1">
      <c r="B23" s="361" t="s">
        <v>1352</v>
      </c>
      <c r="C23" s="362" t="s">
        <v>9</v>
      </c>
      <c r="D23" s="366">
        <v>1444.7</v>
      </c>
      <c r="E23" s="247" t="s">
        <v>1452</v>
      </c>
    </row>
    <row r="24" spans="2:5" ht="20.100000000000001" customHeight="1">
      <c r="B24" s="361" t="s">
        <v>1353</v>
      </c>
      <c r="C24" s="362" t="s">
        <v>9</v>
      </c>
      <c r="D24" s="366">
        <v>1444.7</v>
      </c>
      <c r="E24" s="247" t="s">
        <v>1452</v>
      </c>
    </row>
    <row r="25" spans="2:5" ht="20.100000000000001" customHeight="1">
      <c r="B25" s="361" t="s">
        <v>1451</v>
      </c>
      <c r="C25" s="362" t="s">
        <v>9</v>
      </c>
      <c r="D25" s="367">
        <v>969</v>
      </c>
      <c r="E25" s="247" t="s">
        <v>1452</v>
      </c>
    </row>
    <row r="26" spans="2:5" ht="20.100000000000001" customHeight="1">
      <c r="B26" s="363" t="s">
        <v>1354</v>
      </c>
      <c r="C26" s="364" t="s">
        <v>9</v>
      </c>
      <c r="D26" s="368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J1" zoomScale="70" zoomScaleNormal="70" workbookViewId="0">
      <pane ySplit="6" topLeftCell="A7" activePane="bottomLeft" state="frozen"/>
      <selection activeCell="H1093" sqref="H1093"/>
      <selection pane="bottomLeft" activeCell="M23" sqref="M23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5703125" style="249" bestFit="1" customWidth="1"/>
    <col min="9" max="9" width="14.140625" style="249" bestFit="1" customWidth="1"/>
    <col min="10" max="10" width="13.85546875" style="249" bestFit="1" customWidth="1"/>
    <col min="11" max="11" width="15.570312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619" t="s">
        <v>1356</v>
      </c>
      <c r="C3" s="619"/>
      <c r="D3" s="619"/>
      <c r="E3" s="619"/>
      <c r="F3" s="252" t="str">
        <f>DATA!D14</f>
        <v>IKA BINTA ADRIYANI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620" t="s">
        <v>1348</v>
      </c>
      <c r="C5" s="620" t="s">
        <v>1357</v>
      </c>
      <c r="D5" s="621" t="s">
        <v>1358</v>
      </c>
      <c r="E5" s="621" t="s">
        <v>1359</v>
      </c>
      <c r="F5" s="620" t="s">
        <v>1360</v>
      </c>
      <c r="G5" s="620"/>
      <c r="H5" s="620"/>
      <c r="I5" s="620"/>
      <c r="J5" s="620"/>
      <c r="K5" s="620" t="s">
        <v>1361</v>
      </c>
      <c r="L5" s="620"/>
      <c r="M5" s="254"/>
      <c r="N5" s="624" t="s">
        <v>1362</v>
      </c>
      <c r="O5" s="621" t="s">
        <v>1363</v>
      </c>
      <c r="P5" s="621" t="s">
        <v>1364</v>
      </c>
      <c r="Q5" s="621" t="s">
        <v>1365</v>
      </c>
      <c r="R5" s="255"/>
      <c r="S5" s="256"/>
      <c r="T5" s="622" t="s">
        <v>1366</v>
      </c>
      <c r="U5" s="257"/>
    </row>
    <row r="6" spans="1:21" ht="20.100000000000001" customHeight="1">
      <c r="B6" s="620"/>
      <c r="C6" s="620"/>
      <c r="D6" s="620"/>
      <c r="E6" s="620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25"/>
      <c r="O6" s="620"/>
      <c r="P6" s="620"/>
      <c r="Q6" s="620"/>
      <c r="R6" s="255"/>
      <c r="S6" s="256"/>
      <c r="T6" s="620"/>
      <c r="U6" s="259"/>
    </row>
    <row r="7" spans="1:21" ht="20.100000000000001" customHeight="1">
      <c r="A7" s="260">
        <v>0</v>
      </c>
      <c r="B7" s="261">
        <v>2023</v>
      </c>
      <c r="C7" s="409">
        <f>DATA!D8*DATA!D26*4</f>
        <v>1552</v>
      </c>
      <c r="D7" s="263">
        <f>C7*4/24</f>
        <v>258.66666666666669</v>
      </c>
      <c r="E7" s="263">
        <f>C7-D7</f>
        <v>1293.3333333333333</v>
      </c>
      <c r="F7" s="264">
        <f ca="1">DATA!D10/1000000</f>
        <v>27.295074566000004</v>
      </c>
      <c r="G7" s="265">
        <f ca="1">DATA!$D$11/1000000</f>
        <v>0.54590149131999999</v>
      </c>
      <c r="H7" s="265">
        <f>C7*DATA!$D$5/1000000</f>
        <v>1.6825620712159786</v>
      </c>
      <c r="I7" s="265">
        <f>(C7*DATA!$D$5*DATA!$D$7)/1000000</f>
        <v>3.7857646602359518E-2</v>
      </c>
      <c r="J7" s="263">
        <f ca="1">SUM(F7:I7)</f>
        <v>29.56139577513834</v>
      </c>
      <c r="K7" s="266">
        <f>DATA!D9/1000000</f>
        <v>9.3993000000000002</v>
      </c>
      <c r="L7" s="263">
        <f>((D7*DATA!$D$23)/1000000)+((E7*DATA!$D$24)/1000000)</f>
        <v>2.2421744000000001</v>
      </c>
      <c r="M7" s="263">
        <f>K7+L7</f>
        <v>11.6414744</v>
      </c>
      <c r="N7" s="263">
        <f ca="1">M7-J7</f>
        <v>-17.91992137513834</v>
      </c>
      <c r="O7" s="261">
        <v>1</v>
      </c>
      <c r="P7" s="263">
        <f ca="1">O7*N7</f>
        <v>-17.91992137513834</v>
      </c>
      <c r="Q7" s="263">
        <f ca="1">P7</f>
        <v>-17.91992137513834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4656</v>
      </c>
      <c r="D8" s="263">
        <f>C8*4/24</f>
        <v>776</v>
      </c>
      <c r="E8" s="263">
        <f t="shared" ref="E8:E32" si="0">C8-D8</f>
        <v>3880</v>
      </c>
      <c r="F8" s="261"/>
      <c r="G8" s="265">
        <f ca="1">DATA!$D$11/1000000</f>
        <v>0.54590149131999999</v>
      </c>
      <c r="H8" s="265">
        <f>C8*DATA!$D$5/1000000</f>
        <v>5.0476862136479355</v>
      </c>
      <c r="I8" s="265">
        <f>(C8*DATA!$D$5*DATA!$D$7)/1000000</f>
        <v>0.11357293980707854</v>
      </c>
      <c r="J8" s="263">
        <f t="shared" ref="J8:J32" ca="1" si="1">SUM(F8:I8)</f>
        <v>5.7071606447750147</v>
      </c>
      <c r="K8" s="268"/>
      <c r="L8" s="263">
        <f>((D8*DATA!$D$23)/1000000)+((E8*DATA!$D$24)/1000000)</f>
        <v>6.7265231999999999</v>
      </c>
      <c r="M8" s="263">
        <f t="shared" ref="M8:M32" si="2">K8+L8</f>
        <v>6.7265231999999999</v>
      </c>
      <c r="N8" s="263">
        <f ca="1">M8-J8</f>
        <v>1.0193625552249852</v>
      </c>
      <c r="O8" s="262">
        <f>1/(1+'[94]Asumsi I'!$C$3)^(KKF!A8)</f>
        <v>0.89285714285714279</v>
      </c>
      <c r="P8" s="263">
        <f ca="1">O8*N8</f>
        <v>0.91014513859373669</v>
      </c>
      <c r="Q8" s="263">
        <f ca="1">Q7+P8</f>
        <v>-17.009776236544603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4656</v>
      </c>
      <c r="D9" s="263">
        <f t="shared" ref="D9:D32" si="5">C9*4/24</f>
        <v>776</v>
      </c>
      <c r="E9" s="263">
        <f t="shared" si="0"/>
        <v>3880</v>
      </c>
      <c r="F9" s="261"/>
      <c r="G9" s="265">
        <f ca="1">DATA!$D$11/1000000</f>
        <v>0.54590149131999999</v>
      </c>
      <c r="H9" s="265">
        <f>C9*DATA!$D$5/1000000</f>
        <v>5.0476862136479355</v>
      </c>
      <c r="I9" s="265">
        <f>(C9*DATA!$D$5*DATA!$D$7)/1000000</f>
        <v>0.11357293980707854</v>
      </c>
      <c r="J9" s="263">
        <f t="shared" ca="1" si="1"/>
        <v>5.7071606447750147</v>
      </c>
      <c r="K9" s="263"/>
      <c r="L9" s="263">
        <f>((D9*DATA!$D$23)/1000000)+((E9*DATA!$D$24)/1000000)</f>
        <v>6.7265231999999999</v>
      </c>
      <c r="M9" s="263">
        <f t="shared" si="2"/>
        <v>6.7265231999999999</v>
      </c>
      <c r="N9" s="263">
        <f t="shared" ref="N9:N32" ca="1" si="6">M9-J9</f>
        <v>1.0193625552249852</v>
      </c>
      <c r="O9" s="269">
        <f>1/(1+'[94]Asumsi I'!$C$3)^(KKF!A9)</f>
        <v>0.79719387755102034</v>
      </c>
      <c r="P9" s="263">
        <f t="shared" ref="P9:P32" ca="1" si="7">O9*N9</f>
        <v>0.81262958803012209</v>
      </c>
      <c r="Q9" s="263">
        <f ca="1">Q8+P9</f>
        <v>-16.197146648514479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4656</v>
      </c>
      <c r="D10" s="263">
        <f t="shared" si="5"/>
        <v>776</v>
      </c>
      <c r="E10" s="263">
        <f t="shared" si="0"/>
        <v>3880</v>
      </c>
      <c r="F10" s="261"/>
      <c r="G10" s="265">
        <f ca="1">DATA!$D$11/1000000</f>
        <v>0.54590149131999999</v>
      </c>
      <c r="H10" s="265">
        <f>C10*DATA!$D$5/1000000</f>
        <v>5.0476862136479355</v>
      </c>
      <c r="I10" s="265">
        <f>(C10*DATA!$D$5*DATA!$D$7)/1000000</f>
        <v>0.11357293980707854</v>
      </c>
      <c r="J10" s="263">
        <f t="shared" ca="1" si="1"/>
        <v>5.7071606447750147</v>
      </c>
      <c r="K10" s="261"/>
      <c r="L10" s="263">
        <f>((D10*DATA!$D$23)/1000000)+((E10*DATA!$D$24)/1000000)</f>
        <v>6.7265231999999999</v>
      </c>
      <c r="M10" s="263">
        <f t="shared" si="2"/>
        <v>6.7265231999999999</v>
      </c>
      <c r="N10" s="263">
        <f t="shared" ca="1" si="6"/>
        <v>1.0193625552249852</v>
      </c>
      <c r="O10" s="262">
        <f>1/(1+'[94]Asumsi I'!$C$3)^(KKF!A10)</f>
        <v>0.71178024781341087</v>
      </c>
      <c r="P10" s="263">
        <f t="shared" ca="1" si="7"/>
        <v>0.72556213216975174</v>
      </c>
      <c r="Q10" s="263">
        <f t="shared" ref="Q10:Q30" ca="1" si="9">Q9+P10</f>
        <v>-15.471584516344727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4656</v>
      </c>
      <c r="D11" s="263">
        <f t="shared" si="5"/>
        <v>776</v>
      </c>
      <c r="E11" s="263">
        <f t="shared" si="0"/>
        <v>3880</v>
      </c>
      <c r="F11" s="261"/>
      <c r="G11" s="265">
        <f ca="1">DATA!$D$11/1000000</f>
        <v>0.54590149131999999</v>
      </c>
      <c r="H11" s="265">
        <f>C11*DATA!$D$5/1000000</f>
        <v>5.0476862136479355</v>
      </c>
      <c r="I11" s="265">
        <f>(C11*DATA!$D$5*DATA!$D$7)/1000000</f>
        <v>0.11357293980707854</v>
      </c>
      <c r="J11" s="263">
        <f t="shared" ca="1" si="1"/>
        <v>5.7071606447750147</v>
      </c>
      <c r="K11" s="261"/>
      <c r="L11" s="263">
        <f>((D11*DATA!$D$23)/1000000)+((E11*DATA!$D$24)/1000000)</f>
        <v>6.7265231999999999</v>
      </c>
      <c r="M11" s="263">
        <f t="shared" si="2"/>
        <v>6.7265231999999999</v>
      </c>
      <c r="N11" s="263">
        <f t="shared" ca="1" si="6"/>
        <v>1.0193625552249852</v>
      </c>
      <c r="O11" s="262">
        <f>1/(1+'[94]Asumsi I'!$C$3)^(KKF!A11)</f>
        <v>0.63551807840483121</v>
      </c>
      <c r="P11" s="263">
        <f t="shared" ca="1" si="7"/>
        <v>0.64782333229442124</v>
      </c>
      <c r="Q11" s="263">
        <f t="shared" ca="1" si="9"/>
        <v>-14.823761184050305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4656</v>
      </c>
      <c r="D12" s="263">
        <f t="shared" si="5"/>
        <v>776</v>
      </c>
      <c r="E12" s="263">
        <f t="shared" si="0"/>
        <v>3880</v>
      </c>
      <c r="F12" s="261"/>
      <c r="G12" s="265">
        <f ca="1">DATA!$D$11/1000000</f>
        <v>0.54590149131999999</v>
      </c>
      <c r="H12" s="265">
        <f>C12*DATA!$D$5/1000000</f>
        <v>5.0476862136479355</v>
      </c>
      <c r="I12" s="265">
        <f>(C12*DATA!$D$5*DATA!$D$7)/1000000</f>
        <v>0.11357293980707854</v>
      </c>
      <c r="J12" s="263">
        <f t="shared" ca="1" si="1"/>
        <v>5.7071606447750147</v>
      </c>
      <c r="K12" s="261"/>
      <c r="L12" s="263">
        <f>((D12*DATA!$D$23)/1000000)+((E12*DATA!$D$24)/1000000)</f>
        <v>6.7265231999999999</v>
      </c>
      <c r="M12" s="263">
        <f t="shared" si="2"/>
        <v>6.7265231999999999</v>
      </c>
      <c r="N12" s="263">
        <f t="shared" ca="1" si="6"/>
        <v>1.0193625552249852</v>
      </c>
      <c r="O12" s="262">
        <f>1/(1+'[94]Asumsi I'!$C$3)^(KKF!A12)</f>
        <v>0.56742685571859919</v>
      </c>
      <c r="P12" s="263">
        <f t="shared" ca="1" si="7"/>
        <v>0.57841368954859029</v>
      </c>
      <c r="Q12" s="263">
        <f t="shared" ca="1" si="9"/>
        <v>-14.245347494501715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4656</v>
      </c>
      <c r="D13" s="263">
        <f t="shared" si="5"/>
        <v>776</v>
      </c>
      <c r="E13" s="263">
        <f t="shared" si="0"/>
        <v>3880</v>
      </c>
      <c r="F13" s="261"/>
      <c r="G13" s="265">
        <f ca="1">DATA!$D$11/1000000</f>
        <v>0.54590149131999999</v>
      </c>
      <c r="H13" s="265">
        <f>C13*DATA!$D$5/1000000</f>
        <v>5.0476862136479355</v>
      </c>
      <c r="I13" s="265">
        <f>(C13*DATA!$D$5*DATA!$D$7)/1000000</f>
        <v>0.11357293980707854</v>
      </c>
      <c r="J13" s="263">
        <f t="shared" ca="1" si="1"/>
        <v>5.7071606447750147</v>
      </c>
      <c r="K13" s="261"/>
      <c r="L13" s="263">
        <f>((D13*DATA!$D$23)/1000000)+((E13*DATA!$D$24)/1000000)</f>
        <v>6.7265231999999999</v>
      </c>
      <c r="M13" s="263">
        <f t="shared" si="2"/>
        <v>6.7265231999999999</v>
      </c>
      <c r="N13" s="263">
        <f t="shared" ca="1" si="6"/>
        <v>1.0193625552249852</v>
      </c>
      <c r="O13" s="262">
        <f>1/(1+'[94]Asumsi I'!$C$3)^(KKF!A13)</f>
        <v>0.50663112117732068</v>
      </c>
      <c r="P13" s="263">
        <f t="shared" ca="1" si="7"/>
        <v>0.51644079423981271</v>
      </c>
      <c r="Q13" s="263">
        <f t="shared" ca="1" si="9"/>
        <v>-13.728906700261902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4656</v>
      </c>
      <c r="D14" s="263">
        <f t="shared" si="5"/>
        <v>776</v>
      </c>
      <c r="E14" s="263">
        <f t="shared" si="0"/>
        <v>3880</v>
      </c>
      <c r="F14" s="261"/>
      <c r="G14" s="265">
        <f ca="1">DATA!$D$11/1000000</f>
        <v>0.54590149131999999</v>
      </c>
      <c r="H14" s="265">
        <f>C14*DATA!$D$5/1000000</f>
        <v>5.0476862136479355</v>
      </c>
      <c r="I14" s="265">
        <f>(C14*DATA!$D$5*DATA!$D$7)/1000000</f>
        <v>0.11357293980707854</v>
      </c>
      <c r="J14" s="263">
        <f t="shared" ca="1" si="1"/>
        <v>5.7071606447750147</v>
      </c>
      <c r="K14" s="261"/>
      <c r="L14" s="263">
        <f>((D14*DATA!$D$23)/1000000)+((E14*DATA!$D$24)/1000000)</f>
        <v>6.7265231999999999</v>
      </c>
      <c r="M14" s="263">
        <f t="shared" si="2"/>
        <v>6.7265231999999999</v>
      </c>
      <c r="N14" s="263">
        <f t="shared" ca="1" si="6"/>
        <v>1.0193625552249852</v>
      </c>
      <c r="O14" s="262">
        <f>1/(1+'[94]Asumsi I'!$C$3)^(KKF!A14)</f>
        <v>0.45234921533689343</v>
      </c>
      <c r="P14" s="263">
        <f t="shared" ca="1" si="7"/>
        <v>0.46110785199983273</v>
      </c>
      <c r="Q14" s="263">
        <f t="shared" ca="1" si="9"/>
        <v>-13.267798848262069</v>
      </c>
      <c r="S14" s="251" t="str">
        <f t="shared" ca="1" si="3"/>
        <v>a</v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4656</v>
      </c>
      <c r="D15" s="263">
        <f t="shared" si="5"/>
        <v>776</v>
      </c>
      <c r="E15" s="263">
        <f t="shared" si="0"/>
        <v>3880</v>
      </c>
      <c r="F15" s="261"/>
      <c r="G15" s="265">
        <f ca="1">DATA!$D$11/1000000</f>
        <v>0.54590149131999999</v>
      </c>
      <c r="H15" s="265">
        <f>C15*DATA!$D$5/1000000</f>
        <v>5.0476862136479355</v>
      </c>
      <c r="I15" s="265">
        <f>(C15*DATA!$D$5*DATA!$D$7)/1000000</f>
        <v>0.11357293980707854</v>
      </c>
      <c r="J15" s="263">
        <f t="shared" ca="1" si="1"/>
        <v>5.7071606447750147</v>
      </c>
      <c r="K15" s="261"/>
      <c r="L15" s="263">
        <f>((D15*DATA!$D$23)/1000000)+((E15*DATA!$D$24)/1000000)</f>
        <v>6.7265231999999999</v>
      </c>
      <c r="M15" s="263">
        <f t="shared" si="2"/>
        <v>6.7265231999999999</v>
      </c>
      <c r="N15" s="263">
        <f t="shared" ca="1" si="6"/>
        <v>1.0193625552249852</v>
      </c>
      <c r="O15" s="262">
        <f>1/(1+'[94]Asumsi I'!$C$3)^(KKF!A15)</f>
        <v>0.4038832279793691</v>
      </c>
      <c r="P15" s="263">
        <f t="shared" ca="1" si="7"/>
        <v>0.41170343928556491</v>
      </c>
      <c r="Q15" s="263">
        <f t="shared" ca="1" si="9"/>
        <v>-12.856095408976504</v>
      </c>
      <c r="S15" s="251" t="str">
        <f t="shared" ca="1" si="3"/>
        <v>a</v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4656</v>
      </c>
      <c r="D16" s="263">
        <f t="shared" si="5"/>
        <v>776</v>
      </c>
      <c r="E16" s="263">
        <f t="shared" si="0"/>
        <v>3880</v>
      </c>
      <c r="F16" s="261"/>
      <c r="G16" s="265">
        <f ca="1">DATA!$D$11/1000000</f>
        <v>0.54590149131999999</v>
      </c>
      <c r="H16" s="265">
        <f>C16*DATA!$D$5/1000000</f>
        <v>5.0476862136479355</v>
      </c>
      <c r="I16" s="265">
        <f>(C16*DATA!$D$5*DATA!$D$7)/1000000</f>
        <v>0.11357293980707854</v>
      </c>
      <c r="J16" s="263">
        <f t="shared" ca="1" si="1"/>
        <v>5.7071606447750147</v>
      </c>
      <c r="K16" s="261"/>
      <c r="L16" s="263">
        <f>((D16*DATA!$D$23)/1000000)+((E16*DATA!$D$24)/1000000)</f>
        <v>6.7265231999999999</v>
      </c>
      <c r="M16" s="263">
        <f t="shared" si="2"/>
        <v>6.7265231999999999</v>
      </c>
      <c r="N16" s="263">
        <f t="shared" ca="1" si="6"/>
        <v>1.0193625552249852</v>
      </c>
      <c r="O16" s="262">
        <f>1/(1+'[94]Asumsi I'!$C$3)^(KKF!A16)</f>
        <v>0.36061002498157957</v>
      </c>
      <c r="P16" s="263">
        <f t="shared" ca="1" si="7"/>
        <v>0.36759235650496869</v>
      </c>
      <c r="Q16" s="263">
        <f t="shared" ca="1" si="9"/>
        <v>-12.488503052471536</v>
      </c>
      <c r="S16" s="251" t="str">
        <f t="shared" ca="1" si="3"/>
        <v>a</v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4656</v>
      </c>
      <c r="D17" s="263">
        <f t="shared" si="5"/>
        <v>776</v>
      </c>
      <c r="E17" s="263">
        <f t="shared" si="0"/>
        <v>3880</v>
      </c>
      <c r="F17" s="261"/>
      <c r="G17" s="265">
        <f ca="1">DATA!$D$11/1000000</f>
        <v>0.54590149131999999</v>
      </c>
      <c r="H17" s="265">
        <f>C17*DATA!$D$5/1000000</f>
        <v>5.0476862136479355</v>
      </c>
      <c r="I17" s="265">
        <f>(C17*DATA!$D$5*DATA!$D$7)/1000000</f>
        <v>0.11357293980707854</v>
      </c>
      <c r="J17" s="263">
        <f t="shared" ca="1" si="1"/>
        <v>5.7071606447750147</v>
      </c>
      <c r="K17" s="261"/>
      <c r="L17" s="263">
        <f>((D17*DATA!$D$23)/1000000)+((E17*DATA!$D$24)/1000000)</f>
        <v>6.7265231999999999</v>
      </c>
      <c r="M17" s="263">
        <f t="shared" si="2"/>
        <v>6.7265231999999999</v>
      </c>
      <c r="N17" s="263">
        <f t="shared" ca="1" si="6"/>
        <v>1.0193625552249852</v>
      </c>
      <c r="O17" s="262">
        <f>1/(1+'[94]Asumsi I'!$C$3)^(KKF!A17)</f>
        <v>0.32197323659069599</v>
      </c>
      <c r="P17" s="263">
        <f t="shared" ca="1" si="7"/>
        <v>0.32820746116515054</v>
      </c>
      <c r="Q17" s="263">
        <f t="shared" ca="1" si="9"/>
        <v>-12.160295591306385</v>
      </c>
      <c r="S17" s="251" t="str">
        <f t="shared" ca="1" si="3"/>
        <v>a</v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4656</v>
      </c>
      <c r="D18" s="263">
        <f t="shared" si="5"/>
        <v>776</v>
      </c>
      <c r="E18" s="263">
        <f t="shared" si="0"/>
        <v>3880</v>
      </c>
      <c r="F18" s="261"/>
      <c r="G18" s="265">
        <f ca="1">DATA!$D$11/1000000</f>
        <v>0.54590149131999999</v>
      </c>
      <c r="H18" s="265">
        <f>C18*DATA!$D$5/1000000</f>
        <v>5.0476862136479355</v>
      </c>
      <c r="I18" s="265">
        <f>(C18*DATA!$D$5*DATA!$D$7)/1000000</f>
        <v>0.11357293980707854</v>
      </c>
      <c r="J18" s="263">
        <f t="shared" ca="1" si="1"/>
        <v>5.7071606447750147</v>
      </c>
      <c r="K18" s="261"/>
      <c r="L18" s="263">
        <f>((D18*DATA!$D$23)/1000000)+((E18*DATA!$D$24)/1000000)</f>
        <v>6.7265231999999999</v>
      </c>
      <c r="M18" s="263">
        <f t="shared" si="2"/>
        <v>6.7265231999999999</v>
      </c>
      <c r="N18" s="263">
        <f t="shared" ca="1" si="6"/>
        <v>1.0193625552249852</v>
      </c>
      <c r="O18" s="262">
        <f>1/(1+'[94]Asumsi I'!$C$3)^(KKF!A18)</f>
        <v>0.28747610409883567</v>
      </c>
      <c r="P18" s="263">
        <f t="shared" ca="1" si="7"/>
        <v>0.29304237604031297</v>
      </c>
      <c r="Q18" s="263">
        <f t="shared" ca="1" si="9"/>
        <v>-11.867253215266071</v>
      </c>
      <c r="S18" s="251" t="str">
        <f t="shared" ca="1" si="3"/>
        <v>a</v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4656</v>
      </c>
      <c r="D19" s="263">
        <f t="shared" si="5"/>
        <v>776</v>
      </c>
      <c r="E19" s="263">
        <f t="shared" si="0"/>
        <v>3880</v>
      </c>
      <c r="F19" s="261"/>
      <c r="G19" s="265">
        <f ca="1">DATA!$D$11/1000000</f>
        <v>0.54590149131999999</v>
      </c>
      <c r="H19" s="265">
        <f>C19*DATA!$D$5/1000000</f>
        <v>5.0476862136479355</v>
      </c>
      <c r="I19" s="265">
        <f>(C19*DATA!$D$5*DATA!$D$7)/1000000</f>
        <v>0.11357293980707854</v>
      </c>
      <c r="J19" s="263">
        <f t="shared" ca="1" si="1"/>
        <v>5.7071606447750147</v>
      </c>
      <c r="K19" s="261"/>
      <c r="L19" s="263">
        <f>((D19*DATA!$D$23)/1000000)+((E19*DATA!$D$24)/1000000)</f>
        <v>6.7265231999999999</v>
      </c>
      <c r="M19" s="263">
        <f t="shared" si="2"/>
        <v>6.7265231999999999</v>
      </c>
      <c r="N19" s="263">
        <f t="shared" ca="1" si="6"/>
        <v>1.0193625552249852</v>
      </c>
      <c r="O19" s="262">
        <f>1/(1+'[94]Asumsi I'!$C$3)^(KKF!A19)</f>
        <v>0.25667509294538904</v>
      </c>
      <c r="P19" s="263">
        <f t="shared" ca="1" si="7"/>
        <v>0.26164497860742236</v>
      </c>
      <c r="Q19" s="263">
        <f t="shared" ca="1" si="9"/>
        <v>-11.605608236658648</v>
      </c>
      <c r="S19" s="251" t="str">
        <f t="shared" ca="1" si="3"/>
        <v>a</v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4656</v>
      </c>
      <c r="D20" s="263">
        <f t="shared" si="5"/>
        <v>776</v>
      </c>
      <c r="E20" s="263">
        <f t="shared" si="0"/>
        <v>3880</v>
      </c>
      <c r="F20" s="261"/>
      <c r="G20" s="265">
        <f ca="1">DATA!$D$11/1000000</f>
        <v>0.54590149131999999</v>
      </c>
      <c r="H20" s="265">
        <f>C20*DATA!$D$5/1000000</f>
        <v>5.0476862136479355</v>
      </c>
      <c r="I20" s="265">
        <f>(C20*DATA!$D$5*DATA!$D$7)/1000000</f>
        <v>0.11357293980707854</v>
      </c>
      <c r="J20" s="263">
        <f t="shared" ca="1" si="1"/>
        <v>5.7071606447750147</v>
      </c>
      <c r="K20" s="261"/>
      <c r="L20" s="263">
        <f>((D20*DATA!$D$23)/1000000)+((E20*DATA!$D$24)/1000000)</f>
        <v>6.7265231999999999</v>
      </c>
      <c r="M20" s="263">
        <f t="shared" si="2"/>
        <v>6.7265231999999999</v>
      </c>
      <c r="N20" s="263">
        <f t="shared" ca="1" si="6"/>
        <v>1.0193625552249852</v>
      </c>
      <c r="O20" s="262">
        <f>1/(1+'[94]Asumsi I'!$C$3)^(KKF!A20)</f>
        <v>0.22917419012981158</v>
      </c>
      <c r="P20" s="263">
        <f t="shared" ca="1" si="7"/>
        <v>0.23361158804234131</v>
      </c>
      <c r="Q20" s="263">
        <f t="shared" ca="1" si="9"/>
        <v>-11.371996648616307</v>
      </c>
      <c r="S20" s="251" t="str">
        <f t="shared" ca="1" si="3"/>
        <v>a</v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4656</v>
      </c>
      <c r="D21" s="263">
        <f t="shared" si="5"/>
        <v>776</v>
      </c>
      <c r="E21" s="263">
        <f t="shared" si="0"/>
        <v>3880</v>
      </c>
      <c r="F21" s="261"/>
      <c r="G21" s="265">
        <f ca="1">DATA!$D$11/1000000</f>
        <v>0.54590149131999999</v>
      </c>
      <c r="H21" s="265">
        <f>C21*DATA!$D$5/1000000</f>
        <v>5.0476862136479355</v>
      </c>
      <c r="I21" s="265">
        <f>(C21*DATA!$D$5*DATA!$D$7)/1000000</f>
        <v>0.11357293980707854</v>
      </c>
      <c r="J21" s="263">
        <f t="shared" ca="1" si="1"/>
        <v>5.7071606447750147</v>
      </c>
      <c r="K21" s="261"/>
      <c r="L21" s="263">
        <f>((D21*DATA!$D$23)/1000000)+((E21*DATA!$D$24)/1000000)</f>
        <v>6.7265231999999999</v>
      </c>
      <c r="M21" s="263">
        <f t="shared" si="2"/>
        <v>6.7265231999999999</v>
      </c>
      <c r="N21" s="263">
        <f t="shared" ca="1" si="6"/>
        <v>1.0193625552249852</v>
      </c>
      <c r="O21" s="262">
        <f>1/(1+'[94]Asumsi I'!$C$3)^(KKF!A21)</f>
        <v>0.20461981261590317</v>
      </c>
      <c r="P21" s="263">
        <f t="shared" ca="1" si="7"/>
        <v>0.20858177503780473</v>
      </c>
      <c r="Q21" s="263">
        <f t="shared" ca="1" si="9"/>
        <v>-11.163414873578501</v>
      </c>
      <c r="S21" s="251" t="str">
        <f t="shared" ca="1" si="3"/>
        <v>a</v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4656</v>
      </c>
      <c r="D22" s="263">
        <f t="shared" si="5"/>
        <v>776</v>
      </c>
      <c r="E22" s="263">
        <f t="shared" si="0"/>
        <v>3880</v>
      </c>
      <c r="F22" s="261"/>
      <c r="G22" s="265">
        <f ca="1">DATA!$D$11/1000000</f>
        <v>0.54590149131999999</v>
      </c>
      <c r="H22" s="265">
        <f>C22*DATA!$D$5/1000000</f>
        <v>5.0476862136479355</v>
      </c>
      <c r="I22" s="265">
        <f>(C22*DATA!$D$5*DATA!$D$7)/1000000</f>
        <v>0.11357293980707854</v>
      </c>
      <c r="J22" s="263">
        <f t="shared" ca="1" si="1"/>
        <v>5.7071606447750147</v>
      </c>
      <c r="K22" s="261"/>
      <c r="L22" s="263">
        <f>((D22*DATA!$D$23)/1000000)+((E22*DATA!$D$24)/1000000)</f>
        <v>6.7265231999999999</v>
      </c>
      <c r="M22" s="263">
        <f t="shared" si="2"/>
        <v>6.7265231999999999</v>
      </c>
      <c r="N22" s="263">
        <f t="shared" ca="1" si="6"/>
        <v>1.0193625552249852</v>
      </c>
      <c r="O22" s="262">
        <f>1/(1+'[94]Asumsi I'!$C$3)^(KKF!A22)</f>
        <v>0.18269626126419927</v>
      </c>
      <c r="P22" s="263">
        <f t="shared" ca="1" si="7"/>
        <v>0.18623372771232566</v>
      </c>
      <c r="Q22" s="263">
        <f t="shared" ca="1" si="9"/>
        <v>-10.977181145866176</v>
      </c>
      <c r="S22" s="251" t="str">
        <f t="shared" ca="1" si="3"/>
        <v>a</v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4656</v>
      </c>
      <c r="D23" s="263">
        <f t="shared" si="5"/>
        <v>776</v>
      </c>
      <c r="E23" s="263">
        <f t="shared" si="0"/>
        <v>3880</v>
      </c>
      <c r="F23" s="261"/>
      <c r="G23" s="265">
        <f ca="1">DATA!$D$11/1000000</f>
        <v>0.54590149131999999</v>
      </c>
      <c r="H23" s="265">
        <f>C23*DATA!$D$5/1000000</f>
        <v>5.0476862136479355</v>
      </c>
      <c r="I23" s="265">
        <f>(C23*DATA!$D$5*DATA!$D$7)/1000000</f>
        <v>0.11357293980707854</v>
      </c>
      <c r="J23" s="263">
        <f t="shared" ca="1" si="1"/>
        <v>5.7071606447750147</v>
      </c>
      <c r="K23" s="261"/>
      <c r="L23" s="263">
        <f>((D23*DATA!$D$23)/1000000)+((E23*DATA!$D$24)/1000000)</f>
        <v>6.7265231999999999</v>
      </c>
      <c r="M23" s="263">
        <f t="shared" si="2"/>
        <v>6.7265231999999999</v>
      </c>
      <c r="N23" s="263">
        <f t="shared" ca="1" si="6"/>
        <v>1.0193625552249852</v>
      </c>
      <c r="O23" s="262">
        <f>1/(1+'[94]Asumsi I'!$C$3)^(KKF!A23)</f>
        <v>0.16312166184303503</v>
      </c>
      <c r="P23" s="263">
        <f t="shared" ca="1" si="7"/>
        <v>0.16628011402886217</v>
      </c>
      <c r="Q23" s="263">
        <f t="shared" ca="1" si="9"/>
        <v>-10.810901031837314</v>
      </c>
      <c r="S23" s="251" t="str">
        <f t="shared" ca="1" si="3"/>
        <v>a</v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4656</v>
      </c>
      <c r="D24" s="263">
        <f t="shared" si="5"/>
        <v>776</v>
      </c>
      <c r="E24" s="263">
        <f t="shared" si="0"/>
        <v>3880</v>
      </c>
      <c r="F24" s="261"/>
      <c r="G24" s="265">
        <f ca="1">DATA!$D$11/1000000</f>
        <v>0.54590149131999999</v>
      </c>
      <c r="H24" s="265">
        <f>C24*DATA!$D$5/1000000</f>
        <v>5.0476862136479355</v>
      </c>
      <c r="I24" s="265">
        <f>(C24*DATA!$D$5*DATA!$D$7)/1000000</f>
        <v>0.11357293980707854</v>
      </c>
      <c r="J24" s="263">
        <f t="shared" ca="1" si="1"/>
        <v>5.7071606447750147</v>
      </c>
      <c r="K24" s="261"/>
      <c r="L24" s="263">
        <f>((D24*DATA!$D$23)/1000000)+((E24*DATA!$D$24)/1000000)</f>
        <v>6.7265231999999999</v>
      </c>
      <c r="M24" s="263">
        <f t="shared" si="2"/>
        <v>6.7265231999999999</v>
      </c>
      <c r="N24" s="263">
        <f t="shared" ca="1" si="6"/>
        <v>1.0193625552249852</v>
      </c>
      <c r="O24" s="262">
        <f>1/(1+'[94]Asumsi I'!$C$3)^(KKF!A24)</f>
        <v>0.14564434093128129</v>
      </c>
      <c r="P24" s="263">
        <f t="shared" ca="1" si="7"/>
        <v>0.14846438752576979</v>
      </c>
      <c r="Q24" s="263">
        <f t="shared" ca="1" si="9"/>
        <v>-10.662436644311544</v>
      </c>
      <c r="S24" s="251" t="str">
        <f t="shared" ca="1" si="3"/>
        <v>a</v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4656</v>
      </c>
      <c r="D25" s="263">
        <f t="shared" si="5"/>
        <v>776</v>
      </c>
      <c r="E25" s="263">
        <f t="shared" si="0"/>
        <v>3880</v>
      </c>
      <c r="F25" s="261"/>
      <c r="G25" s="265">
        <f ca="1">DATA!$D$11/1000000</f>
        <v>0.54590149131999999</v>
      </c>
      <c r="H25" s="265">
        <f>C25*DATA!$D$5/1000000</f>
        <v>5.0476862136479355</v>
      </c>
      <c r="I25" s="265">
        <f>(C25*DATA!$D$5*DATA!$D$7)/1000000</f>
        <v>0.11357293980707854</v>
      </c>
      <c r="J25" s="263">
        <f t="shared" ca="1" si="1"/>
        <v>5.7071606447750147</v>
      </c>
      <c r="K25" s="261"/>
      <c r="L25" s="263">
        <f>((D25*DATA!$D$23)/1000000)+((E25*DATA!$D$24)/1000000)</f>
        <v>6.7265231999999999</v>
      </c>
      <c r="M25" s="263">
        <f t="shared" si="2"/>
        <v>6.7265231999999999</v>
      </c>
      <c r="N25" s="263">
        <f t="shared" ca="1" si="6"/>
        <v>1.0193625552249852</v>
      </c>
      <c r="O25" s="262">
        <f>1/(1+'[94]Asumsi I'!$C$3)^(KKF!A25)</f>
        <v>0.13003959011721541</v>
      </c>
      <c r="P25" s="263">
        <f t="shared" ca="1" si="7"/>
        <v>0.13255748886229443</v>
      </c>
      <c r="Q25" s="263">
        <f t="shared" ca="1" si="9"/>
        <v>-10.529879155449249</v>
      </c>
      <c r="S25" s="251" t="str">
        <f t="shared" ca="1" si="3"/>
        <v>a</v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4656</v>
      </c>
      <c r="D26" s="263">
        <f t="shared" si="5"/>
        <v>776</v>
      </c>
      <c r="E26" s="263">
        <f t="shared" si="0"/>
        <v>3880</v>
      </c>
      <c r="F26" s="261"/>
      <c r="G26" s="265">
        <f ca="1">DATA!$D$11/1000000</f>
        <v>0.54590149131999999</v>
      </c>
      <c r="H26" s="265">
        <f>C26*DATA!$D$5/1000000</f>
        <v>5.0476862136479355</v>
      </c>
      <c r="I26" s="265">
        <f>(C26*DATA!$D$5*DATA!$D$7)/1000000</f>
        <v>0.11357293980707854</v>
      </c>
      <c r="J26" s="263">
        <f t="shared" ca="1" si="1"/>
        <v>5.7071606447750147</v>
      </c>
      <c r="K26" s="261"/>
      <c r="L26" s="263">
        <f>((D26*DATA!$D$23)/1000000)+((E26*DATA!$D$24)/1000000)</f>
        <v>6.7265231999999999</v>
      </c>
      <c r="M26" s="263">
        <f t="shared" si="2"/>
        <v>6.7265231999999999</v>
      </c>
      <c r="N26" s="263">
        <f t="shared" ca="1" si="6"/>
        <v>1.0193625552249852</v>
      </c>
      <c r="O26" s="262">
        <f>1/(1+'[94]Asumsi I'!$C$3)^(KKF!A26)</f>
        <v>0.1161067768903709</v>
      </c>
      <c r="P26" s="263">
        <f t="shared" ca="1" si="7"/>
        <v>0.11835490076990574</v>
      </c>
      <c r="Q26" s="263">
        <f t="shared" ca="1" si="9"/>
        <v>-10.411524254679344</v>
      </c>
      <c r="S26" s="251" t="str">
        <f t="shared" ca="1" si="3"/>
        <v>a</v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4656</v>
      </c>
      <c r="D27" s="263">
        <f t="shared" si="5"/>
        <v>776</v>
      </c>
      <c r="E27" s="263">
        <f t="shared" si="0"/>
        <v>3880</v>
      </c>
      <c r="F27" s="261"/>
      <c r="G27" s="265">
        <f ca="1">DATA!$D$11/1000000</f>
        <v>0.54590149131999999</v>
      </c>
      <c r="H27" s="265">
        <f>C27*DATA!$D$5/1000000</f>
        <v>5.0476862136479355</v>
      </c>
      <c r="I27" s="265">
        <f>(C27*DATA!$D$5*DATA!$D$7)/1000000</f>
        <v>0.11357293980707854</v>
      </c>
      <c r="J27" s="263">
        <f t="shared" ca="1" si="1"/>
        <v>5.7071606447750147</v>
      </c>
      <c r="K27" s="261"/>
      <c r="L27" s="263">
        <f>((D27*DATA!$D$23)/1000000)+((E27*DATA!$D$24)/1000000)</f>
        <v>6.7265231999999999</v>
      </c>
      <c r="M27" s="263">
        <f t="shared" si="2"/>
        <v>6.7265231999999999</v>
      </c>
      <c r="N27" s="263">
        <f t="shared" ca="1" si="6"/>
        <v>1.0193625552249852</v>
      </c>
      <c r="O27" s="262">
        <f>1/(1+'[94]Asumsi I'!$C$3)^(KKF!A27)</f>
        <v>0.1036667650806883</v>
      </c>
      <c r="P27" s="263">
        <f t="shared" ca="1" si="7"/>
        <v>0.1056740185445587</v>
      </c>
      <c r="Q27" s="263">
        <f t="shared" ca="1" si="9"/>
        <v>-10.305850236134786</v>
      </c>
      <c r="S27" s="251" t="str">
        <f t="shared" ca="1" si="3"/>
        <v>a</v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4656</v>
      </c>
      <c r="D28" s="263">
        <f t="shared" si="5"/>
        <v>776</v>
      </c>
      <c r="E28" s="263">
        <f t="shared" si="0"/>
        <v>3880</v>
      </c>
      <c r="F28" s="261"/>
      <c r="G28" s="265">
        <f ca="1">DATA!$D$11/1000000</f>
        <v>0.54590149131999999</v>
      </c>
      <c r="H28" s="265">
        <f>C28*DATA!$D$5/1000000</f>
        <v>5.0476862136479355</v>
      </c>
      <c r="I28" s="265">
        <f>(C28*DATA!$D$5*DATA!$D$7)/1000000</f>
        <v>0.11357293980707854</v>
      </c>
      <c r="J28" s="263">
        <f t="shared" ca="1" si="1"/>
        <v>5.7071606447750147</v>
      </c>
      <c r="K28" s="261"/>
      <c r="L28" s="263">
        <f>((D28*DATA!$D$23)/1000000)+((E28*DATA!$D$24)/1000000)</f>
        <v>6.7265231999999999</v>
      </c>
      <c r="M28" s="263">
        <f t="shared" si="2"/>
        <v>6.7265231999999999</v>
      </c>
      <c r="N28" s="263">
        <f t="shared" ca="1" si="6"/>
        <v>1.0193625552249852</v>
      </c>
      <c r="O28" s="262">
        <f>1/(1+'[94]Asumsi I'!$C$3)^(KKF!A28)</f>
        <v>9.2559611679185971E-2</v>
      </c>
      <c r="P28" s="263">
        <f t="shared" ca="1" si="7"/>
        <v>9.4351802271927396E-2</v>
      </c>
      <c r="Q28" s="263">
        <f t="shared" ca="1" si="9"/>
        <v>-10.211498433862859</v>
      </c>
      <c r="S28" s="251" t="str">
        <f t="shared" ca="1" si="3"/>
        <v>a</v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4656</v>
      </c>
      <c r="D29" s="263">
        <f t="shared" si="5"/>
        <v>776</v>
      </c>
      <c r="E29" s="263">
        <f t="shared" si="0"/>
        <v>3880</v>
      </c>
      <c r="F29" s="261"/>
      <c r="G29" s="265">
        <f ca="1">DATA!$D$11/1000000</f>
        <v>0.54590149131999999</v>
      </c>
      <c r="H29" s="265">
        <f>C29*DATA!$D$5/1000000</f>
        <v>5.0476862136479355</v>
      </c>
      <c r="I29" s="265">
        <f>(C29*DATA!$D$5*DATA!$D$7)/1000000</f>
        <v>0.11357293980707854</v>
      </c>
      <c r="J29" s="263">
        <f t="shared" ca="1" si="1"/>
        <v>5.7071606447750147</v>
      </c>
      <c r="K29" s="261"/>
      <c r="L29" s="263">
        <f>((D29*DATA!$D$23)/1000000)+((E29*DATA!$D$24)/1000000)</f>
        <v>6.7265231999999999</v>
      </c>
      <c r="M29" s="263">
        <f t="shared" si="2"/>
        <v>6.7265231999999999</v>
      </c>
      <c r="N29" s="263">
        <f t="shared" ca="1" si="6"/>
        <v>1.0193625552249852</v>
      </c>
      <c r="O29" s="262">
        <f>1/(1+'[94]Asumsi I'!$C$3)^(KKF!A29)</f>
        <v>8.2642510427844609E-2</v>
      </c>
      <c r="P29" s="263">
        <f t="shared" ca="1" si="7"/>
        <v>8.4242680599935171E-2</v>
      </c>
      <c r="Q29" s="263">
        <f t="shared" ca="1" si="9"/>
        <v>-10.127255753262924</v>
      </c>
      <c r="S29" s="251" t="str">
        <f t="shared" ca="1" si="3"/>
        <v>a</v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4656</v>
      </c>
      <c r="D30" s="263">
        <f t="shared" si="5"/>
        <v>776</v>
      </c>
      <c r="E30" s="263">
        <f t="shared" si="0"/>
        <v>3880</v>
      </c>
      <c r="F30" s="261"/>
      <c r="G30" s="265">
        <f ca="1">DATA!$D$11/1000000</f>
        <v>0.54590149131999999</v>
      </c>
      <c r="H30" s="265">
        <f>C30*DATA!$D$5/1000000</f>
        <v>5.0476862136479355</v>
      </c>
      <c r="I30" s="265">
        <f>(C30*DATA!$D$5*DATA!$D$7)/1000000</f>
        <v>0.11357293980707854</v>
      </c>
      <c r="J30" s="263">
        <f t="shared" ca="1" si="1"/>
        <v>5.7071606447750147</v>
      </c>
      <c r="K30" s="261"/>
      <c r="L30" s="263">
        <f>((D30*DATA!$D$23)/1000000)+((E30*DATA!$D$24)/1000000)</f>
        <v>6.7265231999999999</v>
      </c>
      <c r="M30" s="263">
        <f t="shared" si="2"/>
        <v>6.7265231999999999</v>
      </c>
      <c r="N30" s="263">
        <f t="shared" ca="1" si="6"/>
        <v>1.0193625552249852</v>
      </c>
      <c r="O30" s="262">
        <f>1/(1+'[94]Asumsi I'!$C$3)^(KKF!A30)</f>
        <v>7.3787955739146982E-2</v>
      </c>
      <c r="P30" s="263">
        <f t="shared" ca="1" si="7"/>
        <v>7.5216679107084974E-2</v>
      </c>
      <c r="Q30" s="263">
        <f t="shared" ca="1" si="9"/>
        <v>-10.052039074155839</v>
      </c>
      <c r="S30" s="251" t="str">
        <f t="shared" ca="1" si="3"/>
        <v>a</v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4656</v>
      </c>
      <c r="D31" s="263">
        <f t="shared" si="5"/>
        <v>776</v>
      </c>
      <c r="E31" s="263">
        <f t="shared" si="0"/>
        <v>3880</v>
      </c>
      <c r="F31" s="261"/>
      <c r="G31" s="265">
        <f ca="1">DATA!$D$11/1000000</f>
        <v>0.54590149131999999</v>
      </c>
      <c r="H31" s="265">
        <f>C31*DATA!$D$5/1000000</f>
        <v>5.0476862136479355</v>
      </c>
      <c r="I31" s="265">
        <f>(C31*DATA!$D$5*DATA!$D$7)/1000000</f>
        <v>0.11357293980707854</v>
      </c>
      <c r="J31" s="263">
        <f t="shared" ca="1" si="1"/>
        <v>5.7071606447750147</v>
      </c>
      <c r="K31" s="261"/>
      <c r="L31" s="263">
        <f>((D31*DATA!$D$23)/1000000)+((E31*DATA!$D$24)/1000000)</f>
        <v>6.7265231999999999</v>
      </c>
      <c r="M31" s="263">
        <f t="shared" si="2"/>
        <v>6.7265231999999999</v>
      </c>
      <c r="N31" s="263">
        <f t="shared" ca="1" si="6"/>
        <v>1.0193625552249852</v>
      </c>
      <c r="O31" s="262">
        <f>1/(1+'[94]Asumsi I'!$C$3)^(KKF!A31)</f>
        <v>6.5882103338524081E-2</v>
      </c>
      <c r="P31" s="263">
        <f t="shared" ca="1" si="7"/>
        <v>6.7157749202754441E-2</v>
      </c>
      <c r="Q31" s="263">
        <f ca="1">Q30+P31</f>
        <v>-9.9848813249530846</v>
      </c>
      <c r="S31" s="251" t="str">
        <f t="shared" ca="1" si="3"/>
        <v>a</v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4656</v>
      </c>
      <c r="D32" s="263">
        <f t="shared" si="5"/>
        <v>776</v>
      </c>
      <c r="E32" s="263">
        <f t="shared" si="0"/>
        <v>3880</v>
      </c>
      <c r="F32" s="261"/>
      <c r="G32" s="265">
        <f ca="1">DATA!$D$11/1000000</f>
        <v>0.54590149131999999</v>
      </c>
      <c r="H32" s="265">
        <f>C32*DATA!$D$5/1000000</f>
        <v>5.0476862136479355</v>
      </c>
      <c r="I32" s="265">
        <f>(C32*DATA!$D$5*DATA!$D$7)/1000000</f>
        <v>0.11357293980707854</v>
      </c>
      <c r="J32" s="263">
        <f t="shared" ca="1" si="1"/>
        <v>5.7071606447750147</v>
      </c>
      <c r="K32" s="261"/>
      <c r="L32" s="263">
        <f>((D32*DATA!$D$23)/1000000)+((E32*DATA!$D$24)/1000000)</f>
        <v>6.7265231999999999</v>
      </c>
      <c r="M32" s="263">
        <f t="shared" si="2"/>
        <v>6.7265231999999999</v>
      </c>
      <c r="N32" s="263">
        <f t="shared" ca="1" si="6"/>
        <v>1.0193625552249852</v>
      </c>
      <c r="O32" s="262">
        <f>1/(1+'[94]Asumsi I'!$C$3)^(KKF!A32)</f>
        <v>5.8823306552253637E-2</v>
      </c>
      <c r="P32" s="263">
        <f t="shared" ca="1" si="7"/>
        <v>5.9962276073887884E-2</v>
      </c>
      <c r="Q32" s="263">
        <f ca="1">Q31+P32</f>
        <v>-9.9249190488791967</v>
      </c>
      <c r="S32" s="251" t="str">
        <f t="shared" ca="1" si="3"/>
        <v>a</v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23" t="s">
        <v>1373</v>
      </c>
      <c r="G33" s="623"/>
      <c r="H33" s="623"/>
      <c r="I33" s="271"/>
      <c r="J33" s="272">
        <f ca="1">SUM(J7:J32)</f>
        <v>172.24041189451361</v>
      </c>
      <c r="K33" s="623" t="s">
        <v>1374</v>
      </c>
      <c r="L33" s="623"/>
      <c r="M33" s="272">
        <f>SUM(M7:M32)</f>
        <v>179.80455440000003</v>
      </c>
      <c r="N33" s="270"/>
      <c r="O33" s="270"/>
      <c r="P33" s="273"/>
      <c r="Q33" s="273"/>
      <c r="S33" s="251">
        <f ca="1">COUNTIF(S7:S32,"a")</f>
        <v>26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28.999883921196023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1.0439161891352129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-8.8615348650707126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>
        <f ca="1">IRR(N7:N32,DATA!D4)</f>
        <v>2.914841779719346E-2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5" priority="1" stopIfTrue="1" operator="greaterThanOrEqual">
      <formula>$F$7</formula>
    </cfRule>
    <cfRule type="cellIs" dxfId="14" priority="2" stopIfTrue="1" operator="lessThan">
      <formula>$F$7</formula>
    </cfRule>
  </conditionalFormatting>
  <conditionalFormatting sqref="Q7:Q32">
    <cfRule type="cellIs" dxfId="13" priority="3" operator="lessThan">
      <formula>0</formula>
    </cfRule>
    <cfRule type="cellIs" dxfId="12" priority="4" operator="lessThan">
      <formula>0</formula>
    </cfRule>
    <cfRule type="cellIs" dxfId="11" priority="5" operator="lessThan">
      <formula>-6395.81</formula>
    </cfRule>
    <cfRule type="cellIs" dxfId="10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116"/>
  <sheetViews>
    <sheetView showGridLines="0" tabSelected="1" topLeftCell="B1" zoomScale="80" zoomScaleNormal="80" zoomScaleSheetLayoutView="70" workbookViewId="0">
      <pane ySplit="13" topLeftCell="A14" activePane="bottomLeft" state="frozen"/>
      <selection activeCell="H1093" sqref="H1093"/>
      <selection pane="bottomLeft" activeCell="C93" sqref="C93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3" customWidth="1"/>
    <col min="4" max="4" width="13.7109375" style="353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71093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26" t="s">
        <v>1036</v>
      </c>
      <c r="P3" s="626"/>
      <c r="Q3" s="293"/>
      <c r="T3" s="291"/>
      <c r="U3" s="292" t="s">
        <v>1041</v>
      </c>
      <c r="V3" s="291"/>
    </row>
    <row r="4" spans="1:22" ht="15.75" customHeight="1">
      <c r="B4" s="627" t="s">
        <v>1023</v>
      </c>
      <c r="C4" s="627"/>
      <c r="D4" s="627"/>
      <c r="E4" s="627"/>
      <c r="F4" s="627"/>
      <c r="G4" s="627"/>
      <c r="H4" s="627"/>
      <c r="I4" s="627"/>
      <c r="J4" s="627"/>
      <c r="K4" s="627"/>
      <c r="O4" s="626"/>
      <c r="P4" s="626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43" t="s">
        <v>1642</v>
      </c>
      <c r="H6" s="644"/>
      <c r="I6" s="644"/>
      <c r="J6" s="644"/>
      <c r="K6" s="644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1635</v>
      </c>
      <c r="J7" s="29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629" t="s">
        <v>0</v>
      </c>
      <c r="C11" s="631" t="s">
        <v>1</v>
      </c>
      <c r="D11" s="634" t="s">
        <v>42</v>
      </c>
      <c r="E11" s="634" t="s">
        <v>43</v>
      </c>
      <c r="F11" s="634" t="s">
        <v>2</v>
      </c>
      <c r="G11" s="636" t="s">
        <v>41</v>
      </c>
      <c r="H11" s="634" t="s">
        <v>3</v>
      </c>
      <c r="I11" s="634"/>
      <c r="J11" s="634"/>
      <c r="K11" s="654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30"/>
      <c r="C12" s="632"/>
      <c r="D12" s="635"/>
      <c r="E12" s="635"/>
      <c r="F12" s="635"/>
      <c r="G12" s="637"/>
      <c r="H12" s="639" t="s">
        <v>46</v>
      </c>
      <c r="I12" s="639" t="s">
        <v>5</v>
      </c>
      <c r="J12" s="635" t="s">
        <v>47</v>
      </c>
      <c r="K12" s="655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30"/>
      <c r="C13" s="633"/>
      <c r="D13" s="635"/>
      <c r="E13" s="635"/>
      <c r="F13" s="635"/>
      <c r="G13" s="638"/>
      <c r="H13" s="640"/>
      <c r="I13" s="640"/>
      <c r="J13" s="635"/>
      <c r="K13" s="655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t="shared" ref="H14:H20" ca="1" si="0">IF(OR(D14="MDU",D14="MDU-KD"),(IF($O$3="RAB NON MDU","PLN KD",G14*F14)),0)</f>
        <v>0</v>
      </c>
      <c r="I14" s="308">
        <f t="shared" ref="I14:I20" ca="1" si="1">IF(D14="HDW",G14*F14,0)</f>
        <v>0</v>
      </c>
      <c r="J14" s="308">
        <f t="shared" ref="J14:J20" ca="1" si="2">IF(D14="JASA",G14*F14,0)</f>
        <v>0</v>
      </c>
      <c r="K14" s="309">
        <f t="shared" ref="K14:K20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1603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ca="1" si="0"/>
        <v>0</v>
      </c>
      <c r="I15" s="308">
        <f t="shared" ca="1" si="1"/>
        <v>0</v>
      </c>
      <c r="J15" s="308">
        <f t="shared" ca="1" si="2"/>
        <v>0</v>
      </c>
      <c r="K15" s="309">
        <f t="shared" ca="1" si="3"/>
        <v>0</v>
      </c>
      <c r="L15" s="289"/>
      <c r="M15" s="289" t="str">
        <f t="shared" ref="M15:M20" ca="1" si="4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 hidden="1">
      <c r="A16" s="283"/>
      <c r="B16" s="420"/>
      <c r="C16" s="417"/>
      <c r="D16" s="305" t="str">
        <f ca="1">IF(ISERROR(OFFSET('HARGA SATUAN'!$D$6,MATCH(RAB!C16,'HARGA SATUAN'!$C$7:$C$1495,0),0)),"",OFFSET('HARGA SATUAN'!$D$6,MATCH(RAB!C16,'HARGA SATUAN'!$C$7:$C$1495,0),0))</f>
        <v/>
      </c>
      <c r="E16" s="306" t="str">
        <f ca="1">IF(B16="+","Unit",IF(ISERROR(OFFSET('HARGA SATUAN'!$E$6,MATCH(RAB!C16,'HARGA SATUAN'!$C$7:$C$1495,0),0)),"",OFFSET('HARGA SATUAN'!$E$6,MATCH(RAB!C16,'HARGA SATUAN'!$C$7:$C$1495,0),0)))</f>
        <v/>
      </c>
      <c r="F16" s="419"/>
      <c r="G16" s="307">
        <f ca="1">IF(ISERROR(OFFSET('HARGA SATUAN'!$I$6,MATCH(RAB!C16,'HARGA SATUAN'!$C$7:$C$1495,0),0)),0,OFFSET('HARGA SATUAN'!$I$6,MATCH(RAB!C16,'HARGA SATUAN'!$C$7:$C$1495,0),0))</f>
        <v>0</v>
      </c>
      <c r="H16" s="308">
        <f t="shared" ca="1" si="0"/>
        <v>0</v>
      </c>
      <c r="I16" s="308">
        <f t="shared" ca="1" si="1"/>
        <v>0</v>
      </c>
      <c r="J16" s="308">
        <f t="shared" ca="1" si="2"/>
        <v>0</v>
      </c>
      <c r="K16" s="309">
        <f t="shared" ca="1" si="3"/>
        <v>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420">
        <v>1</v>
      </c>
      <c r="C17" s="109" t="s">
        <v>101</v>
      </c>
      <c r="D17" s="305" t="str">
        <f ca="1">IF(ISERROR(OFFSET('HARGA SATUAN'!$D$6,MATCH(RAB!C17,'HARGA SATUAN'!$C$7:$C$1495,0),0)),"",OFFSET('HARGA SATUAN'!$D$6,MATCH(RAB!C17,'HARGA SATUAN'!$C$7:$C$1495,0),0))</f>
        <v>HDW</v>
      </c>
      <c r="E17" s="306" t="str">
        <f ca="1">IF(B17="+","Unit",IF(ISERROR(OFFSET('HARGA SATUAN'!$E$6,MATCH(RAB!C17,'HARGA SATUAN'!$C$7:$C$1495,0),0)),"",OFFSET('HARGA SATUAN'!$E$6,MATCH(RAB!C17,'HARGA SATUAN'!$C$7:$C$1495,0),0)))</f>
        <v>Btg</v>
      </c>
      <c r="F17" s="419">
        <v>1</v>
      </c>
      <c r="G17" s="307">
        <f ca="1">IF(ISERROR(OFFSET('HARGA SATUAN'!$I$6,MATCH(RAB!C17,'HARGA SATUAN'!$C$7:$C$1495,0),0)),0,OFFSET('HARGA SATUAN'!$I$6,MATCH(RAB!C17,'HARGA SATUAN'!$C$7:$C$1495,0),0))</f>
        <v>3382600</v>
      </c>
      <c r="H17" s="308">
        <f t="shared" ref="H17:H18" ca="1" si="5">IF(OR(D17="MDU",D17="MDU-KD"),(IF($O$3="RAB NON MDU","PLN KD",G17*F17)),0)</f>
        <v>0</v>
      </c>
      <c r="I17" s="308">
        <f t="shared" ref="I17:I18" ca="1" si="6">IF(D17="HDW",G17*F17,0)</f>
        <v>3382600</v>
      </c>
      <c r="J17" s="308">
        <f t="shared" ref="J17:J18" ca="1" si="7">IF(D17="JASA",G17*F17,0)</f>
        <v>0</v>
      </c>
      <c r="K17" s="309">
        <f t="shared" ref="K17:K18" ca="1" si="8">SUM(H17:J17)</f>
        <v>3382600</v>
      </c>
      <c r="L17" s="289"/>
      <c r="M17" s="289"/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420">
        <v>2</v>
      </c>
      <c r="C18" s="109" t="s">
        <v>103</v>
      </c>
      <c r="D18" s="305" t="str">
        <f ca="1">IF(ISERROR(OFFSET('HARGA SATUAN'!$D$6,MATCH(RAB!C18,'HARGA SATUAN'!$C$7:$C$1495,0),0)),"",OFFSET('HARGA SATUAN'!$D$6,MATCH(RAB!C18,'HARGA SATUAN'!$C$7:$C$1495,0),0))</f>
        <v>HDW</v>
      </c>
      <c r="E18" s="306" t="str">
        <f ca="1">IF(B18="+","Unit",IF(ISERROR(OFFSET('HARGA SATUAN'!$E$6,MATCH(RAB!C18,'HARGA SATUAN'!$C$7:$C$1495,0),0)),"",OFFSET('HARGA SATUAN'!$E$6,MATCH(RAB!C18,'HARGA SATUAN'!$C$7:$C$1495,0),0)))</f>
        <v>Btg</v>
      </c>
      <c r="F18" s="419">
        <v>1</v>
      </c>
      <c r="G18" s="307">
        <f ca="1">IF(ISERROR(OFFSET('HARGA SATUAN'!$I$6,MATCH(RAB!C18,'HARGA SATUAN'!$C$7:$C$1495,0),0)),0,OFFSET('HARGA SATUAN'!$I$6,MATCH(RAB!C18,'HARGA SATUAN'!$C$7:$C$1495,0),0))</f>
        <v>5800000</v>
      </c>
      <c r="H18" s="308">
        <f t="shared" ca="1" si="5"/>
        <v>0</v>
      </c>
      <c r="I18" s="308">
        <f t="shared" ca="1" si="6"/>
        <v>5800000</v>
      </c>
      <c r="J18" s="308">
        <f t="shared" ca="1" si="7"/>
        <v>0</v>
      </c>
      <c r="K18" s="309">
        <f t="shared" ca="1" si="8"/>
        <v>5800000</v>
      </c>
      <c r="L18" s="289"/>
      <c r="M18" s="289"/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420">
        <v>3</v>
      </c>
      <c r="C19" s="109" t="s">
        <v>6</v>
      </c>
      <c r="D19" s="305" t="str">
        <f ca="1">IF(ISERROR(OFFSET('HARGA SATUAN'!$D$6,MATCH(RAB!C19,'HARGA SATUAN'!$C$7:$C$1495,0),0)),"",OFFSET('HARGA SATUAN'!$D$6,MATCH(RAB!C19,'HARGA SATUAN'!$C$7:$C$1495,0),0))</f>
        <v>JASA</v>
      </c>
      <c r="E19" s="306" t="str">
        <f ca="1">IF(B19="+","Unit",IF(ISERROR(OFFSET('HARGA SATUAN'!$E$6,MATCH(RAB!C19,'HARGA SATUAN'!$C$7:$C$1495,0),0)),"",OFFSET('HARGA SATUAN'!$E$6,MATCH(RAB!C19,'HARGA SATUAN'!$C$7:$C$1495,0),0)))</f>
        <v>Btg</v>
      </c>
      <c r="F19" s="514">
        <v>2</v>
      </c>
      <c r="G19" s="307">
        <f ca="1">IF(ISERROR(OFFSET('HARGA SATUAN'!$I$6,MATCH(RAB!C19,'HARGA SATUAN'!$C$7:$C$1495,0),0)),0,OFFSET('HARGA SATUAN'!$I$6,MATCH(RAB!C19,'HARGA SATUAN'!$C$7:$C$1495,0),0))</f>
        <v>10066.666666666668</v>
      </c>
      <c r="H19" s="308">
        <f t="shared" ca="1" si="0"/>
        <v>0</v>
      </c>
      <c r="I19" s="308">
        <f t="shared" ca="1" si="1"/>
        <v>0</v>
      </c>
      <c r="J19" s="308">
        <f t="shared" ca="1" si="2"/>
        <v>20133.333333333336</v>
      </c>
      <c r="K19" s="309">
        <f t="shared" ca="1" si="3"/>
        <v>20133.333333333336</v>
      </c>
      <c r="L19" s="289"/>
      <c r="M19" s="289" t="str">
        <f>IF(AND(F19&gt;0,F16=0),"",IF(AND(ISBLANK(F19)=FALSE,K19=0),"WARNING",""))</f>
        <v/>
      </c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418" t="s">
        <v>1601</v>
      </c>
      <c r="C20" s="421" t="s">
        <v>1605</v>
      </c>
      <c r="D20" s="305" t="str">
        <f ca="1">IF(ISERROR(OFFSET('HARGA SATUAN'!$D$6,MATCH(RAB!C20,'HARGA SATUAN'!$C$7:$C$1495,0),0)),"",OFFSET('HARGA SATUAN'!$D$6,MATCH(RAB!C20,'HARGA SATUAN'!$C$7:$C$1495,0),0))</f>
        <v/>
      </c>
      <c r="E20" s="306" t="str">
        <f ca="1">IF(B20="+","Unit",IF(ISERROR(OFFSET('HARGA SATUAN'!$E$6,MATCH(RAB!C20,'HARGA SATUAN'!$C$7:$C$1495,0),0)),"",OFFSET('HARGA SATUAN'!$E$6,MATCH(RAB!C20,'HARGA SATUAN'!$C$7:$C$1495,0),0)))</f>
        <v/>
      </c>
      <c r="F20" s="419"/>
      <c r="G20" s="307">
        <f ca="1">IF(ISERROR(OFFSET('HARGA SATUAN'!$I$6,MATCH(RAB!C20,'HARGA SATUAN'!$C$7:$C$1495,0),0)),0,OFFSET('HARGA SATUAN'!$I$6,MATCH(RAB!C20,'HARGA SATUAN'!$C$7:$C$1495,0),0))</f>
        <v>0</v>
      </c>
      <c r="H20" s="308">
        <f t="shared" ca="1" si="0"/>
        <v>0</v>
      </c>
      <c r="I20" s="308">
        <f t="shared" ca="1" si="1"/>
        <v>0</v>
      </c>
      <c r="J20" s="308">
        <f t="shared" ca="1" si="2"/>
        <v>0</v>
      </c>
      <c r="K20" s="309">
        <f t="shared" ca="1" si="3"/>
        <v>0</v>
      </c>
      <c r="L20" s="289"/>
      <c r="M20" s="289" t="str">
        <f t="shared" ca="1" si="4"/>
        <v/>
      </c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>
      <c r="A21" s="283"/>
      <c r="B21" s="523" t="s">
        <v>1035</v>
      </c>
      <c r="C21" s="524" t="s">
        <v>1627</v>
      </c>
      <c r="D21" s="305" t="str">
        <f ca="1">IF(ISERROR(OFFSET('HARGA SATUAN'!$D$6,MATCH(RAB!C21,'HARGA SATUAN'!$C$7:$C$1495,0),0)),"",OFFSET('HARGA SATUAN'!$D$6,MATCH(RAB!C21,'HARGA SATUAN'!$C$7:$C$1495,0),0))</f>
        <v/>
      </c>
      <c r="E21" s="306" t="str">
        <f ca="1">IF(B21="+","Unit",IF(ISERROR(OFFSET('HARGA SATUAN'!$E$6,MATCH(RAB!C21,'HARGA SATUAN'!$C$7:$C$1495,0),0)),"",OFFSET('HARGA SATUAN'!$E$6,MATCH(RAB!C21,'HARGA SATUAN'!$C$7:$C$1495,0),0)))</f>
        <v>Unit</v>
      </c>
      <c r="F21" s="490">
        <v>4</v>
      </c>
      <c r="G21" s="307">
        <f ca="1">IF(ISERROR(OFFSET('HARGA SATUAN'!$I$6,MATCH(RAB!C21,'HARGA SATUAN'!$C$7:$C$1495,0),0)),0,OFFSET('HARGA SATUAN'!$I$6,MATCH(RAB!C21,'HARGA SATUAN'!$C$7:$C$1495,0),0))</f>
        <v>0</v>
      </c>
      <c r="H21" s="308">
        <f t="shared" ref="H21:H52" ca="1" si="9">IF(OR(D21="MDU",D21="MDU-KD"),(IF($O$3="RAB NON MDU","PLN KD",G21*F21)),0)</f>
        <v>0</v>
      </c>
      <c r="I21" s="308">
        <f t="shared" ref="I21:I52" ca="1" si="10">IF(D21="HDW",G21*F21,0)</f>
        <v>0</v>
      </c>
      <c r="J21" s="308">
        <f t="shared" ref="J21:J52" ca="1" si="11">IF(D21="JASA",G21*F21,0)</f>
        <v>0</v>
      </c>
      <c r="K21" s="309">
        <f t="shared" ref="K21:K52" ca="1" si="12">SUM(H21:J21)</f>
        <v>0</v>
      </c>
      <c r="L21" s="316"/>
      <c r="M21" s="289"/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523">
        <v>1</v>
      </c>
      <c r="C22" s="524" t="s">
        <v>595</v>
      </c>
      <c r="D22" s="305" t="str">
        <f ca="1">IF(ISERROR(OFFSET('HARGA SATUAN'!$D$6,MATCH(RAB!C22,'HARGA SATUAN'!$C$7:$C$1495,0),0)),"",OFFSET('HARGA SATUAN'!$D$6,MATCH(RAB!C22,'HARGA SATUAN'!$C$7:$C$1495,0),0))</f>
        <v>HDW</v>
      </c>
      <c r="E22" s="306" t="str">
        <f ca="1">IF(B22="+","Unit",IF(ISERROR(OFFSET('HARGA SATUAN'!$E$6,MATCH(RAB!C22,'HARGA SATUAN'!$C$7:$C$1495,0),0)),"",OFFSET('HARGA SATUAN'!$E$6,MATCH(RAB!C22,'HARGA SATUAN'!$C$7:$C$1495,0),0)))</f>
        <v>Bh</v>
      </c>
      <c r="F22" s="490">
        <f>F21*1</f>
        <v>4</v>
      </c>
      <c r="G22" s="307">
        <f ca="1">IF(ISERROR(OFFSET('HARGA SATUAN'!$I$6,MATCH(RAB!C22,'HARGA SATUAN'!$C$7:$C$1495,0),0)),0,OFFSET('HARGA SATUAN'!$I$6,MATCH(RAB!C22,'HARGA SATUAN'!$C$7:$C$1495,0),0))</f>
        <v>78500</v>
      </c>
      <c r="H22" s="308">
        <f t="shared" ca="1" si="9"/>
        <v>0</v>
      </c>
      <c r="I22" s="308">
        <f t="shared" ca="1" si="10"/>
        <v>314000</v>
      </c>
      <c r="J22" s="308">
        <f t="shared" ca="1" si="11"/>
        <v>0</v>
      </c>
      <c r="K22" s="309">
        <f t="shared" ca="1" si="12"/>
        <v>314000</v>
      </c>
      <c r="L22" s="316"/>
      <c r="M22" s="289"/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523">
        <v>2</v>
      </c>
      <c r="C23" s="524" t="s">
        <v>229</v>
      </c>
      <c r="D23" s="305" t="str">
        <f ca="1">IF(ISERROR(OFFSET('HARGA SATUAN'!$D$6,MATCH(RAB!C23,'HARGA SATUAN'!$C$7:$C$1495,0),0)),"",OFFSET('HARGA SATUAN'!$D$6,MATCH(RAB!C23,'HARGA SATUAN'!$C$7:$C$1495,0),0))</f>
        <v>HDW</v>
      </c>
      <c r="E23" s="306" t="str">
        <f ca="1">IF(B23="+","Unit",IF(ISERROR(OFFSET('HARGA SATUAN'!$E$6,MATCH(RAB!C23,'HARGA SATUAN'!$C$7:$C$1495,0),0)),"",OFFSET('HARGA SATUAN'!$E$6,MATCH(RAB!C23,'HARGA SATUAN'!$C$7:$C$1495,0),0)))</f>
        <v>Bh</v>
      </c>
      <c r="F23" s="490">
        <f>F21*1</f>
        <v>4</v>
      </c>
      <c r="G23" s="307">
        <f ca="1">IF(ISERROR(OFFSET('HARGA SATUAN'!$I$6,MATCH(RAB!C23,'HARGA SATUAN'!$C$7:$C$1495,0),0)),0,OFFSET('HARGA SATUAN'!$I$6,MATCH(RAB!C23,'HARGA SATUAN'!$C$7:$C$1495,0),0))</f>
        <v>4212</v>
      </c>
      <c r="H23" s="308">
        <f t="shared" ca="1" si="9"/>
        <v>0</v>
      </c>
      <c r="I23" s="308">
        <f t="shared" ca="1" si="10"/>
        <v>16848</v>
      </c>
      <c r="J23" s="308">
        <f t="shared" ca="1" si="11"/>
        <v>0</v>
      </c>
      <c r="K23" s="309">
        <f t="shared" ca="1" si="12"/>
        <v>16848</v>
      </c>
      <c r="L23" s="316"/>
      <c r="M23" s="289"/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523">
        <v>3</v>
      </c>
      <c r="C24" s="524" t="s">
        <v>266</v>
      </c>
      <c r="D24" s="305" t="str">
        <f ca="1">IF(ISERROR(OFFSET('HARGA SATUAN'!$D$6,MATCH(RAB!C24,'HARGA SATUAN'!$C$7:$C$1495,0),0)),"",OFFSET('HARGA SATUAN'!$D$6,MATCH(RAB!C24,'HARGA SATUAN'!$C$7:$C$1495,0),0))</f>
        <v>HDW</v>
      </c>
      <c r="E24" s="306" t="str">
        <f ca="1">IF(B24="+","Unit",IF(ISERROR(OFFSET('HARGA SATUAN'!$E$6,MATCH(RAB!C24,'HARGA SATUAN'!$C$7:$C$1495,0),0)),"",OFFSET('HARGA SATUAN'!$E$6,MATCH(RAB!C24,'HARGA SATUAN'!$C$7:$C$1495,0),0)))</f>
        <v>Mtr</v>
      </c>
      <c r="F24" s="490">
        <f>F21*1</f>
        <v>4</v>
      </c>
      <c r="G24" s="307">
        <f ca="1">IF(ISERROR(OFFSET('HARGA SATUAN'!$I$6,MATCH(RAB!C24,'HARGA SATUAN'!$C$7:$C$1495,0),0)),0,OFFSET('HARGA SATUAN'!$I$6,MATCH(RAB!C24,'HARGA SATUAN'!$C$7:$C$1495,0),0))</f>
        <v>23310</v>
      </c>
      <c r="H24" s="308">
        <f t="shared" ca="1" si="9"/>
        <v>0</v>
      </c>
      <c r="I24" s="308">
        <f t="shared" ca="1" si="10"/>
        <v>93240</v>
      </c>
      <c r="J24" s="308">
        <f t="shared" ca="1" si="11"/>
        <v>0</v>
      </c>
      <c r="K24" s="309">
        <f t="shared" ca="1" si="12"/>
        <v>93240</v>
      </c>
      <c r="L24" s="316"/>
      <c r="M24" s="289"/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523">
        <v>4</v>
      </c>
      <c r="C25" s="524" t="s">
        <v>35</v>
      </c>
      <c r="D25" s="305" t="str">
        <f ca="1">IF(ISERROR(OFFSET('HARGA SATUAN'!$D$6,MATCH(RAB!C25,'HARGA SATUAN'!$C$7:$C$1495,0),0)),"",OFFSET('HARGA SATUAN'!$D$6,MATCH(RAB!C25,'HARGA SATUAN'!$C$7:$C$1495,0),0))</f>
        <v>HDW</v>
      </c>
      <c r="E25" s="306" t="str">
        <f ca="1">IF(B25="+","Unit",IF(ISERROR(OFFSET('HARGA SATUAN'!$E$6,MATCH(RAB!C25,'HARGA SATUAN'!$C$7:$C$1495,0),0)),"",OFFSET('HARGA SATUAN'!$E$6,MATCH(RAB!C25,'HARGA SATUAN'!$C$7:$C$1495,0),0)))</f>
        <v>Bh</v>
      </c>
      <c r="F25" s="490">
        <f>F21*1</f>
        <v>4</v>
      </c>
      <c r="G25" s="307">
        <f ca="1">IF(ISERROR(OFFSET('HARGA SATUAN'!$I$6,MATCH(RAB!C25,'HARGA SATUAN'!$C$7:$C$1495,0),0)),0,OFFSET('HARGA SATUAN'!$I$6,MATCH(RAB!C25,'HARGA SATUAN'!$C$7:$C$1495,0),0))</f>
        <v>2300</v>
      </c>
      <c r="H25" s="308">
        <f t="shared" ca="1" si="9"/>
        <v>0</v>
      </c>
      <c r="I25" s="308">
        <f t="shared" ca="1" si="10"/>
        <v>9200</v>
      </c>
      <c r="J25" s="308">
        <f t="shared" ca="1" si="11"/>
        <v>0</v>
      </c>
      <c r="K25" s="309">
        <f t="shared" ca="1" si="12"/>
        <v>9200</v>
      </c>
      <c r="L25" s="316"/>
      <c r="M25" s="289"/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>
      <c r="A26" s="283"/>
      <c r="B26" s="523">
        <v>5</v>
      </c>
      <c r="C26" s="524" t="s">
        <v>630</v>
      </c>
      <c r="D26" s="305" t="str">
        <f ca="1">IF(ISERROR(OFFSET('HARGA SATUAN'!$D$6,MATCH(RAB!C26,'HARGA SATUAN'!$C$7:$C$1495,0),0)),"",OFFSET('HARGA SATUAN'!$D$6,MATCH(RAB!C26,'HARGA SATUAN'!$C$7:$C$1495,0),0))</f>
        <v>JASA</v>
      </c>
      <c r="E26" s="306" t="str">
        <f ca="1">IF(B26="+","Unit",IF(ISERROR(OFFSET('HARGA SATUAN'!$E$6,MATCH(RAB!C26,'HARGA SATUAN'!$C$7:$C$1495,0),0)),"",OFFSET('HARGA SATUAN'!$E$6,MATCH(RAB!C26,'HARGA SATUAN'!$C$7:$C$1495,0),0)))</f>
        <v>Unit</v>
      </c>
      <c r="F26" s="490">
        <f>F21*1</f>
        <v>4</v>
      </c>
      <c r="G26" s="307">
        <f ca="1">IF(ISERROR(OFFSET('HARGA SATUAN'!$I$6,MATCH(RAB!C26,'HARGA SATUAN'!$C$7:$C$1495,0),0)),0,OFFSET('HARGA SATUAN'!$I$6,MATCH(RAB!C26,'HARGA SATUAN'!$C$7:$C$1495,0),0))</f>
        <v>35700</v>
      </c>
      <c r="H26" s="308">
        <f t="shared" ca="1" si="9"/>
        <v>0</v>
      </c>
      <c r="I26" s="308">
        <f t="shared" ca="1" si="10"/>
        <v>0</v>
      </c>
      <c r="J26" s="308">
        <f t="shared" ca="1" si="11"/>
        <v>142800</v>
      </c>
      <c r="K26" s="309">
        <f t="shared" ca="1" si="12"/>
        <v>142800</v>
      </c>
      <c r="L26" s="316"/>
      <c r="M26" s="289"/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>
      <c r="A27" s="283"/>
      <c r="B27" s="515"/>
      <c r="C27" s="516"/>
      <c r="D27" s="305" t="str">
        <f ca="1">IF(ISERROR(OFFSET('HARGA SATUAN'!$D$6,MATCH(RAB!C27,'HARGA SATUAN'!$C$7:$C$1495,0),0)),"",OFFSET('HARGA SATUAN'!$D$6,MATCH(RAB!C27,'HARGA SATUAN'!$C$7:$C$1495,0),0))</f>
        <v/>
      </c>
      <c r="E27" s="306" t="str">
        <f ca="1">IF(B27="+","Unit",IF(ISERROR(OFFSET('HARGA SATUAN'!$E$6,MATCH(RAB!C27,'HARGA SATUAN'!$C$7:$C$1495,0),0)),"",OFFSET('HARGA SATUAN'!$E$6,MATCH(RAB!C27,'HARGA SATUAN'!$C$7:$C$1495,0),0)))</f>
        <v/>
      </c>
      <c r="F27" s="490"/>
      <c r="G27" s="307">
        <f ca="1">IF(ISERROR(OFFSET('HARGA SATUAN'!$I$6,MATCH(RAB!C27,'HARGA SATUAN'!$C$7:$C$1495,0),0)),0,OFFSET('HARGA SATUAN'!$I$6,MATCH(RAB!C27,'HARGA SATUAN'!$C$7:$C$1495,0),0))</f>
        <v>0</v>
      </c>
      <c r="H27" s="308">
        <f t="shared" ca="1" si="9"/>
        <v>0</v>
      </c>
      <c r="I27" s="308">
        <f t="shared" ca="1" si="10"/>
        <v>0</v>
      </c>
      <c r="J27" s="308">
        <f t="shared" ca="1" si="11"/>
        <v>0</v>
      </c>
      <c r="K27" s="309">
        <f t="shared" ca="1" si="12"/>
        <v>0</v>
      </c>
      <c r="L27" s="316"/>
      <c r="M27" s="289"/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>
      <c r="A28" s="283"/>
      <c r="B28" s="488" t="s">
        <v>1035</v>
      </c>
      <c r="C28" s="525" t="s">
        <v>1629</v>
      </c>
      <c r="D28" s="305" t="str">
        <f ca="1">IF(ISERROR(OFFSET('HARGA SATUAN'!$D$6,MATCH(RAB!C28,'HARGA SATUAN'!$C$7:$C$1495,0),0)),"",OFFSET('HARGA SATUAN'!$D$6,MATCH(RAB!C28,'HARGA SATUAN'!$C$7:$C$1495,0),0))</f>
        <v/>
      </c>
      <c r="E28" s="306" t="str">
        <f ca="1">IF(B28="+","Unit",IF(ISERROR(OFFSET('HARGA SATUAN'!$E$6,MATCH(RAB!C28,'HARGA SATUAN'!$C$7:$C$1495,0),0)),"",OFFSET('HARGA SATUAN'!$E$6,MATCH(RAB!C28,'HARGA SATUAN'!$C$7:$C$1495,0),0)))</f>
        <v>Unit</v>
      </c>
      <c r="F28" s="490">
        <v>1</v>
      </c>
      <c r="G28" s="307">
        <f ca="1">IF(ISERROR(OFFSET('HARGA SATUAN'!$I$6,MATCH(RAB!C28,'HARGA SATUAN'!$C$7:$C$1495,0),0)),0,OFFSET('HARGA SATUAN'!$I$6,MATCH(RAB!C28,'HARGA SATUAN'!$C$7:$C$1495,0),0))</f>
        <v>0</v>
      </c>
      <c r="H28" s="308">
        <f t="shared" ca="1" si="9"/>
        <v>0</v>
      </c>
      <c r="I28" s="308">
        <f t="shared" ca="1" si="10"/>
        <v>0</v>
      </c>
      <c r="J28" s="308">
        <f t="shared" ca="1" si="11"/>
        <v>0</v>
      </c>
      <c r="K28" s="309">
        <f t="shared" ca="1" si="12"/>
        <v>0</v>
      </c>
      <c r="L28" s="316"/>
      <c r="M28" s="289"/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>
      <c r="A29" s="283"/>
      <c r="B29" s="523">
        <v>1</v>
      </c>
      <c r="C29" s="524" t="s">
        <v>28</v>
      </c>
      <c r="D29" s="305" t="str">
        <f ca="1">IF(ISERROR(OFFSET('HARGA SATUAN'!$D$6,MATCH(RAB!C29,'HARGA SATUAN'!$C$7:$C$1495,0),0)),"",OFFSET('HARGA SATUAN'!$D$6,MATCH(RAB!C29,'HARGA SATUAN'!$C$7:$C$1495,0),0))</f>
        <v>HDW</v>
      </c>
      <c r="E29" s="306" t="str">
        <f ca="1">IF(B29="+","Unit",IF(ISERROR(OFFSET('HARGA SATUAN'!$E$6,MATCH(RAB!C29,'HARGA SATUAN'!$C$7:$C$1495,0),0)),"",OFFSET('HARGA SATUAN'!$E$6,MATCH(RAB!C29,'HARGA SATUAN'!$C$7:$C$1495,0),0)))</f>
        <v>Bh</v>
      </c>
      <c r="F29" s="490">
        <f>F28*1</f>
        <v>1</v>
      </c>
      <c r="G29" s="307">
        <f ca="1">IF(ISERROR(OFFSET('HARGA SATUAN'!$I$6,MATCH(RAB!C29,'HARGA SATUAN'!$C$7:$C$1495,0),0)),0,OFFSET('HARGA SATUAN'!$I$6,MATCH(RAB!C29,'HARGA SATUAN'!$C$7:$C$1495,0),0))</f>
        <v>26500</v>
      </c>
      <c r="H29" s="308">
        <f t="shared" ca="1" si="9"/>
        <v>0</v>
      </c>
      <c r="I29" s="308">
        <f t="shared" ca="1" si="10"/>
        <v>26500</v>
      </c>
      <c r="J29" s="308">
        <f t="shared" ca="1" si="11"/>
        <v>0</v>
      </c>
      <c r="K29" s="309">
        <f t="shared" ca="1" si="12"/>
        <v>26500</v>
      </c>
      <c r="L29" s="316"/>
      <c r="M29" s="289"/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523">
        <v>2</v>
      </c>
      <c r="C30" s="524" t="s">
        <v>203</v>
      </c>
      <c r="D30" s="305" t="str">
        <f ca="1">IF(ISERROR(OFFSET('HARGA SATUAN'!$D$6,MATCH(RAB!C30,'HARGA SATUAN'!$C$7:$C$1495,0),0)),"",OFFSET('HARGA SATUAN'!$D$6,MATCH(RAB!C30,'HARGA SATUAN'!$C$7:$C$1495,0),0))</f>
        <v>HDW</v>
      </c>
      <c r="E30" s="306" t="str">
        <f ca="1">IF(B30="+","Unit",IF(ISERROR(OFFSET('HARGA SATUAN'!$E$6,MATCH(RAB!C30,'HARGA SATUAN'!$C$7:$C$1495,0),0)),"",OFFSET('HARGA SATUAN'!$E$6,MATCH(RAB!C30,'HARGA SATUAN'!$C$7:$C$1495,0),0)))</f>
        <v>Bh</v>
      </c>
      <c r="F30" s="490">
        <f>F28*1</f>
        <v>1</v>
      </c>
      <c r="G30" s="307">
        <f ca="1">IF(ISERROR(OFFSET('HARGA SATUAN'!$I$6,MATCH(RAB!C30,'HARGA SATUAN'!$C$7:$C$1495,0),0)),0,OFFSET('HARGA SATUAN'!$I$6,MATCH(RAB!C30,'HARGA SATUAN'!$C$7:$C$1495,0),0))</f>
        <v>12500</v>
      </c>
      <c r="H30" s="308">
        <f t="shared" ca="1" si="9"/>
        <v>0</v>
      </c>
      <c r="I30" s="308">
        <f t="shared" ca="1" si="10"/>
        <v>12500</v>
      </c>
      <c r="J30" s="308">
        <f t="shared" ca="1" si="11"/>
        <v>0</v>
      </c>
      <c r="K30" s="309">
        <f t="shared" ca="1" si="12"/>
        <v>12500</v>
      </c>
      <c r="L30" s="316"/>
      <c r="M30" s="289"/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523">
        <v>3</v>
      </c>
      <c r="C31" s="524" t="s">
        <v>205</v>
      </c>
      <c r="D31" s="305" t="str">
        <f ca="1">IF(ISERROR(OFFSET('HARGA SATUAN'!$D$6,MATCH(RAB!C31,'HARGA SATUAN'!$C$7:$C$1495,0),0)),"",OFFSET('HARGA SATUAN'!$D$6,MATCH(RAB!C31,'HARGA SATUAN'!$C$7:$C$1495,0),0))</f>
        <v>HDW</v>
      </c>
      <c r="E31" s="306" t="str">
        <f ca="1">IF(B31="+","Unit",IF(ISERROR(OFFSET('HARGA SATUAN'!$E$6,MATCH(RAB!C31,'HARGA SATUAN'!$C$7:$C$1495,0),0)),"",OFFSET('HARGA SATUAN'!$E$6,MATCH(RAB!C31,'HARGA SATUAN'!$C$7:$C$1495,0),0)))</f>
        <v>Mtr</v>
      </c>
      <c r="F31" s="490">
        <f>F28*12</f>
        <v>12</v>
      </c>
      <c r="G31" s="307">
        <f ca="1">IF(ISERROR(OFFSET('HARGA SATUAN'!$I$6,MATCH(RAB!C31,'HARGA SATUAN'!$C$7:$C$1495,0),0)),0,OFFSET('HARGA SATUAN'!$I$6,MATCH(RAB!C31,'HARGA SATUAN'!$C$7:$C$1495,0),0))</f>
        <v>24300</v>
      </c>
      <c r="H31" s="308">
        <f t="shared" ca="1" si="9"/>
        <v>0</v>
      </c>
      <c r="I31" s="308">
        <f t="shared" ca="1" si="10"/>
        <v>291600</v>
      </c>
      <c r="J31" s="308">
        <f t="shared" ca="1" si="11"/>
        <v>0</v>
      </c>
      <c r="K31" s="309">
        <f t="shared" ca="1" si="12"/>
        <v>291600</v>
      </c>
      <c r="L31" s="316"/>
      <c r="M31" s="289"/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>
      <c r="A32" s="283"/>
      <c r="B32" s="523">
        <v>4</v>
      </c>
      <c r="C32" s="524" t="s">
        <v>287</v>
      </c>
      <c r="D32" s="305" t="str">
        <f ca="1">IF(ISERROR(OFFSET('HARGA SATUAN'!$D$6,MATCH(RAB!C32,'HARGA SATUAN'!$C$7:$C$1495,0),0)),"",OFFSET('HARGA SATUAN'!$D$6,MATCH(RAB!C32,'HARGA SATUAN'!$C$7:$C$1495,0),0))</f>
        <v>HDW</v>
      </c>
      <c r="E32" s="306" t="str">
        <f ca="1">IF(B32="+","Unit",IF(ISERROR(OFFSET('HARGA SATUAN'!$E$6,MATCH(RAB!C32,'HARGA SATUAN'!$C$7:$C$1495,0),0)),"",OFFSET('HARGA SATUAN'!$E$6,MATCH(RAB!C32,'HARGA SATUAN'!$C$7:$C$1495,0),0)))</f>
        <v>Bh</v>
      </c>
      <c r="F32" s="490">
        <f>F28*2</f>
        <v>2</v>
      </c>
      <c r="G32" s="307">
        <f ca="1">IF(ISERROR(OFFSET('HARGA SATUAN'!$I$6,MATCH(RAB!C32,'HARGA SATUAN'!$C$7:$C$1495,0),0)),0,OFFSET('HARGA SATUAN'!$I$6,MATCH(RAB!C32,'HARGA SATUAN'!$C$7:$C$1495,0),0))</f>
        <v>40000</v>
      </c>
      <c r="H32" s="308">
        <f t="shared" ca="1" si="9"/>
        <v>0</v>
      </c>
      <c r="I32" s="308">
        <f t="shared" ca="1" si="10"/>
        <v>80000</v>
      </c>
      <c r="J32" s="308">
        <f t="shared" ca="1" si="11"/>
        <v>0</v>
      </c>
      <c r="K32" s="309">
        <f t="shared" ca="1" si="12"/>
        <v>80000</v>
      </c>
      <c r="L32" s="316"/>
      <c r="M32" s="289"/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>
      <c r="A33" s="283"/>
      <c r="B33" s="523">
        <v>5</v>
      </c>
      <c r="C33" s="524" t="s">
        <v>26</v>
      </c>
      <c r="D33" s="305" t="str">
        <f ca="1">IF(ISERROR(OFFSET('HARGA SATUAN'!$D$6,MATCH(RAB!C33,'HARGA SATUAN'!$C$7:$C$1495,0),0)),"",OFFSET('HARGA SATUAN'!$D$6,MATCH(RAB!C33,'HARGA SATUAN'!$C$7:$C$1495,0),0))</f>
        <v>HDW</v>
      </c>
      <c r="E33" s="306" t="str">
        <f ca="1">IF(B33="+","Unit",IF(ISERROR(OFFSET('HARGA SATUAN'!$E$6,MATCH(RAB!C33,'HARGA SATUAN'!$C$7:$C$1495,0),0)),"",OFFSET('HARGA SATUAN'!$E$6,MATCH(RAB!C33,'HARGA SATUAN'!$C$7:$C$1495,0),0)))</f>
        <v>Bh</v>
      </c>
      <c r="F33" s="490">
        <f>F28*1</f>
        <v>1</v>
      </c>
      <c r="G33" s="307">
        <f ca="1">IF(ISERROR(OFFSET('HARGA SATUAN'!$I$6,MATCH(RAB!C33,'HARGA SATUAN'!$C$7:$C$1495,0),0)),0,OFFSET('HARGA SATUAN'!$I$6,MATCH(RAB!C33,'HARGA SATUAN'!$C$7:$C$1495,0),0))</f>
        <v>2500</v>
      </c>
      <c r="H33" s="308">
        <f t="shared" ca="1" si="9"/>
        <v>0</v>
      </c>
      <c r="I33" s="308">
        <f t="shared" ca="1" si="10"/>
        <v>2500</v>
      </c>
      <c r="J33" s="308">
        <f t="shared" ca="1" si="11"/>
        <v>0</v>
      </c>
      <c r="K33" s="309">
        <f t="shared" ca="1" si="12"/>
        <v>2500</v>
      </c>
      <c r="L33" s="316"/>
      <c r="M33" s="289"/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>
      <c r="A34" s="283"/>
      <c r="B34" s="523">
        <v>6</v>
      </c>
      <c r="C34" s="524" t="s">
        <v>759</v>
      </c>
      <c r="D34" s="305" t="str">
        <f ca="1">IF(ISERROR(OFFSET('HARGA SATUAN'!$D$6,MATCH(RAB!C34,'HARGA SATUAN'!$C$7:$C$1495,0),0)),"",OFFSET('HARGA SATUAN'!$D$6,MATCH(RAB!C34,'HARGA SATUAN'!$C$7:$C$1495,0),0))</f>
        <v>JASA</v>
      </c>
      <c r="E34" s="306" t="str">
        <f ca="1">IF(B34="+","Unit",IF(ISERROR(OFFSET('HARGA SATUAN'!$E$6,MATCH(RAB!C34,'HARGA SATUAN'!$C$7:$C$1495,0),0)),"",OFFSET('HARGA SATUAN'!$E$6,MATCH(RAB!C34,'HARGA SATUAN'!$C$7:$C$1495,0),0)))</f>
        <v>Unit</v>
      </c>
      <c r="F34" s="490">
        <f>F28*1</f>
        <v>1</v>
      </c>
      <c r="G34" s="307">
        <f ca="1">IF(ISERROR(OFFSET('HARGA SATUAN'!$I$6,MATCH(RAB!C34,'HARGA SATUAN'!$C$7:$C$1495,0),0)),0,OFFSET('HARGA SATUAN'!$I$6,MATCH(RAB!C34,'HARGA SATUAN'!$C$7:$C$1495,0),0))</f>
        <v>43500</v>
      </c>
      <c r="H34" s="308">
        <f t="shared" ca="1" si="9"/>
        <v>0</v>
      </c>
      <c r="I34" s="308">
        <f t="shared" ca="1" si="10"/>
        <v>0</v>
      </c>
      <c r="J34" s="308">
        <f t="shared" ca="1" si="11"/>
        <v>43500</v>
      </c>
      <c r="K34" s="309">
        <f t="shared" ca="1" si="12"/>
        <v>43500</v>
      </c>
      <c r="L34" s="316"/>
      <c r="M34" s="289"/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>
      <c r="A35" s="283"/>
      <c r="B35" s="515"/>
      <c r="C35" s="516"/>
      <c r="D35" s="305" t="str">
        <f ca="1">IF(ISERROR(OFFSET('HARGA SATUAN'!$D$6,MATCH(RAB!C35,'HARGA SATUAN'!$C$7:$C$1495,0),0)),"",OFFSET('HARGA SATUAN'!$D$6,MATCH(RAB!C35,'HARGA SATUAN'!$C$7:$C$1495,0),0))</f>
        <v/>
      </c>
      <c r="E35" s="306" t="str">
        <f ca="1">IF(B35="+","Unit",IF(ISERROR(OFFSET('HARGA SATUAN'!$E$6,MATCH(RAB!C35,'HARGA SATUAN'!$C$7:$C$1495,0),0)),"",OFFSET('HARGA SATUAN'!$E$6,MATCH(RAB!C35,'HARGA SATUAN'!$C$7:$C$1495,0),0)))</f>
        <v/>
      </c>
      <c r="F35" s="490"/>
      <c r="G35" s="307">
        <f ca="1">IF(ISERROR(OFFSET('HARGA SATUAN'!$I$6,MATCH(RAB!C35,'HARGA SATUAN'!$C$7:$C$1495,0),0)),0,OFFSET('HARGA SATUAN'!$I$6,MATCH(RAB!C35,'HARGA SATUAN'!$C$7:$C$1495,0),0))</f>
        <v>0</v>
      </c>
      <c r="H35" s="308">
        <f t="shared" ca="1" si="9"/>
        <v>0</v>
      </c>
      <c r="I35" s="308">
        <f t="shared" ca="1" si="10"/>
        <v>0</v>
      </c>
      <c r="J35" s="308">
        <f t="shared" ca="1" si="11"/>
        <v>0</v>
      </c>
      <c r="K35" s="309">
        <f t="shared" ca="1" si="12"/>
        <v>0</v>
      </c>
      <c r="L35" s="316"/>
      <c r="M35" s="289"/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>
      <c r="A36" s="283"/>
      <c r="B36" s="523" t="s">
        <v>1035</v>
      </c>
      <c r="C36" s="524" t="s">
        <v>1630</v>
      </c>
      <c r="D36" s="305" t="str">
        <f ca="1">IF(ISERROR(OFFSET('HARGA SATUAN'!$D$6,MATCH(RAB!C36,'HARGA SATUAN'!$C$7:$C$1495,0),0)),"",OFFSET('HARGA SATUAN'!$D$6,MATCH(RAB!C36,'HARGA SATUAN'!$C$7:$C$1495,0),0))</f>
        <v/>
      </c>
      <c r="E36" s="306" t="str">
        <f ca="1">IF(B36="+","Unit",IF(ISERROR(OFFSET('HARGA SATUAN'!$E$6,MATCH(RAB!C36,'HARGA SATUAN'!$C$7:$C$1495,0),0)),"",OFFSET('HARGA SATUAN'!$E$6,MATCH(RAB!C36,'HARGA SATUAN'!$C$7:$C$1495,0),0)))</f>
        <v>Unit</v>
      </c>
      <c r="F36" s="526">
        <v>1</v>
      </c>
      <c r="G36" s="307">
        <f ca="1">IF(ISERROR(OFFSET('HARGA SATUAN'!$I$6,MATCH(RAB!C36,'HARGA SATUAN'!$C$7:$C$1495,0),0)),0,OFFSET('HARGA SATUAN'!$I$6,MATCH(RAB!C36,'HARGA SATUAN'!$C$7:$C$1495,0),0))</f>
        <v>0</v>
      </c>
      <c r="H36" s="308">
        <f t="shared" ca="1" si="9"/>
        <v>0</v>
      </c>
      <c r="I36" s="308">
        <f t="shared" ca="1" si="10"/>
        <v>0</v>
      </c>
      <c r="J36" s="308">
        <f t="shared" ca="1" si="11"/>
        <v>0</v>
      </c>
      <c r="K36" s="309">
        <f t="shared" ca="1" si="12"/>
        <v>0</v>
      </c>
      <c r="L36" s="316"/>
      <c r="M36" s="289"/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>
      <c r="A37" s="283"/>
      <c r="B37" s="523">
        <v>1</v>
      </c>
      <c r="C37" s="524" t="s">
        <v>262</v>
      </c>
      <c r="D37" s="305" t="str">
        <f ca="1">IF(ISERROR(OFFSET('HARGA SATUAN'!$D$6,MATCH(RAB!C37,'HARGA SATUAN'!$C$7:$C$1495,0),0)),"",OFFSET('HARGA SATUAN'!$D$6,MATCH(RAB!C37,'HARGA SATUAN'!$C$7:$C$1495,0),0))</f>
        <v>HDW</v>
      </c>
      <c r="E37" s="306" t="str">
        <f ca="1">IF(B37="+","Unit",IF(ISERROR(OFFSET('HARGA SATUAN'!$E$6,MATCH(RAB!C37,'HARGA SATUAN'!$C$7:$C$1495,0),0)),"",OFFSET('HARGA SATUAN'!$E$6,MATCH(RAB!C37,'HARGA SATUAN'!$C$7:$C$1495,0),0)))</f>
        <v>Bh</v>
      </c>
      <c r="F37" s="526">
        <f>F36*1</f>
        <v>1</v>
      </c>
      <c r="G37" s="307">
        <f ca="1">IF(ISERROR(OFFSET('HARGA SATUAN'!$I$6,MATCH(RAB!C37,'HARGA SATUAN'!$C$7:$C$1495,0),0)),0,OFFSET('HARGA SATUAN'!$I$6,MATCH(RAB!C37,'HARGA SATUAN'!$C$7:$C$1495,0),0))</f>
        <v>104200</v>
      </c>
      <c r="H37" s="308">
        <f t="shared" ca="1" si="9"/>
        <v>0</v>
      </c>
      <c r="I37" s="308">
        <f t="shared" ca="1" si="10"/>
        <v>104200</v>
      </c>
      <c r="J37" s="308">
        <f t="shared" ca="1" si="11"/>
        <v>0</v>
      </c>
      <c r="K37" s="309">
        <f t="shared" ca="1" si="12"/>
        <v>104200</v>
      </c>
      <c r="L37" s="316"/>
      <c r="M37" s="289"/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>
      <c r="A38" s="283"/>
      <c r="B38" s="523">
        <v>2</v>
      </c>
      <c r="C38" s="524" t="s">
        <v>596</v>
      </c>
      <c r="D38" s="305" t="str">
        <f ca="1">IF(ISERROR(OFFSET('HARGA SATUAN'!$D$6,MATCH(RAB!C38,'HARGA SATUAN'!$C$7:$C$1495,0),0)),"",OFFSET('HARGA SATUAN'!$D$6,MATCH(RAB!C38,'HARGA SATUAN'!$C$7:$C$1495,0),0))</f>
        <v>HDW</v>
      </c>
      <c r="E38" s="306" t="str">
        <f ca="1">IF(B38="+","Unit",IF(ISERROR(OFFSET('HARGA SATUAN'!$E$6,MATCH(RAB!C38,'HARGA SATUAN'!$C$7:$C$1495,0),0)),"",OFFSET('HARGA SATUAN'!$E$6,MATCH(RAB!C38,'HARGA SATUAN'!$C$7:$C$1495,0),0)))</f>
        <v>Bh</v>
      </c>
      <c r="F38" s="526">
        <f>F36*1</f>
        <v>1</v>
      </c>
      <c r="G38" s="307">
        <f ca="1">IF(ISERROR(OFFSET('HARGA SATUAN'!$I$6,MATCH(RAB!C38,'HARGA SATUAN'!$C$7:$C$1495,0),0)),0,OFFSET('HARGA SATUAN'!$I$6,MATCH(RAB!C38,'HARGA SATUAN'!$C$7:$C$1495,0),0))</f>
        <v>120000</v>
      </c>
      <c r="H38" s="308">
        <f t="shared" ca="1" si="9"/>
        <v>0</v>
      </c>
      <c r="I38" s="308">
        <f t="shared" ca="1" si="10"/>
        <v>120000</v>
      </c>
      <c r="J38" s="308">
        <f t="shared" ca="1" si="11"/>
        <v>0</v>
      </c>
      <c r="K38" s="309">
        <f t="shared" ca="1" si="12"/>
        <v>120000</v>
      </c>
      <c r="L38" s="316"/>
      <c r="M38" s="289"/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>
      <c r="A39" s="283"/>
      <c r="B39" s="523">
        <v>4</v>
      </c>
      <c r="C39" s="524" t="s">
        <v>214</v>
      </c>
      <c r="D39" s="305" t="str">
        <f ca="1">IF(ISERROR(OFFSET('HARGA SATUAN'!$D$6,MATCH(RAB!C39,'HARGA SATUAN'!$C$7:$C$1495,0),0)),"",OFFSET('HARGA SATUAN'!$D$6,MATCH(RAB!C39,'HARGA SATUAN'!$C$7:$C$1495,0),0))</f>
        <v>HDW</v>
      </c>
      <c r="E39" s="306" t="str">
        <f ca="1">IF(B39="+","Unit",IF(ISERROR(OFFSET('HARGA SATUAN'!$E$6,MATCH(RAB!C39,'HARGA SATUAN'!$C$7:$C$1495,0),0)),"",OFFSET('HARGA SATUAN'!$E$6,MATCH(RAB!C39,'HARGA SATUAN'!$C$7:$C$1495,0),0)))</f>
        <v>Bh</v>
      </c>
      <c r="F39" s="490">
        <f>F36*1</f>
        <v>1</v>
      </c>
      <c r="G39" s="307">
        <f ca="1">IF(ISERROR(OFFSET('HARGA SATUAN'!$I$6,MATCH(RAB!C39,'HARGA SATUAN'!$C$7:$C$1495,0),0)),0,OFFSET('HARGA SATUAN'!$I$6,MATCH(RAB!C39,'HARGA SATUAN'!$C$7:$C$1495,0),0))</f>
        <v>4500</v>
      </c>
      <c r="H39" s="308">
        <f t="shared" ca="1" si="9"/>
        <v>0</v>
      </c>
      <c r="I39" s="308">
        <f t="shared" ca="1" si="10"/>
        <v>4500</v>
      </c>
      <c r="J39" s="308">
        <f t="shared" ca="1" si="11"/>
        <v>0</v>
      </c>
      <c r="K39" s="309">
        <f t="shared" ca="1" si="12"/>
        <v>4500</v>
      </c>
      <c r="L39" s="316"/>
      <c r="M39" s="289"/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>
      <c r="A40" s="283"/>
      <c r="B40" s="523">
        <v>3</v>
      </c>
      <c r="C40" s="524" t="s">
        <v>767</v>
      </c>
      <c r="D40" s="305" t="str">
        <f ca="1">IF(ISERROR(OFFSET('HARGA SATUAN'!$D$6,MATCH(RAB!C40,'HARGA SATUAN'!$C$7:$C$1495,0),0)),"",OFFSET('HARGA SATUAN'!$D$6,MATCH(RAB!C40,'HARGA SATUAN'!$C$7:$C$1495,0),0))</f>
        <v>JASA</v>
      </c>
      <c r="E40" s="306" t="str">
        <f ca="1">IF(B40="+","Unit",IF(ISERROR(OFFSET('HARGA SATUAN'!$E$6,MATCH(RAB!C40,'HARGA SATUAN'!$C$7:$C$1495,0),0)),"",OFFSET('HARGA SATUAN'!$E$6,MATCH(RAB!C40,'HARGA SATUAN'!$C$7:$C$1495,0),0)))</f>
        <v>Unit</v>
      </c>
      <c r="F40" s="526">
        <f>F36*1</f>
        <v>1</v>
      </c>
      <c r="G40" s="307">
        <f ca="1">IF(ISERROR(OFFSET('HARGA SATUAN'!$I$6,MATCH(RAB!C40,'HARGA SATUAN'!$C$7:$C$1495,0),0)),0,OFFSET('HARGA SATUAN'!$I$6,MATCH(RAB!C40,'HARGA SATUAN'!$C$7:$C$1495,0),0))</f>
        <v>55500</v>
      </c>
      <c r="H40" s="308">
        <f t="shared" ca="1" si="9"/>
        <v>0</v>
      </c>
      <c r="I40" s="308">
        <f t="shared" ca="1" si="10"/>
        <v>0</v>
      </c>
      <c r="J40" s="308">
        <f t="shared" ca="1" si="11"/>
        <v>55500</v>
      </c>
      <c r="K40" s="309">
        <f t="shared" ca="1" si="12"/>
        <v>55500</v>
      </c>
      <c r="L40" s="316"/>
      <c r="M40" s="289"/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>
      <c r="A41" s="283"/>
      <c r="B41" s="523"/>
      <c r="C41" s="524"/>
      <c r="D41" s="305" t="str">
        <f ca="1">IF(ISERROR(OFFSET('HARGA SATUAN'!$D$6,MATCH(RAB!C41,'HARGA SATUAN'!$C$7:$C$1495,0),0)),"",OFFSET('HARGA SATUAN'!$D$6,MATCH(RAB!C41,'HARGA SATUAN'!$C$7:$C$1495,0),0))</f>
        <v/>
      </c>
      <c r="E41" s="306" t="str">
        <f ca="1">IF(B41="+","Unit",IF(ISERROR(OFFSET('HARGA SATUAN'!$E$6,MATCH(RAB!C41,'HARGA SATUAN'!$C$7:$C$1495,0),0)),"",OFFSET('HARGA SATUAN'!$E$6,MATCH(RAB!C41,'HARGA SATUAN'!$C$7:$C$1495,0),0)))</f>
        <v/>
      </c>
      <c r="F41" s="526"/>
      <c r="G41" s="307">
        <f ca="1">IF(ISERROR(OFFSET('HARGA SATUAN'!$I$6,MATCH(RAB!C41,'HARGA SATUAN'!$C$7:$C$1495,0),0)),0,OFFSET('HARGA SATUAN'!$I$6,MATCH(RAB!C41,'HARGA SATUAN'!$C$7:$C$1495,0),0))</f>
        <v>0</v>
      </c>
      <c r="H41" s="308">
        <f t="shared" ca="1" si="9"/>
        <v>0</v>
      </c>
      <c r="I41" s="308">
        <f t="shared" ca="1" si="10"/>
        <v>0</v>
      </c>
      <c r="J41" s="308">
        <f t="shared" ca="1" si="11"/>
        <v>0</v>
      </c>
      <c r="K41" s="309">
        <f t="shared" ca="1" si="12"/>
        <v>0</v>
      </c>
      <c r="L41" s="316"/>
      <c r="M41" s="289"/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>
      <c r="A42" s="283"/>
      <c r="B42" s="523" t="s">
        <v>1035</v>
      </c>
      <c r="C42" s="524" t="s">
        <v>1631</v>
      </c>
      <c r="D42" s="305" t="str">
        <f ca="1">IF(ISERROR(OFFSET('HARGA SATUAN'!$D$6,MATCH(RAB!C42,'HARGA SATUAN'!$C$7:$C$1495,0),0)),"",OFFSET('HARGA SATUAN'!$D$6,MATCH(RAB!C42,'HARGA SATUAN'!$C$7:$C$1495,0),0))</f>
        <v/>
      </c>
      <c r="E42" s="306" t="str">
        <f ca="1">IF(B42="+","Unit",IF(ISERROR(OFFSET('HARGA SATUAN'!$E$6,MATCH(RAB!C42,'HARGA SATUAN'!$C$7:$C$1495,0),0)),"",OFFSET('HARGA SATUAN'!$E$6,MATCH(RAB!C42,'HARGA SATUAN'!$C$7:$C$1495,0),0)))</f>
        <v>Unit</v>
      </c>
      <c r="F42" s="490">
        <v>2</v>
      </c>
      <c r="G42" s="307">
        <f ca="1">IF(ISERROR(OFFSET('HARGA SATUAN'!$I$6,MATCH(RAB!C42,'HARGA SATUAN'!$C$7:$C$1495,0),0)),0,OFFSET('HARGA SATUAN'!$I$6,MATCH(RAB!C42,'HARGA SATUAN'!$C$7:$C$1495,0),0))</f>
        <v>0</v>
      </c>
      <c r="H42" s="308">
        <f t="shared" ca="1" si="9"/>
        <v>0</v>
      </c>
      <c r="I42" s="308">
        <f t="shared" ca="1" si="10"/>
        <v>0</v>
      </c>
      <c r="J42" s="308">
        <f t="shared" ca="1" si="11"/>
        <v>0</v>
      </c>
      <c r="K42" s="309">
        <f t="shared" ca="1" si="12"/>
        <v>0</v>
      </c>
      <c r="L42" s="316"/>
      <c r="M42" s="289"/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>
      <c r="A43" s="283"/>
      <c r="B43" s="523">
        <v>1</v>
      </c>
      <c r="C43" s="524" t="s">
        <v>30</v>
      </c>
      <c r="D43" s="305" t="str">
        <f ca="1">IF(ISERROR(OFFSET('HARGA SATUAN'!$D$6,MATCH(RAB!C43,'HARGA SATUAN'!$C$7:$C$1495,0),0)),"",OFFSET('HARGA SATUAN'!$D$6,MATCH(RAB!C43,'HARGA SATUAN'!$C$7:$C$1495,0),0))</f>
        <v>HDW</v>
      </c>
      <c r="E43" s="306" t="str">
        <f ca="1">IF(B43="+","Unit",IF(ISERROR(OFFSET('HARGA SATUAN'!$E$6,MATCH(RAB!C43,'HARGA SATUAN'!$C$7:$C$1495,0),0)),"",OFFSET('HARGA SATUAN'!$E$6,MATCH(RAB!C43,'HARGA SATUAN'!$C$7:$C$1495,0),0)))</f>
        <v>Bh</v>
      </c>
      <c r="F43" s="490">
        <f>F42*1</f>
        <v>2</v>
      </c>
      <c r="G43" s="307">
        <f ca="1">IF(ISERROR(OFFSET('HARGA SATUAN'!$I$6,MATCH(RAB!C43,'HARGA SATUAN'!$C$7:$C$1495,0),0)),0,OFFSET('HARGA SATUAN'!$I$6,MATCH(RAB!C43,'HARGA SATUAN'!$C$7:$C$1495,0),0))</f>
        <v>47459</v>
      </c>
      <c r="H43" s="308">
        <f t="shared" ca="1" si="9"/>
        <v>0</v>
      </c>
      <c r="I43" s="308">
        <f t="shared" ca="1" si="10"/>
        <v>94918</v>
      </c>
      <c r="J43" s="308">
        <f t="shared" ca="1" si="11"/>
        <v>0</v>
      </c>
      <c r="K43" s="309">
        <f t="shared" ca="1" si="12"/>
        <v>94918</v>
      </c>
      <c r="L43" s="316"/>
      <c r="M43" s="289"/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>
      <c r="A44" s="283"/>
      <c r="B44" s="523">
        <v>2</v>
      </c>
      <c r="C44" s="524" t="s">
        <v>32</v>
      </c>
      <c r="D44" s="305" t="str">
        <f ca="1">IF(ISERROR(OFFSET('HARGA SATUAN'!$D$6,MATCH(RAB!C44,'HARGA SATUAN'!$C$7:$C$1495,0),0)),"",OFFSET('HARGA SATUAN'!$D$6,MATCH(RAB!C44,'HARGA SATUAN'!$C$7:$C$1495,0),0))</f>
        <v>HDW</v>
      </c>
      <c r="E44" s="306" t="str">
        <f ca="1">IF(B44="+","Unit",IF(ISERROR(OFFSET('HARGA SATUAN'!$E$6,MATCH(RAB!C44,'HARGA SATUAN'!$C$7:$C$1495,0),0)),"",OFFSET('HARGA SATUAN'!$E$6,MATCH(RAB!C44,'HARGA SATUAN'!$C$7:$C$1495,0),0)))</f>
        <v>Mtr</v>
      </c>
      <c r="F44" s="490">
        <f>F42*0.8</f>
        <v>1.6</v>
      </c>
      <c r="G44" s="307">
        <f ca="1">IF(ISERROR(OFFSET('HARGA SATUAN'!$I$6,MATCH(RAB!C44,'HARGA SATUAN'!$C$7:$C$1495,0),0)),0,OFFSET('HARGA SATUAN'!$I$6,MATCH(RAB!C44,'HARGA SATUAN'!$C$7:$C$1495,0),0))</f>
        <v>30000</v>
      </c>
      <c r="H44" s="308">
        <f t="shared" ca="1" si="9"/>
        <v>0</v>
      </c>
      <c r="I44" s="308">
        <f t="shared" ca="1" si="10"/>
        <v>48000</v>
      </c>
      <c r="J44" s="308">
        <f t="shared" ca="1" si="11"/>
        <v>0</v>
      </c>
      <c r="K44" s="309">
        <f t="shared" ca="1" si="12"/>
        <v>48000</v>
      </c>
      <c r="L44" s="316"/>
      <c r="M44" s="289"/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>
      <c r="A45" s="283"/>
      <c r="B45" s="523">
        <v>3</v>
      </c>
      <c r="C45" s="524" t="s">
        <v>33</v>
      </c>
      <c r="D45" s="305" t="str">
        <f ca="1">IF(ISERROR(OFFSET('HARGA SATUAN'!$D$6,MATCH(RAB!C45,'HARGA SATUAN'!$C$7:$C$1495,0),0)),"",OFFSET('HARGA SATUAN'!$D$6,MATCH(RAB!C45,'HARGA SATUAN'!$C$7:$C$1495,0),0))</f>
        <v>HDW</v>
      </c>
      <c r="E45" s="306" t="str">
        <f ca="1">IF(B45="+","Unit",IF(ISERROR(OFFSET('HARGA SATUAN'!$E$6,MATCH(RAB!C45,'HARGA SATUAN'!$C$7:$C$1495,0),0)),"",OFFSET('HARGA SATUAN'!$E$6,MATCH(RAB!C45,'HARGA SATUAN'!$C$7:$C$1495,0),0)))</f>
        <v>Bh</v>
      </c>
      <c r="F45" s="490">
        <f>F42*1</f>
        <v>2</v>
      </c>
      <c r="G45" s="307">
        <f ca="1">IF(ISERROR(OFFSET('HARGA SATUAN'!$I$6,MATCH(RAB!C45,'HARGA SATUAN'!$C$7:$C$1495,0),0)),0,OFFSET('HARGA SATUAN'!$I$6,MATCH(RAB!C45,'HARGA SATUAN'!$C$7:$C$1495,0),0))</f>
        <v>9500</v>
      </c>
      <c r="H45" s="308">
        <f t="shared" ca="1" si="9"/>
        <v>0</v>
      </c>
      <c r="I45" s="308">
        <f t="shared" ca="1" si="10"/>
        <v>19000</v>
      </c>
      <c r="J45" s="308">
        <f t="shared" ca="1" si="11"/>
        <v>0</v>
      </c>
      <c r="K45" s="309">
        <f t="shared" ca="1" si="12"/>
        <v>19000</v>
      </c>
      <c r="L45" s="316"/>
      <c r="M45" s="289"/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>
      <c r="A46" s="283"/>
      <c r="B46" s="523">
        <v>4</v>
      </c>
      <c r="C46" s="524" t="s">
        <v>737</v>
      </c>
      <c r="D46" s="305" t="str">
        <f ca="1">IF(ISERROR(OFFSET('HARGA SATUAN'!$D$6,MATCH(RAB!C46,'HARGA SATUAN'!$C$7:$C$1495,0),0)),"",OFFSET('HARGA SATUAN'!$D$6,MATCH(RAB!C46,'HARGA SATUAN'!$C$7:$C$1495,0),0))</f>
        <v>JASA</v>
      </c>
      <c r="E46" s="306" t="str">
        <f ca="1">IF(B46="+","Unit",IF(ISERROR(OFFSET('HARGA SATUAN'!$E$6,MATCH(RAB!C46,'HARGA SATUAN'!$C$7:$C$1495,0),0)),"",OFFSET('HARGA SATUAN'!$E$6,MATCH(RAB!C46,'HARGA SATUAN'!$C$7:$C$1495,0),0)))</f>
        <v>Unit</v>
      </c>
      <c r="F46" s="490">
        <f>F42*1</f>
        <v>2</v>
      </c>
      <c r="G46" s="307">
        <f ca="1">IF(ISERROR(OFFSET('HARGA SATUAN'!$I$6,MATCH(RAB!C46,'HARGA SATUAN'!$C$7:$C$1495,0),0)),0,OFFSET('HARGA SATUAN'!$I$6,MATCH(RAB!C46,'HARGA SATUAN'!$C$7:$C$1495,0),0))</f>
        <v>16200</v>
      </c>
      <c r="H46" s="308">
        <f t="shared" ca="1" si="9"/>
        <v>0</v>
      </c>
      <c r="I46" s="308">
        <f t="shared" ca="1" si="10"/>
        <v>0</v>
      </c>
      <c r="J46" s="308">
        <f t="shared" ca="1" si="11"/>
        <v>32400</v>
      </c>
      <c r="K46" s="309">
        <f t="shared" ca="1" si="12"/>
        <v>32400</v>
      </c>
      <c r="L46" s="316"/>
      <c r="M46" s="289"/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>
      <c r="A47" s="283"/>
      <c r="B47" s="523"/>
      <c r="C47" s="524"/>
      <c r="D47" s="305" t="str">
        <f ca="1">IF(ISERROR(OFFSET('HARGA SATUAN'!$D$6,MATCH(RAB!C47,'HARGA SATUAN'!$C$7:$C$1495,0),0)),"",OFFSET('HARGA SATUAN'!$D$6,MATCH(RAB!C47,'HARGA SATUAN'!$C$7:$C$1495,0),0))</f>
        <v/>
      </c>
      <c r="E47" s="306" t="str">
        <f ca="1">IF(B47="+","Unit",IF(ISERROR(OFFSET('HARGA SATUAN'!$E$6,MATCH(RAB!C47,'HARGA SATUAN'!$C$7:$C$1495,0),0)),"",OFFSET('HARGA SATUAN'!$E$6,MATCH(RAB!C47,'HARGA SATUAN'!$C$7:$C$1495,0),0)))</f>
        <v/>
      </c>
      <c r="F47" s="526"/>
      <c r="G47" s="307">
        <f ca="1">IF(ISERROR(OFFSET('HARGA SATUAN'!$I$6,MATCH(RAB!C47,'HARGA SATUAN'!$C$7:$C$1495,0),0)),0,OFFSET('HARGA SATUAN'!$I$6,MATCH(RAB!C47,'HARGA SATUAN'!$C$7:$C$1495,0),0))</f>
        <v>0</v>
      </c>
      <c r="H47" s="308">
        <f t="shared" ca="1" si="9"/>
        <v>0</v>
      </c>
      <c r="I47" s="308">
        <f t="shared" ca="1" si="10"/>
        <v>0</v>
      </c>
      <c r="J47" s="308">
        <f t="shared" ca="1" si="11"/>
        <v>0</v>
      </c>
      <c r="K47" s="309">
        <f t="shared" ca="1" si="12"/>
        <v>0</v>
      </c>
      <c r="L47" s="316"/>
      <c r="M47" s="289"/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>
      <c r="A48" s="283"/>
      <c r="B48" s="523" t="s">
        <v>1035</v>
      </c>
      <c r="C48" s="524" t="s">
        <v>1632</v>
      </c>
      <c r="D48" s="305" t="str">
        <f ca="1">IF(ISERROR(OFFSET('HARGA SATUAN'!$D$6,MATCH(RAB!C48,'HARGA SATUAN'!$C$7:$C$1495,0),0)),"",OFFSET('HARGA SATUAN'!$D$6,MATCH(RAB!C48,'HARGA SATUAN'!$C$7:$C$1495,0),0))</f>
        <v/>
      </c>
      <c r="E48" s="306" t="str">
        <f ca="1">IF(B48="+","Unit",IF(ISERROR(OFFSET('HARGA SATUAN'!$E$6,MATCH(RAB!C48,'HARGA SATUAN'!$C$7:$C$1495,0),0)),"",OFFSET('HARGA SATUAN'!$E$6,MATCH(RAB!C48,'HARGA SATUAN'!$C$7:$C$1495,0),0)))</f>
        <v>Unit</v>
      </c>
      <c r="F48" s="490">
        <v>1</v>
      </c>
      <c r="G48" s="307">
        <f ca="1">IF(ISERROR(OFFSET('HARGA SATUAN'!$I$6,MATCH(RAB!C48,'HARGA SATUAN'!$C$7:$C$1495,0),0)),0,OFFSET('HARGA SATUAN'!$I$6,MATCH(RAB!C48,'HARGA SATUAN'!$C$7:$C$1495,0),0))</f>
        <v>0</v>
      </c>
      <c r="H48" s="308">
        <f t="shared" ca="1" si="9"/>
        <v>0</v>
      </c>
      <c r="I48" s="308">
        <f t="shared" ca="1" si="10"/>
        <v>0</v>
      </c>
      <c r="J48" s="308">
        <f t="shared" ca="1" si="11"/>
        <v>0</v>
      </c>
      <c r="K48" s="309">
        <f t="shared" ca="1" si="12"/>
        <v>0</v>
      </c>
      <c r="L48" s="316"/>
      <c r="M48" s="289"/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>
      <c r="A49" s="283"/>
      <c r="B49" s="523">
        <v>1</v>
      </c>
      <c r="C49" s="524" t="s">
        <v>30</v>
      </c>
      <c r="D49" s="305" t="str">
        <f ca="1">IF(ISERROR(OFFSET('HARGA SATUAN'!$D$6,MATCH(RAB!C49,'HARGA SATUAN'!$C$7:$C$1495,0),0)),"",OFFSET('HARGA SATUAN'!$D$6,MATCH(RAB!C49,'HARGA SATUAN'!$C$7:$C$1495,0),0))</f>
        <v>HDW</v>
      </c>
      <c r="E49" s="306" t="str">
        <f ca="1">IF(B49="+","Unit",IF(ISERROR(OFFSET('HARGA SATUAN'!$E$6,MATCH(RAB!C49,'HARGA SATUAN'!$C$7:$C$1495,0),0)),"",OFFSET('HARGA SATUAN'!$E$6,MATCH(RAB!C49,'HARGA SATUAN'!$C$7:$C$1495,0),0)))</f>
        <v>Bh</v>
      </c>
      <c r="F49" s="490">
        <f>F48*1</f>
        <v>1</v>
      </c>
      <c r="G49" s="307">
        <f ca="1">IF(ISERROR(OFFSET('HARGA SATUAN'!$I$6,MATCH(RAB!C49,'HARGA SATUAN'!$C$7:$C$1495,0),0)),0,OFFSET('HARGA SATUAN'!$I$6,MATCH(RAB!C49,'HARGA SATUAN'!$C$7:$C$1495,0),0))</f>
        <v>47459</v>
      </c>
      <c r="H49" s="308">
        <f t="shared" ca="1" si="9"/>
        <v>0</v>
      </c>
      <c r="I49" s="308">
        <f t="shared" ca="1" si="10"/>
        <v>47459</v>
      </c>
      <c r="J49" s="308">
        <f t="shared" ca="1" si="11"/>
        <v>0</v>
      </c>
      <c r="K49" s="309">
        <f t="shared" ca="1" si="12"/>
        <v>47459</v>
      </c>
      <c r="L49" s="316"/>
      <c r="M49" s="289"/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>
      <c r="A50" s="283"/>
      <c r="B50" s="523">
        <v>2</v>
      </c>
      <c r="C50" s="524" t="s">
        <v>32</v>
      </c>
      <c r="D50" s="305" t="str">
        <f ca="1">IF(ISERROR(OFFSET('HARGA SATUAN'!$D$6,MATCH(RAB!C50,'HARGA SATUAN'!$C$7:$C$1495,0),0)),"",OFFSET('HARGA SATUAN'!$D$6,MATCH(RAB!C50,'HARGA SATUAN'!$C$7:$C$1495,0),0))</f>
        <v>HDW</v>
      </c>
      <c r="E50" s="306" t="str">
        <f ca="1">IF(B50="+","Unit",IF(ISERROR(OFFSET('HARGA SATUAN'!$E$6,MATCH(RAB!C50,'HARGA SATUAN'!$C$7:$C$1495,0),0)),"",OFFSET('HARGA SATUAN'!$E$6,MATCH(RAB!C50,'HARGA SATUAN'!$C$7:$C$1495,0),0)))</f>
        <v>Mtr</v>
      </c>
      <c r="F50" s="490">
        <f>F48*1</f>
        <v>1</v>
      </c>
      <c r="G50" s="307">
        <f ca="1">IF(ISERROR(OFFSET('HARGA SATUAN'!$I$6,MATCH(RAB!C50,'HARGA SATUAN'!$C$7:$C$1495,0),0)),0,OFFSET('HARGA SATUAN'!$I$6,MATCH(RAB!C50,'HARGA SATUAN'!$C$7:$C$1495,0),0))</f>
        <v>30000</v>
      </c>
      <c r="H50" s="308">
        <f t="shared" ca="1" si="9"/>
        <v>0</v>
      </c>
      <c r="I50" s="308">
        <f t="shared" ca="1" si="10"/>
        <v>30000</v>
      </c>
      <c r="J50" s="308">
        <f t="shared" ca="1" si="11"/>
        <v>0</v>
      </c>
      <c r="K50" s="309">
        <f t="shared" ca="1" si="12"/>
        <v>30000</v>
      </c>
      <c r="L50" s="316"/>
      <c r="M50" s="289"/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>
      <c r="A51" s="283"/>
      <c r="B51" s="523">
        <v>3</v>
      </c>
      <c r="C51" s="524" t="s">
        <v>33</v>
      </c>
      <c r="D51" s="305" t="str">
        <f ca="1">IF(ISERROR(OFFSET('HARGA SATUAN'!$D$6,MATCH(RAB!C51,'HARGA SATUAN'!$C$7:$C$1495,0),0)),"",OFFSET('HARGA SATUAN'!$D$6,MATCH(RAB!C51,'HARGA SATUAN'!$C$7:$C$1495,0),0))</f>
        <v>HDW</v>
      </c>
      <c r="E51" s="306" t="str">
        <f ca="1">IF(B51="+","Unit",IF(ISERROR(OFFSET('HARGA SATUAN'!$E$6,MATCH(RAB!C51,'HARGA SATUAN'!$C$7:$C$1495,0),0)),"",OFFSET('HARGA SATUAN'!$E$6,MATCH(RAB!C51,'HARGA SATUAN'!$C$7:$C$1495,0),0)))</f>
        <v>Bh</v>
      </c>
      <c r="F51" s="490">
        <f>F48*1</f>
        <v>1</v>
      </c>
      <c r="G51" s="307">
        <f ca="1">IF(ISERROR(OFFSET('HARGA SATUAN'!$I$6,MATCH(RAB!C51,'HARGA SATUAN'!$C$7:$C$1495,0),0)),0,OFFSET('HARGA SATUAN'!$I$6,MATCH(RAB!C51,'HARGA SATUAN'!$C$7:$C$1495,0),0))</f>
        <v>9500</v>
      </c>
      <c r="H51" s="308">
        <f t="shared" ca="1" si="9"/>
        <v>0</v>
      </c>
      <c r="I51" s="308">
        <f t="shared" ca="1" si="10"/>
        <v>9500</v>
      </c>
      <c r="J51" s="308">
        <f t="shared" ca="1" si="11"/>
        <v>0</v>
      </c>
      <c r="K51" s="309">
        <f t="shared" ca="1" si="12"/>
        <v>9500</v>
      </c>
      <c r="L51" s="316"/>
      <c r="M51" s="289"/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>
      <c r="A52" s="283"/>
      <c r="B52" s="523">
        <v>4</v>
      </c>
      <c r="C52" s="524" t="s">
        <v>738</v>
      </c>
      <c r="D52" s="305" t="str">
        <f ca="1">IF(ISERROR(OFFSET('HARGA SATUAN'!$D$6,MATCH(RAB!C52,'HARGA SATUAN'!$C$7:$C$1495,0),0)),"",OFFSET('HARGA SATUAN'!$D$6,MATCH(RAB!C52,'HARGA SATUAN'!$C$7:$C$1495,0),0))</f>
        <v>JASA</v>
      </c>
      <c r="E52" s="306" t="str">
        <f ca="1">IF(B52="+","Unit",IF(ISERROR(OFFSET('HARGA SATUAN'!$E$6,MATCH(RAB!C52,'HARGA SATUAN'!$C$7:$C$1495,0),0)),"",OFFSET('HARGA SATUAN'!$E$6,MATCH(RAB!C52,'HARGA SATUAN'!$C$7:$C$1495,0),0)))</f>
        <v>Unit</v>
      </c>
      <c r="F52" s="490">
        <f>F48*1</f>
        <v>1</v>
      </c>
      <c r="G52" s="307">
        <f ca="1">IF(ISERROR(OFFSET('HARGA SATUAN'!$I$6,MATCH(RAB!C52,'HARGA SATUAN'!$C$7:$C$1495,0),0)),0,OFFSET('HARGA SATUAN'!$I$6,MATCH(RAB!C52,'HARGA SATUAN'!$C$7:$C$1495,0),0))</f>
        <v>21200</v>
      </c>
      <c r="H52" s="308">
        <f t="shared" ca="1" si="9"/>
        <v>0</v>
      </c>
      <c r="I52" s="308">
        <f t="shared" ca="1" si="10"/>
        <v>0</v>
      </c>
      <c r="J52" s="308">
        <f t="shared" ca="1" si="11"/>
        <v>21200</v>
      </c>
      <c r="K52" s="309">
        <f t="shared" ca="1" si="12"/>
        <v>21200</v>
      </c>
      <c r="L52" s="316"/>
      <c r="M52" s="289"/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>
      <c r="A53" s="283"/>
      <c r="B53" s="486"/>
      <c r="C53" s="487"/>
      <c r="D53" s="305" t="str">
        <f ca="1">IF(ISERROR(OFFSET('HARGA SATUAN'!$D$6,MATCH(RAB!C53,'HARGA SATUAN'!$C$7:$C$1495,0),0)),"",OFFSET('HARGA SATUAN'!$D$6,MATCH(RAB!C53,'HARGA SATUAN'!$C$7:$C$1495,0),0))</f>
        <v/>
      </c>
      <c r="E53" s="306" t="str">
        <f ca="1">IF(B53="+","Unit",IF(ISERROR(OFFSET('HARGA SATUAN'!$E$6,MATCH(RAB!C53,'HARGA SATUAN'!$C$7:$C$1495,0),0)),"",OFFSET('HARGA SATUAN'!$E$6,MATCH(RAB!C53,'HARGA SATUAN'!$C$7:$C$1495,0),0)))</f>
        <v/>
      </c>
      <c r="F53" s="492"/>
      <c r="G53" s="307">
        <f ca="1">IF(ISERROR(OFFSET('HARGA SATUAN'!$I$6,MATCH(RAB!C53,'HARGA SATUAN'!$C$7:$C$1495,0),0)),0,OFFSET('HARGA SATUAN'!$I$6,MATCH(RAB!C53,'HARGA SATUAN'!$C$7:$C$1495,0),0))</f>
        <v>0</v>
      </c>
      <c r="H53" s="308">
        <f t="shared" ref="H53" ca="1" si="13">IF(OR(D53="MDU",D53="MDU-KD"),(IF($O$3="RAB NON MDU","PLN KD",G53*F53)),0)</f>
        <v>0</v>
      </c>
      <c r="I53" s="308">
        <f t="shared" ref="I53" ca="1" si="14">IF(D53="HDW",G53*F53,0)</f>
        <v>0</v>
      </c>
      <c r="J53" s="308">
        <f t="shared" ref="J53" ca="1" si="15">IF(D53="JASA",G53*F53,0)</f>
        <v>0</v>
      </c>
      <c r="K53" s="309">
        <f t="shared" ref="K53" ca="1" si="16">SUM(H53:J53)</f>
        <v>0</v>
      </c>
      <c r="L53" s="316"/>
      <c r="M53" s="289" t="e">
        <f>IF(AND(F53&gt;0,#REF!=0),"",IF(AND(ISBLANK(F53)=FALSE,K53=0),"WARNING",""))</f>
        <v>#REF!</v>
      </c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 hidden="1">
      <c r="A54" s="283"/>
      <c r="B54" s="486"/>
      <c r="C54" s="487"/>
      <c r="D54" s="305" t="str">
        <f ca="1">IF(ISERROR(OFFSET('HARGA SATUAN'!$D$6,MATCH(RAB!C54,'HARGA SATUAN'!$C$7:$C$1495,0),0)),"",OFFSET('HARGA SATUAN'!$D$6,MATCH(RAB!C54,'HARGA SATUAN'!$C$7:$C$1495,0),0))</f>
        <v/>
      </c>
      <c r="E54" s="306" t="str">
        <f ca="1">IF(B54="+","Unit",IF(ISERROR(OFFSET('HARGA SATUAN'!$E$6,MATCH(RAB!C54,'HARGA SATUAN'!$C$7:$C$1495,0),0)),"",OFFSET('HARGA SATUAN'!$E$6,MATCH(RAB!C54,'HARGA SATUAN'!$C$7:$C$1495,0),0)))</f>
        <v/>
      </c>
      <c r="F54" s="492"/>
      <c r="G54" s="307">
        <f ca="1">IF(ISERROR(OFFSET('HARGA SATUAN'!$I$6,MATCH(RAB!C54,'HARGA SATUAN'!$C$7:$C$1495,0),0)),0,OFFSET('HARGA SATUAN'!$I$6,MATCH(RAB!C54,'HARGA SATUAN'!$C$7:$C$1495,0),0))</f>
        <v>0</v>
      </c>
      <c r="H54" s="308">
        <f t="shared" ref="H54:H75" ca="1" si="17">IF(OR(D54="MDU",D54="MDU-KD"),(IF($O$3="RAB NON MDU","PLN KD",G54*F54)),0)</f>
        <v>0</v>
      </c>
      <c r="I54" s="308">
        <f t="shared" ref="I54:I75" ca="1" si="18">IF(D54="HDW",G54*F54,0)</f>
        <v>0</v>
      </c>
      <c r="J54" s="308">
        <f t="shared" ref="J54:J75" ca="1" si="19">IF(D54="JASA",G54*F54,0)</f>
        <v>0</v>
      </c>
      <c r="K54" s="309">
        <f t="shared" ref="K54:K75" ca="1" si="20">SUM(H54:J54)</f>
        <v>0</v>
      </c>
      <c r="L54" s="316"/>
      <c r="M54" s="289" t="str">
        <f t="shared" ref="M54:M92" ca="1" si="21">IF(AND(F54&gt;0,F53=0),"",IF(AND(ISBLANK(F54)=FALSE,K54=0),"WARNING",""))</f>
        <v/>
      </c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 hidden="1">
      <c r="A55" s="283"/>
      <c r="B55" s="486"/>
      <c r="C55" s="487"/>
      <c r="D55" s="305" t="str">
        <f ca="1">IF(ISERROR(OFFSET('HARGA SATUAN'!$D$6,MATCH(RAB!C55,'HARGA SATUAN'!$C$7:$C$1495,0),0)),"",OFFSET('HARGA SATUAN'!$D$6,MATCH(RAB!C55,'HARGA SATUAN'!$C$7:$C$1495,0),0))</f>
        <v/>
      </c>
      <c r="E55" s="306" t="str">
        <f ca="1">IF(B55="+","Unit",IF(ISERROR(OFFSET('HARGA SATUAN'!$E$6,MATCH(RAB!C55,'HARGA SATUAN'!$C$7:$C$1495,0),0)),"",OFFSET('HARGA SATUAN'!$E$6,MATCH(RAB!C55,'HARGA SATUAN'!$C$7:$C$1495,0),0)))</f>
        <v/>
      </c>
      <c r="F55" s="492"/>
      <c r="G55" s="307">
        <f ca="1">IF(ISERROR(OFFSET('HARGA SATUAN'!$I$6,MATCH(RAB!C55,'HARGA SATUAN'!$C$7:$C$1495,0),0)),0,OFFSET('HARGA SATUAN'!$I$6,MATCH(RAB!C55,'HARGA SATUAN'!$C$7:$C$1495,0),0))</f>
        <v>0</v>
      </c>
      <c r="H55" s="308">
        <f t="shared" ca="1" si="17"/>
        <v>0</v>
      </c>
      <c r="I55" s="308">
        <f t="shared" ca="1" si="18"/>
        <v>0</v>
      </c>
      <c r="J55" s="308">
        <f t="shared" ca="1" si="19"/>
        <v>0</v>
      </c>
      <c r="K55" s="309">
        <f t="shared" ca="1" si="20"/>
        <v>0</v>
      </c>
      <c r="L55" s="316"/>
      <c r="M55" s="289" t="str">
        <f t="shared" ca="1" si="21"/>
        <v/>
      </c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 hidden="1">
      <c r="A56" s="283"/>
      <c r="B56" s="486"/>
      <c r="C56" s="487"/>
      <c r="D56" s="305" t="str">
        <f ca="1">IF(ISERROR(OFFSET('HARGA SATUAN'!$D$6,MATCH(RAB!C56,'HARGA SATUAN'!$C$7:$C$1495,0),0)),"",OFFSET('HARGA SATUAN'!$D$6,MATCH(RAB!C56,'HARGA SATUAN'!$C$7:$C$1495,0),0))</f>
        <v/>
      </c>
      <c r="E56" s="306" t="str">
        <f ca="1">IF(B56="+","Unit",IF(ISERROR(OFFSET('HARGA SATUAN'!$E$6,MATCH(RAB!C56,'HARGA SATUAN'!$C$7:$C$1495,0),0)),"",OFFSET('HARGA SATUAN'!$E$6,MATCH(RAB!C56,'HARGA SATUAN'!$C$7:$C$1495,0),0)))</f>
        <v/>
      </c>
      <c r="F56" s="492"/>
      <c r="G56" s="307">
        <f ca="1">IF(ISERROR(OFFSET('HARGA SATUAN'!$I$6,MATCH(RAB!C56,'HARGA SATUAN'!$C$7:$C$1495,0),0)),0,OFFSET('HARGA SATUAN'!$I$6,MATCH(RAB!C56,'HARGA SATUAN'!$C$7:$C$1495,0),0))</f>
        <v>0</v>
      </c>
      <c r="H56" s="308">
        <f t="shared" ca="1" si="17"/>
        <v>0</v>
      </c>
      <c r="I56" s="308">
        <f t="shared" ca="1" si="18"/>
        <v>0</v>
      </c>
      <c r="J56" s="308">
        <f t="shared" ca="1" si="19"/>
        <v>0</v>
      </c>
      <c r="K56" s="309">
        <f t="shared" ca="1" si="20"/>
        <v>0</v>
      </c>
      <c r="L56" s="316"/>
      <c r="M56" s="289" t="str">
        <f t="shared" ca="1" si="21"/>
        <v/>
      </c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 hidden="1">
      <c r="A57" s="283"/>
      <c r="B57" s="486"/>
      <c r="C57" s="487"/>
      <c r="D57" s="305" t="str">
        <f ca="1">IF(ISERROR(OFFSET('HARGA SATUAN'!$D$6,MATCH(RAB!C57,'HARGA SATUAN'!$C$7:$C$1495,0),0)),"",OFFSET('HARGA SATUAN'!$D$6,MATCH(RAB!C57,'HARGA SATUAN'!$C$7:$C$1495,0),0))</f>
        <v/>
      </c>
      <c r="E57" s="306" t="str">
        <f ca="1">IF(B57="+","Unit",IF(ISERROR(OFFSET('HARGA SATUAN'!$E$6,MATCH(RAB!C57,'HARGA SATUAN'!$C$7:$C$1495,0),0)),"",OFFSET('HARGA SATUAN'!$E$6,MATCH(RAB!C57,'HARGA SATUAN'!$C$7:$C$1495,0),0)))</f>
        <v/>
      </c>
      <c r="F57" s="492"/>
      <c r="G57" s="307">
        <f ca="1">IF(ISERROR(OFFSET('HARGA SATUAN'!$I$6,MATCH(RAB!C57,'HARGA SATUAN'!$C$7:$C$1495,0),0)),0,OFFSET('HARGA SATUAN'!$I$6,MATCH(RAB!C57,'HARGA SATUAN'!$C$7:$C$1495,0),0))</f>
        <v>0</v>
      </c>
      <c r="H57" s="308">
        <f t="shared" ca="1" si="17"/>
        <v>0</v>
      </c>
      <c r="I57" s="308">
        <f t="shared" ca="1" si="18"/>
        <v>0</v>
      </c>
      <c r="J57" s="308">
        <f t="shared" ca="1" si="19"/>
        <v>0</v>
      </c>
      <c r="K57" s="309">
        <f t="shared" ca="1" si="20"/>
        <v>0</v>
      </c>
      <c r="L57" s="316"/>
      <c r="M57" s="289" t="str">
        <f t="shared" ca="1" si="21"/>
        <v/>
      </c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 hidden="1">
      <c r="A58" s="283"/>
      <c r="B58" s="486"/>
      <c r="C58" s="487"/>
      <c r="D58" s="305" t="str">
        <f ca="1">IF(ISERROR(OFFSET('HARGA SATUAN'!$D$6,MATCH(RAB!C58,'HARGA SATUAN'!$C$7:$C$1495,0),0)),"",OFFSET('HARGA SATUAN'!$D$6,MATCH(RAB!C58,'HARGA SATUAN'!$C$7:$C$1495,0),0))</f>
        <v/>
      </c>
      <c r="E58" s="306" t="str">
        <f ca="1">IF(B58="+","Unit",IF(ISERROR(OFFSET('HARGA SATUAN'!$E$6,MATCH(RAB!C58,'HARGA SATUAN'!$C$7:$C$1495,0),0)),"",OFFSET('HARGA SATUAN'!$E$6,MATCH(RAB!C58,'HARGA SATUAN'!$C$7:$C$1495,0),0)))</f>
        <v/>
      </c>
      <c r="F58" s="492"/>
      <c r="G58" s="307">
        <f ca="1">IF(ISERROR(OFFSET('HARGA SATUAN'!$I$6,MATCH(RAB!C58,'HARGA SATUAN'!$C$7:$C$1495,0),0)),0,OFFSET('HARGA SATUAN'!$I$6,MATCH(RAB!C58,'HARGA SATUAN'!$C$7:$C$1495,0),0))</f>
        <v>0</v>
      </c>
      <c r="H58" s="308">
        <f t="shared" ca="1" si="17"/>
        <v>0</v>
      </c>
      <c r="I58" s="308">
        <f t="shared" ca="1" si="18"/>
        <v>0</v>
      </c>
      <c r="J58" s="308">
        <f t="shared" ca="1" si="19"/>
        <v>0</v>
      </c>
      <c r="K58" s="309">
        <f t="shared" ca="1" si="20"/>
        <v>0</v>
      </c>
      <c r="L58" s="316"/>
      <c r="M58" s="289" t="str">
        <f t="shared" ca="1" si="21"/>
        <v/>
      </c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 hidden="1">
      <c r="A59" s="283"/>
      <c r="B59" s="486"/>
      <c r="C59" s="487"/>
      <c r="D59" s="305" t="str">
        <f ca="1">IF(ISERROR(OFFSET('HARGA SATUAN'!$D$6,MATCH(RAB!C59,'HARGA SATUAN'!$C$7:$C$1495,0),0)),"",OFFSET('HARGA SATUAN'!$D$6,MATCH(RAB!C59,'HARGA SATUAN'!$C$7:$C$1495,0),0))</f>
        <v/>
      </c>
      <c r="E59" s="306" t="str">
        <f ca="1">IF(B59="+","Unit",IF(ISERROR(OFFSET('HARGA SATUAN'!$E$6,MATCH(RAB!C59,'HARGA SATUAN'!$C$7:$C$1495,0),0)),"",OFFSET('HARGA SATUAN'!$E$6,MATCH(RAB!C59,'HARGA SATUAN'!$C$7:$C$1495,0),0)))</f>
        <v/>
      </c>
      <c r="F59" s="492"/>
      <c r="G59" s="307">
        <f ca="1">IF(ISERROR(OFFSET('HARGA SATUAN'!$I$6,MATCH(RAB!C59,'HARGA SATUAN'!$C$7:$C$1495,0),0)),0,OFFSET('HARGA SATUAN'!$I$6,MATCH(RAB!C59,'HARGA SATUAN'!$C$7:$C$1495,0),0))</f>
        <v>0</v>
      </c>
      <c r="H59" s="308">
        <f t="shared" ca="1" si="17"/>
        <v>0</v>
      </c>
      <c r="I59" s="308">
        <f t="shared" ca="1" si="18"/>
        <v>0</v>
      </c>
      <c r="J59" s="308">
        <f t="shared" ca="1" si="19"/>
        <v>0</v>
      </c>
      <c r="K59" s="309">
        <f t="shared" ca="1" si="20"/>
        <v>0</v>
      </c>
      <c r="L59" s="316"/>
      <c r="M59" s="289" t="str">
        <f t="shared" ca="1" si="21"/>
        <v/>
      </c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 hidden="1">
      <c r="A60" s="283"/>
      <c r="B60" s="486"/>
      <c r="C60" s="487"/>
      <c r="D60" s="305" t="str">
        <f ca="1">IF(ISERROR(OFFSET('HARGA SATUAN'!$D$6,MATCH(RAB!C60,'HARGA SATUAN'!$C$7:$C$1495,0),0)),"",OFFSET('HARGA SATUAN'!$D$6,MATCH(RAB!C60,'HARGA SATUAN'!$C$7:$C$1495,0),0))</f>
        <v/>
      </c>
      <c r="E60" s="306" t="str">
        <f ca="1">IF(B60="+","Unit",IF(ISERROR(OFFSET('HARGA SATUAN'!$E$6,MATCH(RAB!C60,'HARGA SATUAN'!$C$7:$C$1495,0),0)),"",OFFSET('HARGA SATUAN'!$E$6,MATCH(RAB!C60,'HARGA SATUAN'!$C$7:$C$1495,0),0)))</f>
        <v/>
      </c>
      <c r="F60" s="492"/>
      <c r="G60" s="307">
        <f ca="1">IF(ISERROR(OFFSET('HARGA SATUAN'!$I$6,MATCH(RAB!C60,'HARGA SATUAN'!$C$7:$C$1495,0),0)),0,OFFSET('HARGA SATUAN'!$I$6,MATCH(RAB!C60,'HARGA SATUAN'!$C$7:$C$1495,0),0))</f>
        <v>0</v>
      </c>
      <c r="H60" s="308">
        <f t="shared" ca="1" si="17"/>
        <v>0</v>
      </c>
      <c r="I60" s="308">
        <f t="shared" ca="1" si="18"/>
        <v>0</v>
      </c>
      <c r="J60" s="308">
        <f t="shared" ca="1" si="19"/>
        <v>0</v>
      </c>
      <c r="K60" s="309">
        <f t="shared" ca="1" si="20"/>
        <v>0</v>
      </c>
      <c r="L60" s="316"/>
      <c r="M60" s="289" t="str">
        <f t="shared" ca="1" si="21"/>
        <v/>
      </c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 hidden="1">
      <c r="A61" s="283"/>
      <c r="B61" s="486"/>
      <c r="C61" s="487"/>
      <c r="D61" s="305" t="str">
        <f ca="1">IF(ISERROR(OFFSET('HARGA SATUAN'!$D$6,MATCH(RAB!C61,'HARGA SATUAN'!$C$7:$C$1495,0),0)),"",OFFSET('HARGA SATUAN'!$D$6,MATCH(RAB!C61,'HARGA SATUAN'!$C$7:$C$1495,0),0))</f>
        <v/>
      </c>
      <c r="E61" s="306" t="str">
        <f ca="1">IF(B61="+","Unit",IF(ISERROR(OFFSET('HARGA SATUAN'!$E$6,MATCH(RAB!C61,'HARGA SATUAN'!$C$7:$C$1495,0),0)),"",OFFSET('HARGA SATUAN'!$E$6,MATCH(RAB!C61,'HARGA SATUAN'!$C$7:$C$1495,0),0)))</f>
        <v/>
      </c>
      <c r="F61" s="492"/>
      <c r="G61" s="307">
        <f ca="1">IF(ISERROR(OFFSET('HARGA SATUAN'!$I$6,MATCH(RAB!C61,'HARGA SATUAN'!$C$7:$C$1495,0),0)),0,OFFSET('HARGA SATUAN'!$I$6,MATCH(RAB!C61,'HARGA SATUAN'!$C$7:$C$1495,0),0))</f>
        <v>0</v>
      </c>
      <c r="H61" s="308">
        <f t="shared" ca="1" si="17"/>
        <v>0</v>
      </c>
      <c r="I61" s="308">
        <f t="shared" ca="1" si="18"/>
        <v>0</v>
      </c>
      <c r="J61" s="308">
        <f t="shared" ca="1" si="19"/>
        <v>0</v>
      </c>
      <c r="K61" s="309">
        <f t="shared" ca="1" si="20"/>
        <v>0</v>
      </c>
      <c r="L61" s="316"/>
      <c r="M61" s="289" t="str">
        <f t="shared" ca="1" si="21"/>
        <v/>
      </c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 hidden="1">
      <c r="A62" s="283"/>
      <c r="B62" s="486"/>
      <c r="C62" s="487"/>
      <c r="D62" s="305" t="str">
        <f ca="1">IF(ISERROR(OFFSET('HARGA SATUAN'!$D$6,MATCH(RAB!C62,'HARGA SATUAN'!$C$7:$C$1495,0),0)),"",OFFSET('HARGA SATUAN'!$D$6,MATCH(RAB!C62,'HARGA SATUAN'!$C$7:$C$1495,0),0))</f>
        <v/>
      </c>
      <c r="E62" s="306" t="str">
        <f ca="1">IF(B62="+","Unit",IF(ISERROR(OFFSET('HARGA SATUAN'!$E$6,MATCH(RAB!C62,'HARGA SATUAN'!$C$7:$C$1495,0),0)),"",OFFSET('HARGA SATUAN'!$E$6,MATCH(RAB!C62,'HARGA SATUAN'!$C$7:$C$1495,0),0)))</f>
        <v/>
      </c>
      <c r="F62" s="492"/>
      <c r="G62" s="307">
        <f ca="1">IF(ISERROR(OFFSET('HARGA SATUAN'!$I$6,MATCH(RAB!C62,'HARGA SATUAN'!$C$7:$C$1495,0),0)),0,OFFSET('HARGA SATUAN'!$I$6,MATCH(RAB!C62,'HARGA SATUAN'!$C$7:$C$1495,0),0))</f>
        <v>0</v>
      </c>
      <c r="H62" s="308">
        <f t="shared" ca="1" si="17"/>
        <v>0</v>
      </c>
      <c r="I62" s="308">
        <f t="shared" ca="1" si="18"/>
        <v>0</v>
      </c>
      <c r="J62" s="308">
        <f t="shared" ca="1" si="19"/>
        <v>0</v>
      </c>
      <c r="K62" s="309">
        <f t="shared" ca="1" si="20"/>
        <v>0</v>
      </c>
      <c r="L62" s="316"/>
      <c r="M62" s="289" t="str">
        <f t="shared" ca="1" si="21"/>
        <v/>
      </c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 hidden="1">
      <c r="A63" s="283"/>
      <c r="B63" s="486"/>
      <c r="C63" s="487"/>
      <c r="D63" s="305" t="str">
        <f ca="1">IF(ISERROR(OFFSET('HARGA SATUAN'!$D$6,MATCH(RAB!C63,'HARGA SATUAN'!$C$7:$C$1495,0),0)),"",OFFSET('HARGA SATUAN'!$D$6,MATCH(RAB!C63,'HARGA SATUAN'!$C$7:$C$1495,0),0))</f>
        <v/>
      </c>
      <c r="E63" s="306" t="str">
        <f ca="1">IF(B63="+","Unit",IF(ISERROR(OFFSET('HARGA SATUAN'!$E$6,MATCH(RAB!C63,'HARGA SATUAN'!$C$7:$C$1495,0),0)),"",OFFSET('HARGA SATUAN'!$E$6,MATCH(RAB!C63,'HARGA SATUAN'!$C$7:$C$1495,0),0)))</f>
        <v/>
      </c>
      <c r="F63" s="492"/>
      <c r="G63" s="307">
        <f ca="1">IF(ISERROR(OFFSET('HARGA SATUAN'!$I$6,MATCH(RAB!C63,'HARGA SATUAN'!$C$7:$C$1495,0),0)),0,OFFSET('HARGA SATUAN'!$I$6,MATCH(RAB!C63,'HARGA SATUAN'!$C$7:$C$1495,0),0))</f>
        <v>0</v>
      </c>
      <c r="H63" s="308">
        <f t="shared" ca="1" si="17"/>
        <v>0</v>
      </c>
      <c r="I63" s="308">
        <f t="shared" ca="1" si="18"/>
        <v>0</v>
      </c>
      <c r="J63" s="308">
        <f t="shared" ca="1" si="19"/>
        <v>0</v>
      </c>
      <c r="K63" s="309">
        <f t="shared" ca="1" si="20"/>
        <v>0</v>
      </c>
      <c r="L63" s="316"/>
      <c r="M63" s="289" t="str">
        <f t="shared" ca="1" si="21"/>
        <v/>
      </c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 hidden="1">
      <c r="A64" s="283"/>
      <c r="B64" s="486"/>
      <c r="C64" s="487"/>
      <c r="D64" s="305" t="str">
        <f ca="1">IF(ISERROR(OFFSET('HARGA SATUAN'!$D$6,MATCH(RAB!C64,'HARGA SATUAN'!$C$7:$C$1495,0),0)),"",OFFSET('HARGA SATUAN'!$D$6,MATCH(RAB!C64,'HARGA SATUAN'!$C$7:$C$1495,0),0))</f>
        <v/>
      </c>
      <c r="E64" s="306" t="str">
        <f ca="1">IF(B64="+","Unit",IF(ISERROR(OFFSET('HARGA SATUAN'!$E$6,MATCH(RAB!C64,'HARGA SATUAN'!$C$7:$C$1495,0),0)),"",OFFSET('HARGA SATUAN'!$E$6,MATCH(RAB!C64,'HARGA SATUAN'!$C$7:$C$1495,0),0)))</f>
        <v/>
      </c>
      <c r="F64" s="492"/>
      <c r="G64" s="307">
        <f ca="1">IF(ISERROR(OFFSET('HARGA SATUAN'!$I$6,MATCH(RAB!C64,'HARGA SATUAN'!$C$7:$C$1495,0),0)),0,OFFSET('HARGA SATUAN'!$I$6,MATCH(RAB!C64,'HARGA SATUAN'!$C$7:$C$1495,0),0))</f>
        <v>0</v>
      </c>
      <c r="H64" s="308">
        <f t="shared" ca="1" si="17"/>
        <v>0</v>
      </c>
      <c r="I64" s="308">
        <f t="shared" ca="1" si="18"/>
        <v>0</v>
      </c>
      <c r="J64" s="308">
        <f t="shared" ca="1" si="19"/>
        <v>0</v>
      </c>
      <c r="K64" s="309">
        <f t="shared" ca="1" si="20"/>
        <v>0</v>
      </c>
      <c r="L64" s="316"/>
      <c r="M64" s="289" t="str">
        <f t="shared" ca="1" si="21"/>
        <v/>
      </c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 hidden="1">
      <c r="A65" s="283"/>
      <c r="B65" s="486"/>
      <c r="C65" s="487"/>
      <c r="D65" s="305" t="str">
        <f ca="1">IF(ISERROR(OFFSET('HARGA SATUAN'!$D$6,MATCH(RAB!C65,'HARGA SATUAN'!$C$7:$C$1495,0),0)),"",OFFSET('HARGA SATUAN'!$D$6,MATCH(RAB!C65,'HARGA SATUAN'!$C$7:$C$1495,0),0))</f>
        <v/>
      </c>
      <c r="E65" s="306" t="str">
        <f ca="1">IF(B65="+","Unit",IF(ISERROR(OFFSET('HARGA SATUAN'!$E$6,MATCH(RAB!C65,'HARGA SATUAN'!$C$7:$C$1495,0),0)),"",OFFSET('HARGA SATUAN'!$E$6,MATCH(RAB!C65,'HARGA SATUAN'!$C$7:$C$1495,0),0)))</f>
        <v/>
      </c>
      <c r="F65" s="492"/>
      <c r="G65" s="307">
        <f ca="1">IF(ISERROR(OFFSET('HARGA SATUAN'!$I$6,MATCH(RAB!C65,'HARGA SATUAN'!$C$7:$C$1495,0),0)),0,OFFSET('HARGA SATUAN'!$I$6,MATCH(RAB!C65,'HARGA SATUAN'!$C$7:$C$1495,0),0))</f>
        <v>0</v>
      </c>
      <c r="H65" s="308">
        <f t="shared" ca="1" si="17"/>
        <v>0</v>
      </c>
      <c r="I65" s="308">
        <f t="shared" ca="1" si="18"/>
        <v>0</v>
      </c>
      <c r="J65" s="308">
        <f t="shared" ca="1" si="19"/>
        <v>0</v>
      </c>
      <c r="K65" s="309">
        <f t="shared" ca="1" si="20"/>
        <v>0</v>
      </c>
      <c r="L65" s="316"/>
      <c r="M65" s="289" t="str">
        <f t="shared" ca="1" si="21"/>
        <v/>
      </c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 hidden="1">
      <c r="A66" s="283"/>
      <c r="B66" s="486"/>
      <c r="C66" s="487"/>
      <c r="D66" s="305" t="str">
        <f ca="1">IF(ISERROR(OFFSET('HARGA SATUAN'!$D$6,MATCH(RAB!C66,'HARGA SATUAN'!$C$7:$C$1495,0),0)),"",OFFSET('HARGA SATUAN'!$D$6,MATCH(RAB!C66,'HARGA SATUAN'!$C$7:$C$1495,0),0))</f>
        <v/>
      </c>
      <c r="E66" s="306" t="str">
        <f ca="1">IF(B66="+","Unit",IF(ISERROR(OFFSET('HARGA SATUAN'!$E$6,MATCH(RAB!C66,'HARGA SATUAN'!$C$7:$C$1495,0),0)),"",OFFSET('HARGA SATUAN'!$E$6,MATCH(RAB!C66,'HARGA SATUAN'!$C$7:$C$1495,0),0)))</f>
        <v/>
      </c>
      <c r="F66" s="492"/>
      <c r="G66" s="307">
        <f ca="1">IF(ISERROR(OFFSET('HARGA SATUAN'!$I$6,MATCH(RAB!C66,'HARGA SATUAN'!$C$7:$C$1495,0),0)),0,OFFSET('HARGA SATUAN'!$I$6,MATCH(RAB!C66,'HARGA SATUAN'!$C$7:$C$1495,0),0))</f>
        <v>0</v>
      </c>
      <c r="H66" s="308">
        <f t="shared" ca="1" si="17"/>
        <v>0</v>
      </c>
      <c r="I66" s="308">
        <f t="shared" ca="1" si="18"/>
        <v>0</v>
      </c>
      <c r="J66" s="308">
        <f t="shared" ca="1" si="19"/>
        <v>0</v>
      </c>
      <c r="K66" s="309">
        <f t="shared" ca="1" si="20"/>
        <v>0</v>
      </c>
      <c r="L66" s="316"/>
      <c r="M66" s="289" t="str">
        <f t="shared" ca="1" si="21"/>
        <v/>
      </c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 hidden="1">
      <c r="A67" s="283"/>
      <c r="B67" s="486"/>
      <c r="C67" s="487"/>
      <c r="D67" s="305" t="str">
        <f ca="1">IF(ISERROR(OFFSET('HARGA SATUAN'!$D$6,MATCH(RAB!C67,'HARGA SATUAN'!$C$7:$C$1495,0),0)),"",OFFSET('HARGA SATUAN'!$D$6,MATCH(RAB!C67,'HARGA SATUAN'!$C$7:$C$1495,0),0))</f>
        <v/>
      </c>
      <c r="E67" s="306" t="str">
        <f ca="1">IF(B67="+","Unit",IF(ISERROR(OFFSET('HARGA SATUAN'!$E$6,MATCH(RAB!C67,'HARGA SATUAN'!$C$7:$C$1495,0),0)),"",OFFSET('HARGA SATUAN'!$E$6,MATCH(RAB!C67,'HARGA SATUAN'!$C$7:$C$1495,0),0)))</f>
        <v/>
      </c>
      <c r="F67" s="492"/>
      <c r="G67" s="307">
        <f ca="1">IF(ISERROR(OFFSET('HARGA SATUAN'!$I$6,MATCH(RAB!C67,'HARGA SATUAN'!$C$7:$C$1495,0),0)),0,OFFSET('HARGA SATUAN'!$I$6,MATCH(RAB!C67,'HARGA SATUAN'!$C$7:$C$1495,0),0))</f>
        <v>0</v>
      </c>
      <c r="H67" s="308">
        <f t="shared" ca="1" si="17"/>
        <v>0</v>
      </c>
      <c r="I67" s="308">
        <f t="shared" ca="1" si="18"/>
        <v>0</v>
      </c>
      <c r="J67" s="308">
        <f t="shared" ca="1" si="19"/>
        <v>0</v>
      </c>
      <c r="K67" s="309">
        <f t="shared" ca="1" si="20"/>
        <v>0</v>
      </c>
      <c r="L67" s="316"/>
      <c r="M67" s="289" t="str">
        <f t="shared" ca="1" si="21"/>
        <v/>
      </c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 hidden="1">
      <c r="A68" s="283"/>
      <c r="B68" s="486"/>
      <c r="C68" s="487"/>
      <c r="D68" s="305" t="str">
        <f ca="1">IF(ISERROR(OFFSET('HARGA SATUAN'!$D$6,MATCH(RAB!C68,'HARGA SATUAN'!$C$7:$C$1495,0),0)),"",OFFSET('HARGA SATUAN'!$D$6,MATCH(RAB!C68,'HARGA SATUAN'!$C$7:$C$1495,0),0))</f>
        <v/>
      </c>
      <c r="E68" s="306" t="str">
        <f ca="1">IF(B68="+","Unit",IF(ISERROR(OFFSET('HARGA SATUAN'!$E$6,MATCH(RAB!C68,'HARGA SATUAN'!$C$7:$C$1495,0),0)),"",OFFSET('HARGA SATUAN'!$E$6,MATCH(RAB!C68,'HARGA SATUAN'!$C$7:$C$1495,0),0)))</f>
        <v/>
      </c>
      <c r="F68" s="492"/>
      <c r="G68" s="307">
        <f ca="1">IF(ISERROR(OFFSET('HARGA SATUAN'!$I$6,MATCH(RAB!C68,'HARGA SATUAN'!$C$7:$C$1495,0),0)),0,OFFSET('HARGA SATUAN'!$I$6,MATCH(RAB!C68,'HARGA SATUAN'!$C$7:$C$1495,0),0))</f>
        <v>0</v>
      </c>
      <c r="H68" s="308">
        <f t="shared" ca="1" si="17"/>
        <v>0</v>
      </c>
      <c r="I68" s="308">
        <f t="shared" ca="1" si="18"/>
        <v>0</v>
      </c>
      <c r="J68" s="308">
        <f t="shared" ca="1" si="19"/>
        <v>0</v>
      </c>
      <c r="K68" s="309">
        <f t="shared" ca="1" si="20"/>
        <v>0</v>
      </c>
      <c r="L68" s="316"/>
      <c r="M68" s="289" t="str">
        <f t="shared" ca="1" si="21"/>
        <v/>
      </c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 hidden="1">
      <c r="A69" s="283"/>
      <c r="B69" s="486"/>
      <c r="C69" s="487"/>
      <c r="D69" s="305" t="str">
        <f ca="1">IF(ISERROR(OFFSET('HARGA SATUAN'!$D$6,MATCH(RAB!C69,'HARGA SATUAN'!$C$7:$C$1495,0),0)),"",OFFSET('HARGA SATUAN'!$D$6,MATCH(RAB!C69,'HARGA SATUAN'!$C$7:$C$1495,0),0))</f>
        <v/>
      </c>
      <c r="E69" s="306" t="str">
        <f ca="1">IF(B69="+","Unit",IF(ISERROR(OFFSET('HARGA SATUAN'!$E$6,MATCH(RAB!C69,'HARGA SATUAN'!$C$7:$C$1495,0),0)),"",OFFSET('HARGA SATUAN'!$E$6,MATCH(RAB!C69,'HARGA SATUAN'!$C$7:$C$1495,0),0)))</f>
        <v/>
      </c>
      <c r="F69" s="492"/>
      <c r="G69" s="307">
        <f ca="1">IF(ISERROR(OFFSET('HARGA SATUAN'!$I$6,MATCH(RAB!C69,'HARGA SATUAN'!$C$7:$C$1495,0),0)),0,OFFSET('HARGA SATUAN'!$I$6,MATCH(RAB!C69,'HARGA SATUAN'!$C$7:$C$1495,0),0))</f>
        <v>0</v>
      </c>
      <c r="H69" s="308">
        <f t="shared" ca="1" si="17"/>
        <v>0</v>
      </c>
      <c r="I69" s="308">
        <f t="shared" ca="1" si="18"/>
        <v>0</v>
      </c>
      <c r="J69" s="308">
        <f t="shared" ca="1" si="19"/>
        <v>0</v>
      </c>
      <c r="K69" s="309">
        <f t="shared" ca="1" si="20"/>
        <v>0</v>
      </c>
      <c r="L69" s="316"/>
      <c r="M69" s="289" t="str">
        <f t="shared" ca="1" si="21"/>
        <v/>
      </c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 hidden="1">
      <c r="A70" s="283"/>
      <c r="B70" s="486"/>
      <c r="C70" s="487"/>
      <c r="D70" s="305" t="str">
        <f ca="1">IF(ISERROR(OFFSET('HARGA SATUAN'!$D$6,MATCH(RAB!C70,'HARGA SATUAN'!$C$7:$C$1495,0),0)),"",OFFSET('HARGA SATUAN'!$D$6,MATCH(RAB!C70,'HARGA SATUAN'!$C$7:$C$1495,0),0))</f>
        <v/>
      </c>
      <c r="E70" s="306" t="str">
        <f ca="1">IF(B70="+","Unit",IF(ISERROR(OFFSET('HARGA SATUAN'!$E$6,MATCH(RAB!C70,'HARGA SATUAN'!$C$7:$C$1495,0),0)),"",OFFSET('HARGA SATUAN'!$E$6,MATCH(RAB!C70,'HARGA SATUAN'!$C$7:$C$1495,0),0)))</f>
        <v/>
      </c>
      <c r="F70" s="492"/>
      <c r="G70" s="307">
        <f ca="1">IF(ISERROR(OFFSET('HARGA SATUAN'!$I$6,MATCH(RAB!C70,'HARGA SATUAN'!$C$7:$C$1495,0),0)),0,OFFSET('HARGA SATUAN'!$I$6,MATCH(RAB!C70,'HARGA SATUAN'!$C$7:$C$1495,0),0))</f>
        <v>0</v>
      </c>
      <c r="H70" s="308">
        <f t="shared" ca="1" si="17"/>
        <v>0</v>
      </c>
      <c r="I70" s="308">
        <f t="shared" ca="1" si="18"/>
        <v>0</v>
      </c>
      <c r="J70" s="308">
        <f t="shared" ca="1" si="19"/>
        <v>0</v>
      </c>
      <c r="K70" s="309">
        <f t="shared" ca="1" si="20"/>
        <v>0</v>
      </c>
      <c r="L70" s="316"/>
      <c r="M70" s="289" t="str">
        <f t="shared" ca="1" si="21"/>
        <v/>
      </c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 hidden="1">
      <c r="A71" s="283"/>
      <c r="B71" s="486"/>
      <c r="C71" s="487"/>
      <c r="D71" s="305" t="str">
        <f ca="1">IF(ISERROR(OFFSET('HARGA SATUAN'!$D$6,MATCH(RAB!C71,'HARGA SATUAN'!$C$7:$C$1495,0),0)),"",OFFSET('HARGA SATUAN'!$D$6,MATCH(RAB!C71,'HARGA SATUAN'!$C$7:$C$1495,0),0))</f>
        <v/>
      </c>
      <c r="E71" s="306" t="str">
        <f ca="1">IF(B71="+","Unit",IF(ISERROR(OFFSET('HARGA SATUAN'!$E$6,MATCH(RAB!C71,'HARGA SATUAN'!$C$7:$C$1495,0),0)),"",OFFSET('HARGA SATUAN'!$E$6,MATCH(RAB!C71,'HARGA SATUAN'!$C$7:$C$1495,0),0)))</f>
        <v/>
      </c>
      <c r="F71" s="492"/>
      <c r="G71" s="307">
        <f ca="1">IF(ISERROR(OFFSET('HARGA SATUAN'!$I$6,MATCH(RAB!C71,'HARGA SATUAN'!$C$7:$C$1495,0),0)),0,OFFSET('HARGA SATUAN'!$I$6,MATCH(RAB!C71,'HARGA SATUAN'!$C$7:$C$1495,0),0))</f>
        <v>0</v>
      </c>
      <c r="H71" s="308">
        <f t="shared" ca="1" si="17"/>
        <v>0</v>
      </c>
      <c r="I71" s="308">
        <f t="shared" ca="1" si="18"/>
        <v>0</v>
      </c>
      <c r="J71" s="308">
        <f t="shared" ca="1" si="19"/>
        <v>0</v>
      </c>
      <c r="K71" s="309">
        <f t="shared" ca="1" si="20"/>
        <v>0</v>
      </c>
      <c r="L71" s="316"/>
      <c r="M71" s="289" t="str">
        <f t="shared" ca="1" si="21"/>
        <v/>
      </c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 hidden="1">
      <c r="A72" s="283"/>
      <c r="B72" s="486"/>
      <c r="C72" s="487"/>
      <c r="D72" s="305" t="str">
        <f ca="1">IF(ISERROR(OFFSET('HARGA SATUAN'!$D$6,MATCH(RAB!C72,'HARGA SATUAN'!$C$7:$C$1495,0),0)),"",OFFSET('HARGA SATUAN'!$D$6,MATCH(RAB!C72,'HARGA SATUAN'!$C$7:$C$1495,0),0))</f>
        <v/>
      </c>
      <c r="E72" s="306" t="str">
        <f ca="1">IF(B72="+","Unit",IF(ISERROR(OFFSET('HARGA SATUAN'!$E$6,MATCH(RAB!C72,'HARGA SATUAN'!$C$7:$C$1495,0),0)),"",OFFSET('HARGA SATUAN'!$E$6,MATCH(RAB!C72,'HARGA SATUAN'!$C$7:$C$1495,0),0)))</f>
        <v/>
      </c>
      <c r="F72" s="492"/>
      <c r="G72" s="307">
        <f ca="1">IF(ISERROR(OFFSET('HARGA SATUAN'!$I$6,MATCH(RAB!C72,'HARGA SATUAN'!$C$7:$C$1495,0),0)),0,OFFSET('HARGA SATUAN'!$I$6,MATCH(RAB!C72,'HARGA SATUAN'!$C$7:$C$1495,0),0))</f>
        <v>0</v>
      </c>
      <c r="H72" s="308">
        <f t="shared" ca="1" si="17"/>
        <v>0</v>
      </c>
      <c r="I72" s="308">
        <f t="shared" ca="1" si="18"/>
        <v>0</v>
      </c>
      <c r="J72" s="308">
        <f t="shared" ca="1" si="19"/>
        <v>0</v>
      </c>
      <c r="K72" s="309">
        <f t="shared" ca="1" si="20"/>
        <v>0</v>
      </c>
      <c r="L72" s="316"/>
      <c r="M72" s="289" t="str">
        <f t="shared" ca="1" si="21"/>
        <v/>
      </c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 s="317" customFormat="1" hidden="1">
      <c r="A73" s="283"/>
      <c r="B73" s="486"/>
      <c r="C73" s="487"/>
      <c r="D73" s="305" t="str">
        <f ca="1">IF(ISERROR(OFFSET('HARGA SATUAN'!$D$6,MATCH(RAB!C73,'HARGA SATUAN'!$C$7:$C$1495,0),0)),"",OFFSET('HARGA SATUAN'!$D$6,MATCH(RAB!C73,'HARGA SATUAN'!$C$7:$C$1495,0),0))</f>
        <v/>
      </c>
      <c r="E73" s="306" t="str">
        <f ca="1">IF(B73="+","Unit",IF(ISERROR(OFFSET('HARGA SATUAN'!$E$6,MATCH(RAB!C73,'HARGA SATUAN'!$C$7:$C$1495,0),0)),"",OFFSET('HARGA SATUAN'!$E$6,MATCH(RAB!C73,'HARGA SATUAN'!$C$7:$C$1495,0),0)))</f>
        <v/>
      </c>
      <c r="F73" s="492"/>
      <c r="G73" s="307">
        <f ca="1">IF(ISERROR(OFFSET('HARGA SATUAN'!$I$6,MATCH(RAB!C73,'HARGA SATUAN'!$C$7:$C$1495,0),0)),0,OFFSET('HARGA SATUAN'!$I$6,MATCH(RAB!C73,'HARGA SATUAN'!$C$7:$C$1495,0),0))</f>
        <v>0</v>
      </c>
      <c r="H73" s="308">
        <f t="shared" ca="1" si="17"/>
        <v>0</v>
      </c>
      <c r="I73" s="308">
        <f t="shared" ca="1" si="18"/>
        <v>0</v>
      </c>
      <c r="J73" s="308">
        <f t="shared" ca="1" si="19"/>
        <v>0</v>
      </c>
      <c r="K73" s="309">
        <f t="shared" ca="1" si="20"/>
        <v>0</v>
      </c>
      <c r="L73" s="316"/>
      <c r="M73" s="289" t="str">
        <f t="shared" ca="1" si="21"/>
        <v/>
      </c>
      <c r="N73" s="316"/>
      <c r="O73" s="310"/>
      <c r="P73" s="310"/>
      <c r="Q73" s="291"/>
      <c r="R73" s="283"/>
      <c r="S73" s="311"/>
      <c r="T73" s="288"/>
      <c r="U73" s="288"/>
      <c r="V73" s="288"/>
    </row>
    <row r="74" spans="1:22" s="317" customFormat="1" hidden="1">
      <c r="A74" s="283"/>
      <c r="B74" s="486"/>
      <c r="C74" s="487"/>
      <c r="D74" s="305" t="str">
        <f ca="1">IF(ISERROR(OFFSET('HARGA SATUAN'!$D$6,MATCH(RAB!C74,'HARGA SATUAN'!$C$7:$C$1495,0),0)),"",OFFSET('HARGA SATUAN'!$D$6,MATCH(RAB!C74,'HARGA SATUAN'!$C$7:$C$1495,0),0))</f>
        <v/>
      </c>
      <c r="E74" s="306" t="str">
        <f ca="1">IF(B74="+","Unit",IF(ISERROR(OFFSET('HARGA SATUAN'!$E$6,MATCH(RAB!C74,'HARGA SATUAN'!$C$7:$C$1495,0),0)),"",OFFSET('HARGA SATUAN'!$E$6,MATCH(RAB!C74,'HARGA SATUAN'!$C$7:$C$1495,0),0)))</f>
        <v/>
      </c>
      <c r="F74" s="492"/>
      <c r="G74" s="307">
        <f ca="1">IF(ISERROR(OFFSET('HARGA SATUAN'!$I$6,MATCH(RAB!C74,'HARGA SATUAN'!$C$7:$C$1495,0),0)),0,OFFSET('HARGA SATUAN'!$I$6,MATCH(RAB!C74,'HARGA SATUAN'!$C$7:$C$1495,0),0))</f>
        <v>0</v>
      </c>
      <c r="H74" s="308">
        <f t="shared" ca="1" si="17"/>
        <v>0</v>
      </c>
      <c r="I74" s="308">
        <f t="shared" ca="1" si="18"/>
        <v>0</v>
      </c>
      <c r="J74" s="308">
        <f t="shared" ca="1" si="19"/>
        <v>0</v>
      </c>
      <c r="K74" s="309">
        <f t="shared" ca="1" si="20"/>
        <v>0</v>
      </c>
      <c r="L74" s="316"/>
      <c r="M74" s="289" t="str">
        <f t="shared" ca="1" si="21"/>
        <v/>
      </c>
      <c r="N74" s="316"/>
      <c r="O74" s="310"/>
      <c r="P74" s="310"/>
      <c r="Q74" s="291"/>
      <c r="R74" s="283"/>
      <c r="S74" s="311"/>
      <c r="T74" s="288"/>
      <c r="U74" s="288"/>
      <c r="V74" s="288"/>
    </row>
    <row r="75" spans="1:22" s="317" customFormat="1">
      <c r="A75" s="283"/>
      <c r="B75" s="418" t="s">
        <v>1602</v>
      </c>
      <c r="C75" s="421" t="s">
        <v>1604</v>
      </c>
      <c r="D75" s="305" t="str">
        <f ca="1">IF(ISERROR(OFFSET('HARGA SATUAN'!$D$6,MATCH(RAB!C75,'HARGA SATUAN'!$C$7:$C$1495,0),0)),"",OFFSET('HARGA SATUAN'!$D$6,MATCH(RAB!C75,'HARGA SATUAN'!$C$7:$C$1495,0),0))</f>
        <v/>
      </c>
      <c r="E75" s="306" t="str">
        <f ca="1">IF(B75="+","Unit",IF(ISERROR(OFFSET('HARGA SATUAN'!$E$6,MATCH(RAB!C75,'HARGA SATUAN'!$C$7:$C$1495,0),0)),"",OFFSET('HARGA SATUAN'!$E$6,MATCH(RAB!C75,'HARGA SATUAN'!$C$7:$C$1495,0),0)))</f>
        <v/>
      </c>
      <c r="F75" s="493"/>
      <c r="G75" s="307">
        <f ca="1">IF(ISERROR(OFFSET('HARGA SATUAN'!$I$6,MATCH(RAB!C75,'HARGA SATUAN'!$C$7:$C$1495,0),0)),0,OFFSET('HARGA SATUAN'!$I$6,MATCH(RAB!C75,'HARGA SATUAN'!$C$7:$C$1495,0),0))</f>
        <v>0</v>
      </c>
      <c r="H75" s="308">
        <f t="shared" ca="1" si="17"/>
        <v>0</v>
      </c>
      <c r="I75" s="308">
        <f t="shared" ca="1" si="18"/>
        <v>0</v>
      </c>
      <c r="J75" s="308">
        <f t="shared" ca="1" si="19"/>
        <v>0</v>
      </c>
      <c r="K75" s="309">
        <f t="shared" ca="1" si="20"/>
        <v>0</v>
      </c>
      <c r="L75" s="316"/>
      <c r="M75" s="289" t="str">
        <f t="shared" ca="1" si="21"/>
        <v/>
      </c>
      <c r="N75" s="316"/>
      <c r="O75" s="310"/>
      <c r="P75" s="310"/>
      <c r="Q75" s="291"/>
      <c r="R75" s="283"/>
      <c r="S75" s="311"/>
      <c r="T75" s="288"/>
      <c r="U75" s="288"/>
      <c r="V75" s="288"/>
    </row>
    <row r="76" spans="1:22" s="317" customFormat="1">
      <c r="A76" s="283"/>
      <c r="B76" s="318">
        <v>1</v>
      </c>
      <c r="C76" s="109" t="s">
        <v>1457</v>
      </c>
      <c r="D76" s="305" t="str">
        <f ca="1">IF(ISERROR(OFFSET('HARGA SATUAN'!$D$6,MATCH(RAB!C76,'HARGA SATUAN'!$C$7:$C$1495,0),0)),"",OFFSET('HARGA SATUAN'!$D$6,MATCH(RAB!C76,'HARGA SATUAN'!$C$7:$C$1495,0),0))</f>
        <v>MDU-KD</v>
      </c>
      <c r="E76" s="306" t="str">
        <f ca="1">IF(B76="+","Unit",IF(ISERROR(OFFSET('HARGA SATUAN'!$E$6,MATCH(RAB!C76,'HARGA SATUAN'!$C$7:$C$1495,0),0)),"",OFFSET('HARGA SATUAN'!$E$6,MATCH(RAB!C76,'HARGA SATUAN'!$C$7:$C$1495,0),0)))</f>
        <v>Mtr</v>
      </c>
      <c r="F76" s="526">
        <v>120</v>
      </c>
      <c r="G76" s="307">
        <f ca="1">IF(ISERROR(OFFSET('HARGA SATUAN'!$I$6,MATCH(RAB!C76,'HARGA SATUAN'!$C$7:$C$1495,0),0)),0,OFFSET('HARGA SATUAN'!$I$6,MATCH(RAB!C76,'HARGA SATUAN'!$C$7:$C$1495,0),0))</f>
        <v>54500</v>
      </c>
      <c r="H76" s="308">
        <f t="shared" ref="H76" ca="1" si="22">IF(OR(D76="MDU",D76="MDU-KD"),(IF($O$3="RAB NON MDU","PLN KD",G76*F76)),0)</f>
        <v>6540000</v>
      </c>
      <c r="I76" s="308">
        <f t="shared" ref="I76" ca="1" si="23">IF(D76="HDW",G76*F76,0)</f>
        <v>0</v>
      </c>
      <c r="J76" s="308">
        <f t="shared" ref="J76" ca="1" si="24">IF(D76="JASA",G76*F76,0)</f>
        <v>0</v>
      </c>
      <c r="K76" s="309">
        <f t="shared" ref="K76" ca="1" si="25">SUM(H76:J76)</f>
        <v>6540000</v>
      </c>
      <c r="L76" s="316"/>
      <c r="M76" s="289"/>
      <c r="N76" s="316"/>
      <c r="O76" s="310"/>
      <c r="P76" s="310"/>
      <c r="Q76" s="291"/>
      <c r="R76" s="283"/>
      <c r="S76" s="311"/>
      <c r="T76" s="288"/>
      <c r="U76" s="288"/>
      <c r="V76" s="288"/>
    </row>
    <row r="77" spans="1:22" s="317" customFormat="1">
      <c r="A77" s="283"/>
      <c r="B77" s="318">
        <v>2</v>
      </c>
      <c r="C77" s="109" t="s">
        <v>346</v>
      </c>
      <c r="D77" s="305" t="str">
        <f ca="1">IF(ISERROR(OFFSET('HARGA SATUAN'!$D$6,MATCH(RAB!C77,'HARGA SATUAN'!$C$7:$C$1495,0),0)),"",OFFSET('HARGA SATUAN'!$D$6,MATCH(RAB!C77,'HARGA SATUAN'!$C$7:$C$1495,0),0))</f>
        <v>JASA</v>
      </c>
      <c r="E77" s="306" t="str">
        <f ca="1">IF(B77="+","Unit",IF(ISERROR(OFFSET('HARGA SATUAN'!$E$6,MATCH(RAB!C77,'HARGA SATUAN'!$C$7:$C$1495,0),0)),"",OFFSET('HARGA SATUAN'!$E$6,MATCH(RAB!C77,'HARGA SATUAN'!$C$7:$C$1495,0),0)))</f>
        <v>Per 50 m</v>
      </c>
      <c r="F77" s="491">
        <v>2.4</v>
      </c>
      <c r="G77" s="307">
        <f ca="1">IF(ISERROR(OFFSET('HARGA SATUAN'!$I$6,MATCH(RAB!C77,'HARGA SATUAN'!$C$7:$C$1495,0),0)),0,OFFSET('HARGA SATUAN'!$I$6,MATCH(RAB!C77,'HARGA SATUAN'!$C$7:$C$1495,0),0))</f>
        <v>223500</v>
      </c>
      <c r="H77" s="308">
        <f t="shared" ref="H77:H95" ca="1" si="26">IF(OR(D77="MDU",D77="MDU-KD"),(IF($O$3="RAB NON MDU","PLN KD",G77*F77)),0)</f>
        <v>0</v>
      </c>
      <c r="I77" s="308">
        <f t="shared" ref="I77:I95" ca="1" si="27">IF(D77="HDW",G77*F77,0)</f>
        <v>0</v>
      </c>
      <c r="J77" s="308">
        <f t="shared" ref="J77:J95" ca="1" si="28">IF(D77="JASA",G77*F77,0)</f>
        <v>536400</v>
      </c>
      <c r="K77" s="309">
        <f t="shared" ref="K77:K95" ca="1" si="29">SUM(H77:J77)</f>
        <v>536400</v>
      </c>
      <c r="L77" s="316"/>
      <c r="M77" s="289" t="e">
        <f>IF(AND(F77&gt;0,#REF!=0),"",IF(AND(ISBLANK(F77)=FALSE,K77=0),"WARNING",""))</f>
        <v>#REF!</v>
      </c>
      <c r="N77" s="316"/>
      <c r="O77" s="310"/>
      <c r="P77" s="310"/>
      <c r="Q77" s="291"/>
      <c r="R77" s="283"/>
      <c r="S77" s="311"/>
      <c r="T77" s="288"/>
      <c r="U77" s="288"/>
      <c r="V77" s="288"/>
    </row>
    <row r="78" spans="1:22" s="317" customFormat="1">
      <c r="A78" s="283"/>
      <c r="B78" s="418" t="s">
        <v>1610</v>
      </c>
      <c r="C78" s="421" t="s">
        <v>1606</v>
      </c>
      <c r="D78" s="305" t="str">
        <f ca="1">IF(ISERROR(OFFSET('HARGA SATUAN'!$D$6,MATCH(RAB!C78,'HARGA SATUAN'!$C$7:$C$1495,0),0)),"",OFFSET('HARGA SATUAN'!$D$6,MATCH(RAB!C78,'HARGA SATUAN'!$C$7:$C$1495,0),0))</f>
        <v/>
      </c>
      <c r="E78" s="306" t="str">
        <f ca="1">IF(B78="+","Unit",IF(ISERROR(OFFSET('HARGA SATUAN'!$E$6,MATCH(RAB!C78,'HARGA SATUAN'!$C$7:$C$1495,0),0)),"",OFFSET('HARGA SATUAN'!$E$6,MATCH(RAB!C78,'HARGA SATUAN'!$C$7:$C$1495,0),0)))</f>
        <v/>
      </c>
      <c r="F78" s="494"/>
      <c r="G78" s="307">
        <f ca="1">IF(ISERROR(OFFSET('HARGA SATUAN'!$I$6,MATCH(RAB!C78,'HARGA SATUAN'!$C$7:$C$1495,0),0)),0,OFFSET('HARGA SATUAN'!$I$6,MATCH(RAB!C78,'HARGA SATUAN'!$C$7:$C$1495,0),0))</f>
        <v>0</v>
      </c>
      <c r="H78" s="308">
        <f t="shared" ca="1" si="26"/>
        <v>0</v>
      </c>
      <c r="I78" s="308">
        <f t="shared" ca="1" si="27"/>
        <v>0</v>
      </c>
      <c r="J78" s="308">
        <f t="shared" ca="1" si="28"/>
        <v>0</v>
      </c>
      <c r="K78" s="309">
        <f t="shared" ca="1" si="29"/>
        <v>0</v>
      </c>
      <c r="L78" s="316"/>
      <c r="M78" s="289" t="str">
        <f t="shared" ca="1" si="21"/>
        <v/>
      </c>
      <c r="N78" s="316"/>
      <c r="O78" s="310"/>
      <c r="P78" s="310"/>
      <c r="Q78" s="291"/>
      <c r="R78" s="283"/>
      <c r="S78" s="311"/>
      <c r="T78" s="288"/>
      <c r="U78" s="288"/>
      <c r="V78" s="288"/>
    </row>
    <row r="79" spans="1:22" s="317" customFormat="1">
      <c r="A79" s="283"/>
      <c r="B79" s="489" t="s">
        <v>1035</v>
      </c>
      <c r="C79" s="517" t="s">
        <v>1643</v>
      </c>
      <c r="D79" s="305" t="str">
        <f ca="1">IF(ISERROR(OFFSET('HARGA SATUAN'!$D$6,MATCH(RAB!C79,'HARGA SATUAN'!$C$7:$C$1495,0),0)),"",OFFSET('HARGA SATUAN'!$D$6,MATCH(RAB!C79,'HARGA SATUAN'!$C$7:$C$1495,0),0))</f>
        <v/>
      </c>
      <c r="E79" s="306" t="str">
        <f ca="1">IF(B79="+","Unit",IF(ISERROR(OFFSET('HARGA SATUAN'!$E$6,MATCH(RAB!C79,'HARGA SATUAN'!$C$7:$C$1495,0),0)),"",OFFSET('HARGA SATUAN'!$E$6,MATCH(RAB!C79,'HARGA SATUAN'!$C$7:$C$1495,0),0)))</f>
        <v>Unit</v>
      </c>
      <c r="F79" s="731">
        <v>1</v>
      </c>
      <c r="G79" s="307">
        <f ca="1">IF(ISERROR(OFFSET('HARGA SATUAN'!$I$6,MATCH(RAB!C79,'HARGA SATUAN'!$C$7:$C$1495,0),0)),0,OFFSET('HARGA SATUAN'!$I$6,MATCH(RAB!C79,'HARGA SATUAN'!$C$7:$C$1495,0),0))</f>
        <v>0</v>
      </c>
      <c r="H79" s="308">
        <f t="shared" ca="1" si="26"/>
        <v>0</v>
      </c>
      <c r="I79" s="308">
        <f t="shared" ca="1" si="27"/>
        <v>0</v>
      </c>
      <c r="J79" s="308">
        <f t="shared" ca="1" si="28"/>
        <v>0</v>
      </c>
      <c r="K79" s="309">
        <f t="shared" ca="1" si="29"/>
        <v>0</v>
      </c>
      <c r="L79" s="316"/>
      <c r="M79" s="289"/>
      <c r="N79" s="316"/>
      <c r="O79" s="310"/>
      <c r="P79" s="310"/>
      <c r="Q79" s="291"/>
      <c r="R79" s="283"/>
      <c r="S79" s="311"/>
      <c r="T79" s="288"/>
      <c r="U79" s="288"/>
      <c r="V79" s="288"/>
    </row>
    <row r="80" spans="1:22" s="317" customFormat="1" ht="30">
      <c r="A80" s="283"/>
      <c r="B80" s="729">
        <v>1</v>
      </c>
      <c r="C80" s="109" t="s">
        <v>1196</v>
      </c>
      <c r="D80" s="305" t="str">
        <f ca="1">IF(ISERROR(OFFSET('HARGA SATUAN'!$D$6,MATCH(RAB!C80,'HARGA SATUAN'!$C$7:$C$1495,0),0)),"",OFFSET('HARGA SATUAN'!$D$6,MATCH(RAB!C80,'HARGA SATUAN'!$C$7:$C$1495,0),0))</f>
        <v>MDU-KD</v>
      </c>
      <c r="E80" s="306" t="str">
        <f ca="1">IF(B80="+","Unit",IF(ISERROR(OFFSET('HARGA SATUAN'!$E$6,MATCH(RAB!C80,'HARGA SATUAN'!$C$7:$C$1495,0),0)),"",OFFSET('HARGA SATUAN'!$E$6,MATCH(RAB!C80,'HARGA SATUAN'!$C$7:$C$1495,0),0)))</f>
        <v>Bh</v>
      </c>
      <c r="F80" s="731">
        <f>F79*1</f>
        <v>1</v>
      </c>
      <c r="G80" s="307">
        <f ca="1">IF(ISERROR(OFFSET('HARGA SATUAN'!$I$6,MATCH(RAB!C80,'HARGA SATUAN'!$C$7:$C$1495,0),0)),0,OFFSET('HARGA SATUAN'!$I$6,MATCH(RAB!C80,'HARGA SATUAN'!$C$7:$C$1495,0),0))</f>
        <v>1427400</v>
      </c>
      <c r="H80" s="308">
        <f t="shared" ca="1" si="26"/>
        <v>1427400</v>
      </c>
      <c r="I80" s="308">
        <f t="shared" ca="1" si="27"/>
        <v>0</v>
      </c>
      <c r="J80" s="308">
        <f t="shared" ca="1" si="28"/>
        <v>0</v>
      </c>
      <c r="K80" s="309">
        <f t="shared" ca="1" si="29"/>
        <v>1427400</v>
      </c>
      <c r="L80" s="316"/>
      <c r="M80" s="289"/>
      <c r="N80" s="316"/>
      <c r="O80" s="310"/>
      <c r="P80" s="310"/>
      <c r="Q80" s="291"/>
      <c r="R80" s="283"/>
      <c r="S80" s="311"/>
      <c r="T80" s="288"/>
      <c r="U80" s="288"/>
      <c r="V80" s="288"/>
    </row>
    <row r="81" spans="1:22" s="317" customFormat="1">
      <c r="A81" s="283"/>
      <c r="B81" s="729">
        <v>2</v>
      </c>
      <c r="C81" s="730" t="s">
        <v>509</v>
      </c>
      <c r="D81" s="305" t="str">
        <f ca="1">IF(ISERROR(OFFSET('HARGA SATUAN'!$D$6,MATCH(RAB!C81,'HARGA SATUAN'!$C$7:$C$1495,0),0)),"",OFFSET('HARGA SATUAN'!$D$6,MATCH(RAB!C81,'HARGA SATUAN'!$C$7:$C$1495,0),0))</f>
        <v>MDU-KD</v>
      </c>
      <c r="E81" s="306" t="str">
        <f ca="1">IF(B81="+","Unit",IF(ISERROR(OFFSET('HARGA SATUAN'!$E$6,MATCH(RAB!C81,'HARGA SATUAN'!$C$7:$C$1495,0),0)),"",OFFSET('HARGA SATUAN'!$E$6,MATCH(RAB!C81,'HARGA SATUAN'!$C$7:$C$1495,0),0)))</f>
        <v>Unit</v>
      </c>
      <c r="F81" s="731">
        <f>F79*1</f>
        <v>1</v>
      </c>
      <c r="G81" s="307">
        <f ca="1">IF(ISERROR(OFFSET('HARGA SATUAN'!$I$6,MATCH(RAB!C81,'HARGA SATUAN'!$C$7:$C$1495,0),0)),0,OFFSET('HARGA SATUAN'!$I$6,MATCH(RAB!C81,'HARGA SATUAN'!$C$7:$C$1495,0),0))</f>
        <v>3564900</v>
      </c>
      <c r="H81" s="308">
        <f t="shared" ca="1" si="26"/>
        <v>3564900</v>
      </c>
      <c r="I81" s="308">
        <f t="shared" ca="1" si="27"/>
        <v>0</v>
      </c>
      <c r="J81" s="308">
        <f t="shared" ca="1" si="28"/>
        <v>0</v>
      </c>
      <c r="K81" s="309">
        <f t="shared" ca="1" si="29"/>
        <v>3564900</v>
      </c>
      <c r="L81" s="316"/>
      <c r="M81" s="289"/>
      <c r="N81" s="316"/>
      <c r="O81" s="310"/>
      <c r="P81" s="310"/>
      <c r="Q81" s="291"/>
      <c r="R81" s="283"/>
      <c r="S81" s="311"/>
      <c r="T81" s="288"/>
      <c r="U81" s="288"/>
      <c r="V81" s="288"/>
    </row>
    <row r="82" spans="1:22" s="317" customFormat="1">
      <c r="A82" s="283"/>
      <c r="B82" s="729">
        <v>3</v>
      </c>
      <c r="C82" s="730" t="s">
        <v>77</v>
      </c>
      <c r="D82" s="305" t="str">
        <f ca="1">IF(ISERROR(OFFSET('HARGA SATUAN'!$D$6,MATCH(RAB!C82,'HARGA SATUAN'!$C$7:$C$1495,0),0)),"",OFFSET('HARGA SATUAN'!$D$6,MATCH(RAB!C82,'HARGA SATUAN'!$C$7:$C$1495,0),0))</f>
        <v>MDU-KD</v>
      </c>
      <c r="E82" s="306" t="str">
        <f ca="1">IF(B82="+","Unit",IF(ISERROR(OFFSET('HARGA SATUAN'!$E$6,MATCH(RAB!C82,'HARGA SATUAN'!$C$7:$C$1495,0),0)),"",OFFSET('HARGA SATUAN'!$E$6,MATCH(RAB!C82,'HARGA SATUAN'!$C$7:$C$1495,0),0)))</f>
        <v>Mtr</v>
      </c>
      <c r="F82" s="731">
        <v>45</v>
      </c>
      <c r="G82" s="307">
        <f ca="1">IF(ISERROR(OFFSET('HARGA SATUAN'!$I$6,MATCH(RAB!C82,'HARGA SATUAN'!$C$7:$C$1495,0),0)),0,OFFSET('HARGA SATUAN'!$I$6,MATCH(RAB!C82,'HARGA SATUAN'!$C$7:$C$1495,0),0))</f>
        <v>13500</v>
      </c>
      <c r="H82" s="308">
        <f t="shared" ca="1" si="26"/>
        <v>607500</v>
      </c>
      <c r="I82" s="308">
        <f t="shared" ca="1" si="27"/>
        <v>0</v>
      </c>
      <c r="J82" s="308">
        <f t="shared" ca="1" si="28"/>
        <v>0</v>
      </c>
      <c r="K82" s="309">
        <f t="shared" ca="1" si="29"/>
        <v>607500</v>
      </c>
      <c r="L82" s="316"/>
      <c r="M82" s="289"/>
      <c r="N82" s="316"/>
      <c r="O82" s="310"/>
      <c r="P82" s="310"/>
      <c r="Q82" s="291"/>
      <c r="R82" s="283"/>
      <c r="S82" s="311"/>
      <c r="T82" s="288"/>
      <c r="U82" s="288"/>
      <c r="V82" s="288"/>
    </row>
    <row r="83" spans="1:22" s="317" customFormat="1">
      <c r="A83" s="283"/>
      <c r="B83" s="729">
        <v>4</v>
      </c>
      <c r="C83" s="730" t="s">
        <v>799</v>
      </c>
      <c r="D83" s="305" t="str">
        <f ca="1">IF(ISERROR(OFFSET('HARGA SATUAN'!$D$6,MATCH(RAB!C83,'HARGA SATUAN'!$C$7:$C$1495,0),0)),"",OFFSET('HARGA SATUAN'!$D$6,MATCH(RAB!C83,'HARGA SATUAN'!$C$7:$C$1495,0),0))</f>
        <v>JASA</v>
      </c>
      <c r="E83" s="306" t="str">
        <f ca="1">IF(B83="+","Unit",IF(ISERROR(OFFSET('HARGA SATUAN'!$E$6,MATCH(RAB!C83,'HARGA SATUAN'!$C$7:$C$1495,0),0)),"",OFFSET('HARGA SATUAN'!$E$6,MATCH(RAB!C83,'HARGA SATUAN'!$C$7:$C$1495,0),0)))</f>
        <v>Unit</v>
      </c>
      <c r="F83" s="731">
        <f>F79*1</f>
        <v>1</v>
      </c>
      <c r="G83" s="307">
        <f ca="1">IF(ISERROR(OFFSET('HARGA SATUAN'!$I$6,MATCH(RAB!C83,'HARGA SATUAN'!$C$7:$C$1495,0),0)),0,OFFSET('HARGA SATUAN'!$I$6,MATCH(RAB!C83,'HARGA SATUAN'!$C$7:$C$1495,0),0))</f>
        <v>106400</v>
      </c>
      <c r="H83" s="308">
        <f t="shared" ca="1" si="26"/>
        <v>0</v>
      </c>
      <c r="I83" s="308">
        <f t="shared" ca="1" si="27"/>
        <v>0</v>
      </c>
      <c r="J83" s="308">
        <f t="shared" ca="1" si="28"/>
        <v>106400</v>
      </c>
      <c r="K83" s="309">
        <f t="shared" ca="1" si="29"/>
        <v>106400</v>
      </c>
      <c r="L83" s="316"/>
      <c r="M83" s="289"/>
      <c r="N83" s="316"/>
      <c r="O83" s="310"/>
      <c r="P83" s="310"/>
      <c r="Q83" s="291"/>
      <c r="R83" s="283"/>
      <c r="S83" s="311"/>
      <c r="T83" s="288"/>
      <c r="U83" s="288"/>
      <c r="V83" s="288"/>
    </row>
    <row r="84" spans="1:22" s="317" customFormat="1">
      <c r="A84" s="283"/>
      <c r="B84" s="523"/>
      <c r="C84" s="527"/>
      <c r="D84" s="305" t="str">
        <f ca="1">IF(ISERROR(OFFSET('HARGA SATUAN'!$D$6,MATCH(RAB!C84,'HARGA SATUAN'!$C$7:$C$1495,0),0)),"",OFFSET('HARGA SATUAN'!$D$6,MATCH(RAB!C84,'HARGA SATUAN'!$C$7:$C$1495,0),0))</f>
        <v/>
      </c>
      <c r="E84" s="306" t="str">
        <f ca="1">IF(B84="+","Unit",IF(ISERROR(OFFSET('HARGA SATUAN'!$E$6,MATCH(RAB!C84,'HARGA SATUAN'!$C$7:$C$1495,0),0)),"",OFFSET('HARGA SATUAN'!$E$6,MATCH(RAB!C84,'HARGA SATUAN'!$C$7:$C$1495,0),0)))</f>
        <v/>
      </c>
      <c r="F84" s="518"/>
      <c r="G84" s="307">
        <f ca="1">IF(ISERROR(OFFSET('HARGA SATUAN'!$I$6,MATCH(RAB!C84,'HARGA SATUAN'!$C$7:$C$1495,0),0)),0,OFFSET('HARGA SATUAN'!$I$6,MATCH(RAB!C84,'HARGA SATUAN'!$C$7:$C$1495,0),0))</f>
        <v>0</v>
      </c>
      <c r="H84" s="308">
        <f t="shared" ref="H84:H90" ca="1" si="30">IF(OR(D84="MDU",D84="MDU-KD"),(IF($O$3="RAB NON MDU","PLN KD",G84*F84)),0)</f>
        <v>0</v>
      </c>
      <c r="I84" s="308">
        <f t="shared" ref="I84:I90" ca="1" si="31">IF(D84="HDW",G84*F84,0)</f>
        <v>0</v>
      </c>
      <c r="J84" s="308">
        <f t="shared" ref="J84:J90" ca="1" si="32">IF(D84="JASA",G84*F84,0)</f>
        <v>0</v>
      </c>
      <c r="K84" s="309">
        <f t="shared" ref="K84:K90" ca="1" si="33">SUM(H84:J84)</f>
        <v>0</v>
      </c>
      <c r="L84" s="316"/>
      <c r="M84" s="289"/>
      <c r="N84" s="316"/>
      <c r="O84" s="310"/>
      <c r="P84" s="310"/>
      <c r="Q84" s="291"/>
      <c r="R84" s="283"/>
      <c r="S84" s="311"/>
      <c r="T84" s="288"/>
      <c r="U84" s="288"/>
      <c r="V84" s="288"/>
    </row>
    <row r="85" spans="1:22" s="317" customFormat="1">
      <c r="A85" s="283"/>
      <c r="B85" s="523" t="s">
        <v>1035</v>
      </c>
      <c r="C85" s="524" t="s">
        <v>1634</v>
      </c>
      <c r="D85" s="305" t="str">
        <f ca="1">IF(ISERROR(OFFSET('HARGA SATUAN'!$D$6,MATCH(RAB!C85,'HARGA SATUAN'!$C$7:$C$1495,0),0)),"",OFFSET('HARGA SATUAN'!$D$6,MATCH(RAB!C85,'HARGA SATUAN'!$C$7:$C$1495,0),0))</f>
        <v/>
      </c>
      <c r="E85" s="306" t="str">
        <f ca="1">IF(B85="+","Unit",IF(ISERROR(OFFSET('HARGA SATUAN'!$E$6,MATCH(RAB!C85,'HARGA SATUAN'!$C$7:$C$1495,0),0)),"",OFFSET('HARGA SATUAN'!$E$6,MATCH(RAB!C85,'HARGA SATUAN'!$C$7:$C$1495,0),0)))</f>
        <v>Unit</v>
      </c>
      <c r="F85" s="490">
        <v>1</v>
      </c>
      <c r="G85" s="307">
        <f ca="1">IF(ISERROR(OFFSET('HARGA SATUAN'!$I$6,MATCH(RAB!C85,'HARGA SATUAN'!$C$7:$C$1495,0),0)),0,OFFSET('HARGA SATUAN'!$I$6,MATCH(RAB!C85,'HARGA SATUAN'!$C$7:$C$1495,0),0))</f>
        <v>0</v>
      </c>
      <c r="H85" s="308">
        <f t="shared" ca="1" si="30"/>
        <v>0</v>
      </c>
      <c r="I85" s="308">
        <f t="shared" ca="1" si="31"/>
        <v>0</v>
      </c>
      <c r="J85" s="308">
        <f t="shared" ca="1" si="32"/>
        <v>0</v>
      </c>
      <c r="K85" s="309">
        <f t="shared" ca="1" si="33"/>
        <v>0</v>
      </c>
      <c r="L85" s="316"/>
      <c r="M85" s="289"/>
      <c r="N85" s="316"/>
      <c r="O85" s="310"/>
      <c r="P85" s="310"/>
      <c r="Q85" s="291"/>
      <c r="R85" s="283"/>
      <c r="S85" s="311"/>
      <c r="T85" s="288"/>
      <c r="U85" s="288"/>
      <c r="V85" s="288"/>
    </row>
    <row r="86" spans="1:22" s="317" customFormat="1">
      <c r="A86" s="283"/>
      <c r="B86" s="523">
        <v>1</v>
      </c>
      <c r="C86" s="524" t="s">
        <v>29</v>
      </c>
      <c r="D86" s="305" t="str">
        <f ca="1">IF(ISERROR(OFFSET('HARGA SATUAN'!$D$6,MATCH(RAB!C86,'HARGA SATUAN'!$C$7:$C$1495,0),0)),"",OFFSET('HARGA SATUAN'!$D$6,MATCH(RAB!C86,'HARGA SATUAN'!$C$7:$C$1495,0),0))</f>
        <v>HDW</v>
      </c>
      <c r="E86" s="306" t="str">
        <f ca="1">IF(B86="+","Unit",IF(ISERROR(OFFSET('HARGA SATUAN'!$E$6,MATCH(RAB!C86,'HARGA SATUAN'!$C$7:$C$1495,0),0)),"",OFFSET('HARGA SATUAN'!$E$6,MATCH(RAB!C86,'HARGA SATUAN'!$C$7:$C$1495,0),0)))</f>
        <v>Bh</v>
      </c>
      <c r="F86" s="490">
        <f>F85*1</f>
        <v>1</v>
      </c>
      <c r="G86" s="307">
        <f ca="1">IF(ISERROR(OFFSET('HARGA SATUAN'!$I$6,MATCH(RAB!C86,'HARGA SATUAN'!$C$7:$C$1495,0),0)),0,OFFSET('HARGA SATUAN'!$I$6,MATCH(RAB!C86,'HARGA SATUAN'!$C$7:$C$1495,0),0))</f>
        <v>185200</v>
      </c>
      <c r="H86" s="308">
        <f t="shared" ca="1" si="30"/>
        <v>0</v>
      </c>
      <c r="I86" s="308">
        <f t="shared" ca="1" si="31"/>
        <v>185200</v>
      </c>
      <c r="J86" s="308">
        <f t="shared" ca="1" si="32"/>
        <v>0</v>
      </c>
      <c r="K86" s="309">
        <f t="shared" ca="1" si="33"/>
        <v>185200</v>
      </c>
      <c r="L86" s="316"/>
      <c r="M86" s="289"/>
      <c r="N86" s="316"/>
      <c r="O86" s="310"/>
      <c r="P86" s="310"/>
      <c r="Q86" s="291"/>
      <c r="R86" s="283"/>
      <c r="S86" s="311"/>
      <c r="T86" s="288"/>
      <c r="U86" s="288"/>
      <c r="V86" s="288"/>
    </row>
    <row r="87" spans="1:22" s="317" customFormat="1">
      <c r="A87" s="283"/>
      <c r="B87" s="523">
        <v>2</v>
      </c>
      <c r="C87" s="524" t="s">
        <v>30</v>
      </c>
      <c r="D87" s="305" t="str">
        <f ca="1">IF(ISERROR(OFFSET('HARGA SATUAN'!$D$6,MATCH(RAB!C87,'HARGA SATUAN'!$C$7:$C$1495,0),0)),"",OFFSET('HARGA SATUAN'!$D$6,MATCH(RAB!C87,'HARGA SATUAN'!$C$7:$C$1495,0),0))</f>
        <v>HDW</v>
      </c>
      <c r="E87" s="306" t="str">
        <f ca="1">IF(B87="+","Unit",IF(ISERROR(OFFSET('HARGA SATUAN'!$E$6,MATCH(RAB!C87,'HARGA SATUAN'!$C$7:$C$1495,0),0)),"",OFFSET('HARGA SATUAN'!$E$6,MATCH(RAB!C87,'HARGA SATUAN'!$C$7:$C$1495,0),0)))</f>
        <v>Bh</v>
      </c>
      <c r="F87" s="490">
        <f>F85*1</f>
        <v>1</v>
      </c>
      <c r="G87" s="307">
        <f ca="1">IF(ISERROR(OFFSET('HARGA SATUAN'!$I$6,MATCH(RAB!C87,'HARGA SATUAN'!$C$7:$C$1495,0),0)),0,OFFSET('HARGA SATUAN'!$I$6,MATCH(RAB!C87,'HARGA SATUAN'!$C$7:$C$1495,0),0))</f>
        <v>47459</v>
      </c>
      <c r="H87" s="308">
        <f t="shared" ca="1" si="30"/>
        <v>0</v>
      </c>
      <c r="I87" s="308">
        <f t="shared" ca="1" si="31"/>
        <v>47459</v>
      </c>
      <c r="J87" s="308">
        <f t="shared" ca="1" si="32"/>
        <v>0</v>
      </c>
      <c r="K87" s="309">
        <f t="shared" ca="1" si="33"/>
        <v>47459</v>
      </c>
      <c r="L87" s="316"/>
      <c r="M87" s="289"/>
      <c r="N87" s="316"/>
      <c r="O87" s="310"/>
      <c r="P87" s="310"/>
      <c r="Q87" s="291"/>
      <c r="R87" s="283"/>
      <c r="S87" s="311"/>
      <c r="T87" s="288"/>
      <c r="U87" s="288"/>
      <c r="V87" s="288"/>
    </row>
    <row r="88" spans="1:22" s="317" customFormat="1">
      <c r="A88" s="283"/>
      <c r="B88" s="523">
        <v>3</v>
      </c>
      <c r="C88" s="524" t="s">
        <v>32</v>
      </c>
      <c r="D88" s="305" t="str">
        <f ca="1">IF(ISERROR(OFFSET('HARGA SATUAN'!$D$6,MATCH(RAB!C88,'HARGA SATUAN'!$C$7:$C$1495,0),0)),"",OFFSET('HARGA SATUAN'!$D$6,MATCH(RAB!C88,'HARGA SATUAN'!$C$7:$C$1495,0),0))</f>
        <v>HDW</v>
      </c>
      <c r="E88" s="306" t="str">
        <f ca="1">IF(B88="+","Unit",IF(ISERROR(OFFSET('HARGA SATUAN'!$E$6,MATCH(RAB!C88,'HARGA SATUAN'!$C$7:$C$1495,0),0)),"",OFFSET('HARGA SATUAN'!$E$6,MATCH(RAB!C88,'HARGA SATUAN'!$C$7:$C$1495,0),0)))</f>
        <v>Mtr</v>
      </c>
      <c r="F88" s="490">
        <f>F85*1.5</f>
        <v>1.5</v>
      </c>
      <c r="G88" s="307">
        <f ca="1">IF(ISERROR(OFFSET('HARGA SATUAN'!$I$6,MATCH(RAB!C88,'HARGA SATUAN'!$C$7:$C$1495,0),0)),0,OFFSET('HARGA SATUAN'!$I$6,MATCH(RAB!C88,'HARGA SATUAN'!$C$7:$C$1495,0),0))</f>
        <v>30000</v>
      </c>
      <c r="H88" s="308">
        <f t="shared" ca="1" si="30"/>
        <v>0</v>
      </c>
      <c r="I88" s="308">
        <f t="shared" ca="1" si="31"/>
        <v>45000</v>
      </c>
      <c r="J88" s="308">
        <f t="shared" ca="1" si="32"/>
        <v>0</v>
      </c>
      <c r="K88" s="309">
        <f t="shared" ca="1" si="33"/>
        <v>45000</v>
      </c>
      <c r="L88" s="316"/>
      <c r="M88" s="289"/>
      <c r="N88" s="316"/>
      <c r="O88" s="310"/>
      <c r="P88" s="310"/>
      <c r="Q88" s="291"/>
      <c r="R88" s="283"/>
      <c r="S88" s="311"/>
      <c r="T88" s="288"/>
      <c r="U88" s="288"/>
      <c r="V88" s="288"/>
    </row>
    <row r="89" spans="1:22" s="317" customFormat="1">
      <c r="A89" s="283"/>
      <c r="B89" s="523">
        <v>4</v>
      </c>
      <c r="C89" s="524" t="s">
        <v>33</v>
      </c>
      <c r="D89" s="305" t="str">
        <f ca="1">IF(ISERROR(OFFSET('HARGA SATUAN'!$D$6,MATCH(RAB!C89,'HARGA SATUAN'!$C$7:$C$1495,0),0)),"",OFFSET('HARGA SATUAN'!$D$6,MATCH(RAB!C89,'HARGA SATUAN'!$C$7:$C$1495,0),0))</f>
        <v>HDW</v>
      </c>
      <c r="E89" s="306" t="str">
        <f ca="1">IF(B89="+","Unit",IF(ISERROR(OFFSET('HARGA SATUAN'!$E$6,MATCH(RAB!C89,'HARGA SATUAN'!$C$7:$C$1495,0),0)),"",OFFSET('HARGA SATUAN'!$E$6,MATCH(RAB!C89,'HARGA SATUAN'!$C$7:$C$1495,0),0)))</f>
        <v>Bh</v>
      </c>
      <c r="F89" s="490">
        <f>F85*2</f>
        <v>2</v>
      </c>
      <c r="G89" s="307">
        <f ca="1">IF(ISERROR(OFFSET('HARGA SATUAN'!$I$6,MATCH(RAB!C89,'HARGA SATUAN'!$C$7:$C$1495,0),0)),0,OFFSET('HARGA SATUAN'!$I$6,MATCH(RAB!C89,'HARGA SATUAN'!$C$7:$C$1495,0),0))</f>
        <v>9500</v>
      </c>
      <c r="H89" s="308">
        <f t="shared" ca="1" si="30"/>
        <v>0</v>
      </c>
      <c r="I89" s="308">
        <f t="shared" ca="1" si="31"/>
        <v>19000</v>
      </c>
      <c r="J89" s="308">
        <f t="shared" ca="1" si="32"/>
        <v>0</v>
      </c>
      <c r="K89" s="309">
        <f t="shared" ca="1" si="33"/>
        <v>19000</v>
      </c>
      <c r="L89" s="316"/>
      <c r="M89" s="289"/>
      <c r="N89" s="316"/>
      <c r="O89" s="310"/>
      <c r="P89" s="310"/>
      <c r="Q89" s="291"/>
      <c r="R89" s="283"/>
      <c r="S89" s="311"/>
      <c r="T89" s="288"/>
      <c r="U89" s="288"/>
      <c r="V89" s="288"/>
    </row>
    <row r="90" spans="1:22" s="317" customFormat="1">
      <c r="A90" s="283"/>
      <c r="B90" s="523">
        <v>5</v>
      </c>
      <c r="C90" s="524" t="s">
        <v>735</v>
      </c>
      <c r="D90" s="305" t="str">
        <f ca="1">IF(ISERROR(OFFSET('HARGA SATUAN'!$D$6,MATCH(RAB!C90,'HARGA SATUAN'!$C$7:$C$1495,0),0)),"",OFFSET('HARGA SATUAN'!$D$6,MATCH(RAB!C90,'HARGA SATUAN'!$C$7:$C$1495,0),0))</f>
        <v>JASA</v>
      </c>
      <c r="E90" s="306" t="str">
        <f ca="1">IF(B90="+","Unit",IF(ISERROR(OFFSET('HARGA SATUAN'!$E$6,MATCH(RAB!C90,'HARGA SATUAN'!$C$7:$C$1495,0),0)),"",OFFSET('HARGA SATUAN'!$E$6,MATCH(RAB!C90,'HARGA SATUAN'!$C$7:$C$1495,0),0)))</f>
        <v>Unit</v>
      </c>
      <c r="F90" s="490">
        <f>F85*1</f>
        <v>1</v>
      </c>
      <c r="G90" s="307">
        <f ca="1">IF(ISERROR(OFFSET('HARGA SATUAN'!$I$6,MATCH(RAB!C90,'HARGA SATUAN'!$C$7:$C$1495,0),0)),0,OFFSET('HARGA SATUAN'!$I$6,MATCH(RAB!C90,'HARGA SATUAN'!$C$7:$C$1495,0),0))</f>
        <v>56400</v>
      </c>
      <c r="H90" s="308">
        <f t="shared" ca="1" si="30"/>
        <v>0</v>
      </c>
      <c r="I90" s="308">
        <f t="shared" ca="1" si="31"/>
        <v>0</v>
      </c>
      <c r="J90" s="308">
        <f t="shared" ca="1" si="32"/>
        <v>56400</v>
      </c>
      <c r="K90" s="309">
        <f t="shared" ca="1" si="33"/>
        <v>56400</v>
      </c>
      <c r="L90" s="316"/>
      <c r="M90" s="289"/>
      <c r="N90" s="316"/>
      <c r="O90" s="310"/>
      <c r="P90" s="310"/>
      <c r="Q90" s="291"/>
      <c r="R90" s="283"/>
      <c r="S90" s="311"/>
      <c r="T90" s="288"/>
      <c r="U90" s="288"/>
      <c r="V90" s="288"/>
    </row>
    <row r="91" spans="1:22" s="317" customFormat="1">
      <c r="A91" s="283"/>
      <c r="B91" s="498"/>
      <c r="C91" s="497"/>
      <c r="D91" s="305" t="str">
        <f ca="1">IF(ISERROR(OFFSET('HARGA SATUAN'!$D$6,MATCH(RAB!C91,'HARGA SATUAN'!$C$7:$C$1495,0),0)),"",OFFSET('HARGA SATUAN'!$D$6,MATCH(RAB!C91,'HARGA SATUAN'!$C$7:$C$1495,0),0))</f>
        <v/>
      </c>
      <c r="E91" s="306" t="str">
        <f ca="1">IF(B91="+","Unit",IF(ISERROR(OFFSET('HARGA SATUAN'!$E$6,MATCH(RAB!C91,'HARGA SATUAN'!$C$7:$C$1495,0),0)),"",OFFSET('HARGA SATUAN'!$E$6,MATCH(RAB!C91,'HARGA SATUAN'!$C$7:$C$1495,0),0)))</f>
        <v/>
      </c>
      <c r="F91" s="519"/>
      <c r="G91" s="307">
        <f ca="1">IF(ISERROR(OFFSET('HARGA SATUAN'!$I$6,MATCH(RAB!C91,'HARGA SATUAN'!$C$7:$C$1495,0),0)),0,OFFSET('HARGA SATUAN'!$I$6,MATCH(RAB!C91,'HARGA SATUAN'!$C$7:$C$1495,0),0))</f>
        <v>0</v>
      </c>
      <c r="H91" s="308">
        <f t="shared" ca="1" si="26"/>
        <v>0</v>
      </c>
      <c r="I91" s="308">
        <f t="shared" ca="1" si="27"/>
        <v>0</v>
      </c>
      <c r="J91" s="308">
        <f t="shared" ca="1" si="28"/>
        <v>0</v>
      </c>
      <c r="K91" s="309">
        <f t="shared" ca="1" si="29"/>
        <v>0</v>
      </c>
      <c r="L91" s="316"/>
      <c r="M91" s="289" t="e">
        <f>IF(AND(F91&gt;0,#REF!=0),"",IF(AND(ISBLANK(F91)=FALSE,K91=0),"WARNING",""))</f>
        <v>#REF!</v>
      </c>
      <c r="N91" s="316"/>
      <c r="O91" s="310"/>
      <c r="P91" s="310"/>
      <c r="Q91" s="291"/>
      <c r="R91" s="283"/>
      <c r="S91" s="311"/>
      <c r="T91" s="288"/>
      <c r="U91" s="288"/>
      <c r="V91" s="288"/>
    </row>
    <row r="92" spans="1:22" s="317" customFormat="1">
      <c r="A92" s="283"/>
      <c r="B92" s="521" t="s">
        <v>22</v>
      </c>
      <c r="C92" s="522" t="s">
        <v>1623</v>
      </c>
      <c r="D92" s="305" t="str">
        <f ca="1">IF(ISERROR(OFFSET('HARGA SATUAN'!$D$6,MATCH(RAB!C92,'HARGA SATUAN'!$C$7:$C$1495,0),0)),"",OFFSET('HARGA SATUAN'!$D$6,MATCH(RAB!C92,'HARGA SATUAN'!$C$7:$C$1495,0),0))</f>
        <v/>
      </c>
      <c r="E92" s="306" t="str">
        <f ca="1">IF(B92="+","Unit",IF(ISERROR(OFFSET('HARGA SATUAN'!$E$6,MATCH(RAB!C92,'HARGA SATUAN'!$C$7:$C$1495,0),0)),"",OFFSET('HARGA SATUAN'!$E$6,MATCH(RAB!C92,'HARGA SATUAN'!$C$7:$C$1495,0),0)))</f>
        <v/>
      </c>
      <c r="F92" s="519"/>
      <c r="G92" s="307">
        <f ca="1">IF(ISERROR(OFFSET('HARGA SATUAN'!$I$6,MATCH(RAB!C92,'HARGA SATUAN'!$C$7:$C$1495,0),0)),0,OFFSET('HARGA SATUAN'!$I$6,MATCH(RAB!C92,'HARGA SATUAN'!$C$7:$C$1495,0),0))</f>
        <v>0</v>
      </c>
      <c r="H92" s="308">
        <f t="shared" ca="1" si="26"/>
        <v>0</v>
      </c>
      <c r="I92" s="308">
        <f t="shared" ca="1" si="27"/>
        <v>0</v>
      </c>
      <c r="J92" s="308">
        <f t="shared" ca="1" si="28"/>
        <v>0</v>
      </c>
      <c r="K92" s="309">
        <f t="shared" ca="1" si="29"/>
        <v>0</v>
      </c>
      <c r="L92" s="316"/>
      <c r="M92" s="289" t="str">
        <f t="shared" ca="1" si="21"/>
        <v/>
      </c>
      <c r="N92" s="316"/>
      <c r="O92" s="310"/>
      <c r="P92" s="310"/>
      <c r="Q92" s="291"/>
      <c r="R92" s="283"/>
      <c r="S92" s="311"/>
      <c r="T92" s="288"/>
      <c r="U92" s="288"/>
      <c r="V92" s="288"/>
    </row>
    <row r="93" spans="1:22" s="317" customFormat="1">
      <c r="A93" s="283"/>
      <c r="B93" s="520">
        <v>1</v>
      </c>
      <c r="C93" s="109" t="s">
        <v>981</v>
      </c>
      <c r="D93" s="305" t="str">
        <f ca="1">IF(ISERROR(OFFSET('HARGA SATUAN'!$D$6,MATCH(RAB!C93,'HARGA SATUAN'!$C$7:$C$1495,0),0)),"",OFFSET('HARGA SATUAN'!$D$6,MATCH(RAB!C93,'HARGA SATUAN'!$C$7:$C$1495,0),0))</f>
        <v>JASA</v>
      </c>
      <c r="E93" s="306" t="str">
        <f ca="1">IF(B93="+","Unit",IF(ISERROR(OFFSET('HARGA SATUAN'!$E$6,MATCH(RAB!C93,'HARGA SATUAN'!$C$7:$C$1495,0),0)),"",OFFSET('HARGA SATUAN'!$E$6,MATCH(RAB!C93,'HARGA SATUAN'!$C$7:$C$1495,0),0)))</f>
        <v>Unit</v>
      </c>
      <c r="F93" s="519">
        <v>1</v>
      </c>
      <c r="G93" s="307">
        <f ca="1">IF(ISERROR(OFFSET('HARGA SATUAN'!$I$6,MATCH(RAB!C93,'HARGA SATUAN'!$C$7:$C$1495,0),0)),0,OFFSET('HARGA SATUAN'!$I$6,MATCH(RAB!C93,'HARGA SATUAN'!$C$7:$C$1495,0),0))</f>
        <v>32640</v>
      </c>
      <c r="H93" s="308">
        <f t="shared" ref="H93" ca="1" si="34">IF(OR(D93="MDU",D93="MDU-KD"),(IF($O$3="RAB NON MDU","PLN KD",G93*F93)),0)</f>
        <v>0</v>
      </c>
      <c r="I93" s="308">
        <f t="shared" ref="I93" ca="1" si="35">IF(D93="HDW",G93*F93,0)</f>
        <v>0</v>
      </c>
      <c r="J93" s="308">
        <f t="shared" ref="J93" ca="1" si="36">IF(D93="JASA",G93*F93,0)</f>
        <v>32640</v>
      </c>
      <c r="K93" s="309">
        <f t="shared" ref="K93" ca="1" si="37">SUM(H93:J93)</f>
        <v>32640</v>
      </c>
      <c r="L93" s="316"/>
      <c r="M93" s="289"/>
      <c r="N93" s="316"/>
      <c r="O93" s="310"/>
      <c r="P93" s="310"/>
      <c r="Q93" s="291"/>
      <c r="R93" s="283"/>
      <c r="S93" s="311"/>
      <c r="T93" s="288"/>
      <c r="U93" s="288"/>
      <c r="V93" s="288"/>
    </row>
    <row r="94" spans="1:22">
      <c r="B94" s="320"/>
      <c r="C94" s="109"/>
      <c r="D94" s="305" t="str">
        <f ca="1">IF(ISERROR(OFFSET('HARGA SATUAN'!$D$6,MATCH(RAB!C94,'HARGA SATUAN'!$C$7:$C$1495,0),0)),"",OFFSET('HARGA SATUAN'!$D$6,MATCH(RAB!C94,'HARGA SATUAN'!$C$7:$C$1495,0),0))</f>
        <v/>
      </c>
      <c r="E94" s="306" t="str">
        <f ca="1">IF(B94="+","Unit",IF(ISERROR(OFFSET('HARGA SATUAN'!$E$6,MATCH(RAB!C94,'HARGA SATUAN'!$C$7:$C$1495,0),0)),"",OFFSET('HARGA SATUAN'!$E$6,MATCH(RAB!C94,'HARGA SATUAN'!$C$7:$C$1495,0),0)))</f>
        <v/>
      </c>
      <c r="F94" s="315"/>
      <c r="G94" s="307">
        <f ca="1">IF(ISERROR(OFFSET('HARGA SATUAN'!$I$6,MATCH(RAB!C94,'HARGA SATUAN'!$C$7:$C$1495,0),0)),0,OFFSET('HARGA SATUAN'!$I$6,MATCH(RAB!C94,'HARGA SATUAN'!$C$7:$C$1495,0),0))</f>
        <v>0</v>
      </c>
      <c r="H94" s="308">
        <f t="shared" ca="1" si="26"/>
        <v>0</v>
      </c>
      <c r="I94" s="308">
        <f t="shared" ca="1" si="27"/>
        <v>0</v>
      </c>
      <c r="J94" s="308">
        <f t="shared" ca="1" si="28"/>
        <v>0</v>
      </c>
      <c r="K94" s="309">
        <f t="shared" ca="1" si="29"/>
        <v>0</v>
      </c>
      <c r="M94" s="289" t="str">
        <f ca="1">IF(AND(F94&gt;0,F92=0),"",IF(AND(ISBLANK(F94)=FALSE,K94=0),"WARNING",""))</f>
        <v/>
      </c>
    </row>
    <row r="95" spans="1:22">
      <c r="B95" s="321"/>
      <c r="C95" s="322" t="s">
        <v>475</v>
      </c>
      <c r="D95" s="305" t="str">
        <f ca="1">IF(ISERROR(OFFSET('HARGA SATUAN'!$D$6,MATCH(RAB!C95,'HARGA SATUAN'!$C$7:$C$1495,0),0)),"",OFFSET('HARGA SATUAN'!$D$6,MATCH(RAB!C95,'HARGA SATUAN'!$C$7:$C$1495,0),0))</f>
        <v/>
      </c>
      <c r="E95" s="306" t="str">
        <f ca="1">IF(B95="+","Unit",IF(ISERROR(OFFSET('HARGA SATUAN'!$E$6,MATCH(RAB!C95,'HARGA SATUAN'!$C$7:$C$1495,0),0)),"",OFFSET('HARGA SATUAN'!$E$6,MATCH(RAB!C95,'HARGA SATUAN'!$C$7:$C$1495,0),0)))</f>
        <v/>
      </c>
      <c r="F95" s="315"/>
      <c r="G95" s="307">
        <f ca="1">IF(ISERROR(OFFSET('HARGA SATUAN'!$I$6,MATCH(RAB!C95,'HARGA SATUAN'!$C$7:$C$1495,0),0)),0,OFFSET('HARGA SATUAN'!$I$6,MATCH(RAB!C95,'HARGA SATUAN'!$C$7:$C$1495,0),0))</f>
        <v>0</v>
      </c>
      <c r="H95" s="308">
        <f t="shared" ca="1" si="26"/>
        <v>0</v>
      </c>
      <c r="I95" s="308">
        <f t="shared" ca="1" si="27"/>
        <v>0</v>
      </c>
      <c r="J95" s="308">
        <f t="shared" ca="1" si="28"/>
        <v>0</v>
      </c>
      <c r="K95" s="309">
        <f t="shared" ca="1" si="29"/>
        <v>0</v>
      </c>
    </row>
    <row r="96" spans="1:22">
      <c r="B96" s="324">
        <v>1</v>
      </c>
      <c r="C96" s="325" t="s">
        <v>1091</v>
      </c>
      <c r="D96" s="326" t="str">
        <f ca="1">IF(ISERROR(OFFSET('HARGA SATUAN'!$D$6,MATCH(RAB!C96,'HARGA SATUAN'!$C$7:$C$1495,0),0)),"",OFFSET('HARGA SATUAN'!$D$6,MATCH(RAB!C96,'HARGA SATUAN'!$C$7:$C$1495,0),0))</f>
        <v>JASA</v>
      </c>
      <c r="E96" s="327" t="str">
        <f ca="1">IF(ISERROR(OFFSET('HARGA SATUAN'!$E$6,MATCH(RAB!C96,'HARGA SATUAN'!$C$7:$C$1495,0),0)),"",OFFSET('HARGA SATUAN'!$E$6,MATCH(RAB!C96,'HARGA SATUAN'!$C$7:$C$1495,0),0))</f>
        <v>Lot</v>
      </c>
      <c r="F96" s="328">
        <v>1</v>
      </c>
      <c r="G96" s="329">
        <f ca="1">IF(ISERROR(OFFSET('HARGA SATUAN'!$I$6,MATCH(RAB!C96,'HARGA SATUAN'!$C$7:$C$1495,0),0)),0,OFFSET('HARGA SATUAN'!$I$6,MATCH(RAB!C96,'HARGA SATUAN'!$C$7:$C$1495,0),0))</f>
        <v>2.5000000000000001E-2</v>
      </c>
      <c r="H96" s="330">
        <f ca="1">SUM(H14:H95)*G96</f>
        <v>303495</v>
      </c>
      <c r="I96" s="330">
        <f ca="1">SUM(I14:I95)*G96</f>
        <v>270080.60000000003</v>
      </c>
      <c r="J96" s="330">
        <f ca="1">SUM(J14:J95)*G96</f>
        <v>26184.333333333336</v>
      </c>
      <c r="K96" s="330">
        <f ca="1">SUM(K14:K95)*G96</f>
        <v>599759.93333333347</v>
      </c>
      <c r="M96" s="289" t="str">
        <f t="shared" ref="M96" si="38">IF(AND(F96&gt;0,F95=0),"",IF(AND(ISBLANK(F96)=FALSE,K96=0),"WARNING",""))</f>
        <v/>
      </c>
    </row>
    <row r="97" spans="2:13">
      <c r="B97" s="331"/>
      <c r="C97" s="332"/>
      <c r="D97" s="305" t="str">
        <f ca="1">IF(ISERROR(OFFSET('HARGA SATUAN'!$D$6,MATCH(RAB!C97,'HARGA SATUAN'!$C$7:$C$1495,0),0)),"",OFFSET('HARGA SATUAN'!$D$6,MATCH(RAB!C97,'HARGA SATUAN'!$C$7:$C$1495,0),0))</f>
        <v/>
      </c>
      <c r="E97" s="306" t="str">
        <f ca="1">IF(ISERROR(OFFSET('HARGA SATUAN'!$E$6,MATCH(RAB!C97,'HARGA SATUAN'!$C$7:$C$1495,0),0)),"",OFFSET('HARGA SATUAN'!$E$6,MATCH(RAB!C97,'HARGA SATUAN'!$C$7:$C$1495,0),0))</f>
        <v/>
      </c>
      <c r="F97" s="323"/>
      <c r="G97" s="307" t="str">
        <f ca="1">IF(ISERROR(OFFSET('HARGA SATUAN'!$I$6,MATCH(RAB!C97,'HARGA SATUAN'!$C$7:$C$1495,0),0)),"",OFFSET('HARGA SATUAN'!$I$6,MATCH(RAB!C97,'HARGA SATUAN'!$C$7:$C$1495,0),0))</f>
        <v/>
      </c>
      <c r="H97" s="308">
        <f ca="1">IF(OR(D97="MDU",D97="MDU-KD"),IF(G97="PLN",0,G97*F97),0)</f>
        <v>0</v>
      </c>
      <c r="I97" s="308">
        <f ca="1">IF(D97="HDW",IF(G97="PLN",0,G97*F97),0)</f>
        <v>0</v>
      </c>
      <c r="J97" s="308">
        <f ca="1">IF(D97="JASA",IF(G97="PLN",0,G97*F97),0)</f>
        <v>0</v>
      </c>
      <c r="K97" s="309">
        <f ca="1">SUM(H97:J97)</f>
        <v>0</v>
      </c>
    </row>
    <row r="98" spans="2:13" ht="15.75" thickBot="1">
      <c r="B98" s="333"/>
      <c r="C98" s="334"/>
      <c r="D98" s="335"/>
      <c r="E98" s="336"/>
      <c r="F98" s="336"/>
      <c r="G98" s="336"/>
      <c r="H98" s="337"/>
      <c r="I98" s="337"/>
      <c r="J98" s="337"/>
      <c r="K98" s="338"/>
    </row>
    <row r="99" spans="2:13">
      <c r="B99" s="339"/>
      <c r="C99" s="628" t="s">
        <v>1008</v>
      </c>
      <c r="D99" s="628"/>
      <c r="E99" s="628"/>
      <c r="F99" s="628"/>
      <c r="G99" s="340" t="s">
        <v>9</v>
      </c>
      <c r="H99" s="341">
        <f ca="1">SUM(H14:H97)</f>
        <v>12443295</v>
      </c>
      <c r="I99" s="341">
        <f ca="1">SUM(I14:I97)</f>
        <v>11073304.6</v>
      </c>
      <c r="J99" s="341">
        <f ca="1">SUM(J14:J97)</f>
        <v>1073557.6666666667</v>
      </c>
      <c r="K99" s="341">
        <f ca="1">SUM(K14:K97)</f>
        <v>24590157.266666669</v>
      </c>
    </row>
    <row r="100" spans="2:13">
      <c r="B100" s="342"/>
      <c r="C100" s="645" t="s">
        <v>1455</v>
      </c>
      <c r="D100" s="645"/>
      <c r="E100" s="645"/>
      <c r="F100" s="645"/>
      <c r="G100" s="343" t="s">
        <v>9</v>
      </c>
      <c r="H100" s="344">
        <f ca="1">H99*0.11</f>
        <v>1368762.45</v>
      </c>
      <c r="I100" s="344">
        <f ca="1">I99*0.11</f>
        <v>1218063.5060000001</v>
      </c>
      <c r="J100" s="344">
        <f ca="1">J99*0.11</f>
        <v>118091.34333333334</v>
      </c>
      <c r="K100" s="344">
        <f ca="1">K99*0.11</f>
        <v>2704917.2993333335</v>
      </c>
    </row>
    <row r="101" spans="2:13" ht="15.75" thickBot="1">
      <c r="B101" s="342"/>
      <c r="C101" s="642" t="s">
        <v>463</v>
      </c>
      <c r="D101" s="642"/>
      <c r="E101" s="642"/>
      <c r="F101" s="642"/>
      <c r="G101" s="345" t="s">
        <v>9</v>
      </c>
      <c r="H101" s="346">
        <f ca="1">SUM(H99:H100)</f>
        <v>13812057.449999999</v>
      </c>
      <c r="I101" s="346">
        <f ca="1">SUM(I99:I100)</f>
        <v>12291368.105999999</v>
      </c>
      <c r="J101" s="345">
        <f ca="1">SUM(J99:J100)</f>
        <v>1191649.01</v>
      </c>
      <c r="K101" s="345">
        <f ca="1">SUM(K99:K100)</f>
        <v>27295074.566000003</v>
      </c>
      <c r="M101" s="410"/>
    </row>
    <row r="102" spans="2:13">
      <c r="B102" s="646" t="str">
        <f ca="1">"Terbilang : "&amp;PROPER(IF(K101=0,"nol",IF(K101&lt;0,"minus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IF(--MID(TEXT(ABS(K101),"000000000000000"),1,3)=0,"",MID(TEXT(ABS(K101),"000000000000000"),1,1)&amp;" ratus "&amp;MID(TEXT(ABS(K101),"000000000000000"),2,1)&amp;" puluh "&amp;MID(TEXT(ABS(K101),"000000000000000"),3,1)&amp;" trilyun ")&amp; IF(--MID(TEXT(ABS(K101),"000000000000000"),4,3)=0,"",MID(TEXT(ABS(K101),"000000000000000"),4,1)&amp;" ratus "&amp;MID(TEXT(ABS(K101),"000000000000000"),5,1)&amp;" puluh "&amp;MID(TEXT(ABS(K101),"000000000000000"),6,1)&amp;" milyar ")&amp; IF(--MID(TEXT(ABS(K101),"000000000000000"),7,3)=0,"",MID(TEXT(ABS(K101),"000000000000000"),7,1)&amp;" ratus "&amp;MID(TEXT(ABS(K101),"000000000000000"),8,1)&amp;" puluh "&amp;MID(TEXT(ABS(K101),"000000000000000"),9,1)&amp;" juta ")&amp; IF(--MID(TEXT(ABS(K101),"000000000000000"),10,3)=0,"",IF(--MID(TEXT(ABS(K101),"000000000000000"),10,3)=1,"*",MID(TEXT(ABS(K101),"000000000000000"),10,1)&amp;" ratus "&amp;MID(TEXT(ABS(K101),"000000000000000"),11,1)&amp;" puluh ")&amp;MID(TEXT(ABS(K101),"000000000000000"),12,1)&amp;" ribu ")&amp; IF(--MID(TEXT(ABS(K101),"000000000000000"),13,3)=0,"",MID(TEXT(ABS(K101),"000000000000000"),13,1)&amp;" ratus "&amp;MID(TEXT(ABS(K101),"000000000000000"),14,1)&amp;" puluh "&amp;MID(TEXT(ABS(K101),"000000000000000"),15,1)),1,"satu"),2,"dua"),3,"tiga"),4,"empat"),5,"lima"),6,"enam"),7,"tujuh"),8,"delapan"),9,"sembilan"),"0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Dua Puluh Tujuh Juta Dua Ratus Sembilan Puluh Lima Ribu Tujuh Puluh Lima Rupiah</v>
      </c>
      <c r="C102" s="647"/>
      <c r="D102" s="647"/>
      <c r="E102" s="647"/>
      <c r="F102" s="647"/>
      <c r="G102" s="647"/>
      <c r="H102" s="647"/>
      <c r="I102" s="647"/>
      <c r="J102" s="647"/>
      <c r="K102" s="648"/>
    </row>
    <row r="103" spans="2:13">
      <c r="B103" s="649"/>
      <c r="C103" s="650"/>
      <c r="D103" s="650"/>
      <c r="E103" s="650"/>
      <c r="F103" s="650"/>
      <c r="G103" s="650"/>
      <c r="H103" s="650"/>
      <c r="I103" s="650"/>
      <c r="J103" s="650"/>
      <c r="K103" s="651"/>
    </row>
    <row r="104" spans="2:13" ht="15.75" thickBot="1">
      <c r="B104" s="347" t="str">
        <f>"Harga yang dipakai adalah "&amp;'HARGA SATUAN'!I5&amp;""</f>
        <v>Harga yang dipakai adalah RAB HSS 2023</v>
      </c>
      <c r="C104" s="348"/>
      <c r="D104" s="349"/>
      <c r="E104" s="349"/>
      <c r="F104" s="349"/>
      <c r="G104" s="350"/>
      <c r="H104" s="350"/>
      <c r="I104" s="350"/>
      <c r="J104" s="350"/>
      <c r="K104" s="351"/>
    </row>
    <row r="105" spans="2:13">
      <c r="C105" s="352"/>
      <c r="E105" s="354"/>
      <c r="F105" s="354"/>
      <c r="G105" s="354"/>
    </row>
    <row r="106" spans="2:13">
      <c r="C106" s="284"/>
      <c r="E106" s="354"/>
      <c r="F106" s="354"/>
      <c r="G106" s="354"/>
      <c r="H106" s="652"/>
      <c r="I106" s="652"/>
      <c r="J106" s="653"/>
      <c r="K106" s="653"/>
    </row>
    <row r="107" spans="2:13">
      <c r="C107" s="284"/>
      <c r="E107" s="354"/>
      <c r="F107" s="354"/>
      <c r="G107" s="354"/>
      <c r="H107" s="355"/>
      <c r="I107" s="641" t="s">
        <v>1624</v>
      </c>
      <c r="J107" s="641"/>
      <c r="K107" s="641"/>
    </row>
    <row r="108" spans="2:13">
      <c r="C108" s="284"/>
      <c r="E108" s="354"/>
      <c r="F108" s="354"/>
      <c r="G108" s="354"/>
      <c r="H108" s="355"/>
      <c r="I108" s="641" t="s">
        <v>1611</v>
      </c>
      <c r="J108" s="641"/>
      <c r="K108" s="641"/>
    </row>
    <row r="109" spans="2:13">
      <c r="C109" s="284"/>
      <c r="E109" s="354"/>
      <c r="F109" s="354"/>
      <c r="G109" s="354"/>
      <c r="H109" s="356"/>
      <c r="I109" s="357"/>
      <c r="J109" s="357"/>
      <c r="K109" s="357"/>
    </row>
    <row r="110" spans="2:13">
      <c r="C110" s="284"/>
      <c r="E110" s="354"/>
      <c r="F110" s="354"/>
      <c r="G110" s="354"/>
      <c r="H110" s="356"/>
      <c r="I110" s="356"/>
      <c r="J110" s="356"/>
      <c r="K110" s="356"/>
    </row>
    <row r="111" spans="2:13">
      <c r="C111" s="284"/>
      <c r="E111" s="354"/>
      <c r="F111" s="354"/>
      <c r="G111" s="354"/>
      <c r="H111" s="356"/>
      <c r="I111" s="356"/>
      <c r="J111" s="356"/>
      <c r="K111" s="356"/>
    </row>
    <row r="112" spans="2:13">
      <c r="C112" s="284"/>
      <c r="E112" s="354"/>
      <c r="F112" s="354"/>
      <c r="G112" s="354"/>
      <c r="H112" s="356"/>
      <c r="I112" s="356"/>
      <c r="J112" s="356"/>
      <c r="K112" s="356"/>
    </row>
    <row r="113" spans="3:11">
      <c r="C113" s="284"/>
      <c r="E113" s="354"/>
      <c r="F113" s="354"/>
      <c r="G113" s="354"/>
      <c r="H113" s="358"/>
      <c r="I113" s="641" t="s">
        <v>1612</v>
      </c>
      <c r="J113" s="641"/>
      <c r="K113" s="641"/>
    </row>
    <row r="114" spans="3:11">
      <c r="C114" s="352"/>
      <c r="E114" s="354"/>
      <c r="F114" s="354"/>
      <c r="G114" s="354"/>
      <c r="H114" s="356"/>
      <c r="I114" s="356"/>
      <c r="J114" s="356"/>
      <c r="K114" s="356"/>
    </row>
    <row r="115" spans="3:11">
      <c r="C115" s="352"/>
      <c r="E115" s="354"/>
      <c r="F115" s="354"/>
      <c r="G115" s="354"/>
      <c r="H115" s="356"/>
      <c r="I115" s="356"/>
      <c r="J115" s="356"/>
      <c r="K115" s="356"/>
    </row>
    <row r="116" spans="3:11">
      <c r="C116" s="352"/>
      <c r="E116" s="354"/>
      <c r="F116" s="354"/>
      <c r="G116" s="354"/>
      <c r="H116" s="356"/>
      <c r="I116" s="356"/>
      <c r="J116" s="356"/>
      <c r="K116" s="356"/>
    </row>
  </sheetData>
  <sheetProtection sort="0" autoFilter="0"/>
  <protectedRanges>
    <protectedRange sqref="B94" name="Range1_1"/>
    <protectedRange sqref="F14:F15 F94:F95" name="Range1_1_2_2"/>
    <protectedRange sqref="B15 B16:C16 B20:C20 B53:C75 B81:C82 B80 B91:C92 B76:B77 B93 B17:B19 B78:C79 B83:B90" name="Range1_6_1"/>
    <protectedRange sqref="B21:B52" name="Range1_6_1_2"/>
    <protectedRange sqref="C80" name="Range1_1_3_2"/>
    <protectedRange sqref="C84:C90" name="Range1_1_3_3"/>
    <protectedRange sqref="C21:C52" name="Range1_6_1_1"/>
    <protectedRange sqref="C94" name="Range1_1_3_1"/>
    <protectedRange sqref="C17" name="Range1_1_3_5"/>
    <protectedRange sqref="C19" name="Range1_1_3_6"/>
    <protectedRange sqref="C83" name="Range1_1_3_7"/>
    <protectedRange sqref="C76" name="Range1_1_3_8"/>
    <protectedRange sqref="C77" name="Range1_1_3_9"/>
    <protectedRange sqref="C18" name="Range1_1_3_12"/>
    <protectedRange sqref="C93" name="Range1_1_3_13"/>
  </protectedRanges>
  <mergeCells count="22">
    <mergeCell ref="I108:K108"/>
    <mergeCell ref="I113:K113"/>
    <mergeCell ref="C101:F101"/>
    <mergeCell ref="G6:K6"/>
    <mergeCell ref="I107:K107"/>
    <mergeCell ref="C100:F100"/>
    <mergeCell ref="B102:K103"/>
    <mergeCell ref="H106:K106"/>
    <mergeCell ref="H11:K11"/>
    <mergeCell ref="H12:H13"/>
    <mergeCell ref="J12:J13"/>
    <mergeCell ref="K12:K13"/>
    <mergeCell ref="O3:P4"/>
    <mergeCell ref="B4:K4"/>
    <mergeCell ref="C99:F99"/>
    <mergeCell ref="B11:B13"/>
    <mergeCell ref="C11:C13"/>
    <mergeCell ref="D11:D13"/>
    <mergeCell ref="E11:E13"/>
    <mergeCell ref="F11:F13"/>
    <mergeCell ref="G11:G13"/>
    <mergeCell ref="I12:I13"/>
  </mergeCells>
  <phoneticPr fontId="134" type="noConversion"/>
  <conditionalFormatting sqref="C15 C76:C77">
    <cfRule type="cellIs" dxfId="9" priority="91" operator="equal">
      <formula>0</formula>
    </cfRule>
  </conditionalFormatting>
  <conditionalFormatting sqref="C17 C19">
    <cfRule type="cellIs" dxfId="8" priority="5" operator="equal">
      <formula>0</formula>
    </cfRule>
  </conditionalFormatting>
  <conditionalFormatting sqref="C94">
    <cfRule type="cellIs" dxfId="7" priority="29" operator="equal">
      <formula>0</formula>
    </cfRule>
  </conditionalFormatting>
  <conditionalFormatting sqref="E1:E3 E5:E13 H12:I12 O13 E96:G96 H96:K98 E97:H97 E98:F98 E14:K78 E79:E83 G79:K83 S14:V93 E84:K95">
    <cfRule type="cellIs" dxfId="6" priority="1135" stopIfTrue="1" operator="equal">
      <formula>0</formula>
    </cfRule>
  </conditionalFormatting>
  <conditionalFormatting sqref="G1:G13">
    <cfRule type="cellIs" dxfId="5" priority="60" stopIfTrue="1" operator="equal">
      <formula>0</formula>
    </cfRule>
  </conditionalFormatting>
  <conditionalFormatting sqref="G97:G65563 E102:E65563">
    <cfRule type="cellIs" dxfId="4" priority="269" stopIfTrue="1" operator="equal">
      <formula>0</formula>
    </cfRule>
  </conditionalFormatting>
  <conditionalFormatting sqref="C18">
    <cfRule type="cellIs" dxfId="3" priority="4" operator="equal">
      <formula>0</formula>
    </cfRule>
  </conditionalFormatting>
  <conditionalFormatting sqref="C80">
    <cfRule type="cellIs" dxfId="2" priority="3" operator="equal">
      <formula>0</formula>
    </cfRule>
  </conditionalFormatting>
  <conditionalFormatting sqref="F79:F83">
    <cfRule type="cellIs" dxfId="1" priority="2" stopIfTrue="1" operator="equal">
      <formula>0</formula>
    </cfRule>
  </conditionalFormatting>
  <conditionalFormatting sqref="C93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39 F85:F93 F42:F46 F48:F74 F16:F35 H14:K98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ignoredErrors>
    <ignoredError sqref="K96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E1E5D-C068-44B4-9F79-1E6AB9B4B2A1}">
  <sheetPr>
    <tabColor rgb="FF92D050"/>
  </sheetPr>
  <dimension ref="C1:AD55"/>
  <sheetViews>
    <sheetView showGridLines="0" topLeftCell="A7" zoomScale="80" zoomScaleNormal="80" zoomScaleSheetLayoutView="100" workbookViewId="0">
      <selection activeCell="O26" sqref="O26"/>
    </sheetView>
  </sheetViews>
  <sheetFormatPr defaultColWidth="9.140625" defaultRowHeight="12"/>
  <cols>
    <col min="1" max="2" width="1.42578125" style="424" customWidth="1"/>
    <col min="3" max="3" width="7.42578125" style="424" customWidth="1"/>
    <col min="4" max="23" width="5.7109375" style="424" customWidth="1"/>
    <col min="24" max="24" width="6.28515625" style="424" customWidth="1"/>
    <col min="25" max="26" width="5.7109375" style="424" customWidth="1"/>
    <col min="27" max="27" width="6.5703125" style="424" customWidth="1"/>
    <col min="28" max="118" width="5.7109375" style="424" customWidth="1"/>
    <col min="119" max="16384" width="9.140625" style="424"/>
  </cols>
  <sheetData>
    <row r="1" spans="3:30" ht="12.75" thickBot="1"/>
    <row r="2" spans="3:30" ht="12.75" customHeight="1">
      <c r="C2" s="499"/>
      <c r="D2" s="425"/>
      <c r="E2" s="425"/>
      <c r="F2" s="425"/>
      <c r="G2" s="425"/>
      <c r="H2" s="425"/>
      <c r="I2" s="425"/>
      <c r="J2" s="425"/>
      <c r="K2" s="425"/>
      <c r="L2" s="425"/>
      <c r="M2" s="425"/>
      <c r="N2" s="425"/>
      <c r="O2" s="425"/>
      <c r="P2" s="425"/>
      <c r="Q2" s="425"/>
      <c r="R2" s="425"/>
      <c r="S2" s="425"/>
      <c r="T2" s="425"/>
      <c r="U2" s="425"/>
      <c r="V2" s="425"/>
      <c r="W2" s="711" t="s">
        <v>1438</v>
      </c>
      <c r="X2" s="712"/>
      <c r="Y2" s="712"/>
      <c r="Z2" s="712"/>
      <c r="AA2" s="712"/>
      <c r="AB2" s="712"/>
      <c r="AC2" s="712"/>
      <c r="AD2" s="713"/>
    </row>
    <row r="3" spans="3:30">
      <c r="C3" s="426"/>
      <c r="W3" s="714"/>
      <c r="X3" s="715"/>
      <c r="Y3" s="715"/>
      <c r="Z3" s="715"/>
      <c r="AA3" s="715"/>
      <c r="AB3" s="715"/>
      <c r="AC3" s="715"/>
      <c r="AD3" s="716"/>
    </row>
    <row r="4" spans="3:30">
      <c r="C4" s="426"/>
      <c r="G4" s="427" t="s">
        <v>1640</v>
      </c>
      <c r="W4" s="428" t="s">
        <v>987</v>
      </c>
      <c r="AD4" s="429"/>
    </row>
    <row r="5" spans="3:30">
      <c r="C5" s="426"/>
      <c r="W5" s="430" t="s">
        <v>991</v>
      </c>
      <c r="X5" s="658" t="s">
        <v>990</v>
      </c>
      <c r="Y5" s="658"/>
      <c r="Z5" s="658"/>
      <c r="AA5" s="658" t="s">
        <v>988</v>
      </c>
      <c r="AB5" s="658"/>
      <c r="AC5" s="658" t="s">
        <v>989</v>
      </c>
      <c r="AD5" s="659"/>
    </row>
    <row r="6" spans="3:30">
      <c r="C6" s="426"/>
      <c r="W6" s="430">
        <v>1</v>
      </c>
      <c r="X6" s="658" t="s">
        <v>993</v>
      </c>
      <c r="Y6" s="658"/>
      <c r="Z6" s="658"/>
      <c r="AA6" s="658"/>
      <c r="AB6" s="658"/>
      <c r="AC6" s="658"/>
      <c r="AD6" s="659"/>
    </row>
    <row r="7" spans="3:30">
      <c r="C7" s="426"/>
      <c r="W7" s="430">
        <v>2</v>
      </c>
      <c r="X7" s="658" t="s">
        <v>994</v>
      </c>
      <c r="Y7" s="658"/>
      <c r="Z7" s="658"/>
      <c r="AA7" s="658"/>
      <c r="AB7" s="658"/>
      <c r="AC7" s="658"/>
      <c r="AD7" s="659"/>
    </row>
    <row r="8" spans="3:30">
      <c r="C8" s="426"/>
      <c r="W8" s="430">
        <v>3</v>
      </c>
      <c r="X8" s="658" t="s">
        <v>995</v>
      </c>
      <c r="Y8" s="658"/>
      <c r="Z8" s="658"/>
      <c r="AA8" s="658"/>
      <c r="AB8" s="658"/>
      <c r="AC8" s="658"/>
      <c r="AD8" s="659"/>
    </row>
    <row r="9" spans="3:30">
      <c r="C9" s="426"/>
      <c r="W9" s="430">
        <v>4</v>
      </c>
      <c r="X9" s="658" t="s">
        <v>996</v>
      </c>
      <c r="Y9" s="658"/>
      <c r="Z9" s="658"/>
      <c r="AA9" s="658"/>
      <c r="AB9" s="658"/>
      <c r="AC9" s="658"/>
      <c r="AD9" s="659"/>
    </row>
    <row r="10" spans="3:30">
      <c r="C10" s="426"/>
      <c r="W10" s="430">
        <v>5</v>
      </c>
      <c r="X10" s="658" t="s">
        <v>997</v>
      </c>
      <c r="Y10" s="658"/>
      <c r="Z10" s="658"/>
      <c r="AA10" s="658"/>
      <c r="AB10" s="658"/>
      <c r="AC10" s="658"/>
      <c r="AD10" s="659"/>
    </row>
    <row r="11" spans="3:30">
      <c r="C11" s="426"/>
      <c r="W11" s="430">
        <v>6</v>
      </c>
      <c r="X11" s="658" t="s">
        <v>998</v>
      </c>
      <c r="Y11" s="658"/>
      <c r="Z11" s="658"/>
      <c r="AA11" s="658"/>
      <c r="AB11" s="658"/>
      <c r="AC11" s="658"/>
      <c r="AD11" s="659"/>
    </row>
    <row r="12" spans="3:30">
      <c r="C12" s="426"/>
      <c r="W12" s="430">
        <v>7</v>
      </c>
      <c r="X12" s="658" t="s">
        <v>999</v>
      </c>
      <c r="Y12" s="658"/>
      <c r="Z12" s="658"/>
      <c r="AA12" s="658"/>
      <c r="AB12" s="658"/>
      <c r="AC12" s="658"/>
      <c r="AD12" s="659"/>
    </row>
    <row r="13" spans="3:30" ht="12.75" customHeight="1">
      <c r="C13" s="426"/>
      <c r="W13" s="430">
        <v>8</v>
      </c>
      <c r="X13" s="658" t="s">
        <v>1000</v>
      </c>
      <c r="Y13" s="658"/>
      <c r="Z13" s="658"/>
      <c r="AA13" s="658"/>
      <c r="AB13" s="658"/>
      <c r="AC13" s="658"/>
      <c r="AD13" s="659"/>
    </row>
    <row r="14" spans="3:30">
      <c r="C14" s="426"/>
      <c r="W14" s="430">
        <v>9</v>
      </c>
      <c r="X14" s="658" t="s">
        <v>1001</v>
      </c>
      <c r="Y14" s="658"/>
      <c r="Z14" s="658"/>
      <c r="AA14" s="658"/>
      <c r="AB14" s="658"/>
      <c r="AC14" s="658"/>
      <c r="AD14" s="659"/>
    </row>
    <row r="15" spans="3:30">
      <c r="C15" s="426"/>
      <c r="W15" s="430">
        <v>10</v>
      </c>
      <c r="X15" s="658" t="s">
        <v>1010</v>
      </c>
      <c r="Y15" s="658"/>
      <c r="Z15" s="658"/>
      <c r="AA15" s="658"/>
      <c r="AB15" s="658"/>
      <c r="AC15" s="658"/>
      <c r="AD15" s="659"/>
    </row>
    <row r="16" spans="3:30">
      <c r="C16" s="426"/>
      <c r="W16" s="430">
        <v>11</v>
      </c>
      <c r="X16" s="658" t="s">
        <v>1454</v>
      </c>
      <c r="Y16" s="658"/>
      <c r="Z16" s="658"/>
      <c r="AA16" s="658"/>
      <c r="AB16" s="658"/>
      <c r="AC16" s="658"/>
      <c r="AD16" s="659"/>
    </row>
    <row r="17" spans="3:30">
      <c r="C17" s="426"/>
      <c r="S17" s="432"/>
      <c r="W17" s="430">
        <v>12</v>
      </c>
      <c r="X17" s="658" t="s">
        <v>1011</v>
      </c>
      <c r="Y17" s="658"/>
      <c r="Z17" s="658"/>
      <c r="AA17" s="658"/>
      <c r="AB17" s="658"/>
      <c r="AC17" s="658"/>
      <c r="AD17" s="659"/>
    </row>
    <row r="18" spans="3:30">
      <c r="C18" s="433"/>
      <c r="D18" s="434"/>
      <c r="E18" s="434"/>
      <c r="W18" s="430">
        <v>13</v>
      </c>
      <c r="X18" s="658"/>
      <c r="Y18" s="658"/>
      <c r="Z18" s="658"/>
      <c r="AA18" s="658"/>
      <c r="AB18" s="658"/>
      <c r="AC18" s="658"/>
      <c r="AD18" s="659"/>
    </row>
    <row r="19" spans="3:30">
      <c r="C19" s="426"/>
      <c r="W19" s="435"/>
      <c r="X19" s="700"/>
      <c r="Y19" s="700"/>
      <c r="Z19" s="700"/>
      <c r="AA19" s="700"/>
      <c r="AB19" s="700"/>
      <c r="AC19" s="700"/>
      <c r="AD19" s="701"/>
    </row>
    <row r="20" spans="3:30">
      <c r="C20" s="426"/>
      <c r="Q20" s="436"/>
      <c r="W20" s="702" t="s">
        <v>992</v>
      </c>
      <c r="X20" s="703"/>
      <c r="Y20" s="703"/>
      <c r="Z20" s="703"/>
      <c r="AA20" s="703"/>
      <c r="AB20" s="703"/>
      <c r="AC20" s="703"/>
      <c r="AD20" s="704"/>
    </row>
    <row r="21" spans="3:30">
      <c r="C21" s="426"/>
      <c r="W21" s="705" t="s">
        <v>985</v>
      </c>
      <c r="X21" s="706"/>
      <c r="Y21" s="706"/>
      <c r="Z21" s="707"/>
      <c r="AA21" s="708" t="s">
        <v>986</v>
      </c>
      <c r="AB21" s="709"/>
      <c r="AC21" s="709"/>
      <c r="AD21" s="710"/>
    </row>
    <row r="22" spans="3:30">
      <c r="C22" s="426"/>
      <c r="S22" s="437"/>
      <c r="W22" s="694" t="s">
        <v>1625</v>
      </c>
      <c r="X22" s="695"/>
      <c r="Y22" s="438" t="s">
        <v>1626</v>
      </c>
      <c r="Z22" s="439">
        <v>120</v>
      </c>
      <c r="AA22" s="696"/>
      <c r="AB22" s="697"/>
      <c r="AC22" s="440"/>
      <c r="AD22" s="441"/>
    </row>
    <row r="23" spans="3:30">
      <c r="C23" s="426"/>
      <c r="W23" s="694"/>
      <c r="X23" s="695"/>
      <c r="Y23" s="438"/>
      <c r="Z23" s="439"/>
      <c r="AA23" s="686"/>
      <c r="AB23" s="687"/>
      <c r="AC23" s="440"/>
      <c r="AD23" s="441"/>
    </row>
    <row r="24" spans="3:30">
      <c r="C24" s="426"/>
      <c r="W24" s="694" t="s">
        <v>1638</v>
      </c>
      <c r="X24" s="695"/>
      <c r="Y24" s="438" t="s">
        <v>1616</v>
      </c>
      <c r="Z24" s="439">
        <v>1</v>
      </c>
      <c r="AA24" s="698"/>
      <c r="AB24" s="699"/>
      <c r="AC24" s="440"/>
      <c r="AD24" s="441"/>
    </row>
    <row r="25" spans="3:30">
      <c r="C25" s="426"/>
      <c r="W25" s="694" t="s">
        <v>1627</v>
      </c>
      <c r="X25" s="695"/>
      <c r="Y25" s="438" t="s">
        <v>1616</v>
      </c>
      <c r="Z25" s="439">
        <v>4</v>
      </c>
      <c r="AA25" s="686"/>
      <c r="AB25" s="687"/>
      <c r="AC25" s="440"/>
      <c r="AD25" s="441"/>
    </row>
    <row r="26" spans="3:30">
      <c r="C26" s="426"/>
      <c r="W26" s="692" t="s">
        <v>1639</v>
      </c>
      <c r="X26" s="693"/>
      <c r="Y26" s="438" t="s">
        <v>1633</v>
      </c>
      <c r="Z26" s="439">
        <v>1</v>
      </c>
      <c r="AA26" s="686"/>
      <c r="AB26" s="687"/>
      <c r="AC26" s="440"/>
      <c r="AD26" s="441"/>
    </row>
    <row r="27" spans="3:30">
      <c r="C27" s="426"/>
      <c r="W27" s="692" t="s">
        <v>1628</v>
      </c>
      <c r="X27" s="693"/>
      <c r="Y27" s="438" t="s">
        <v>1633</v>
      </c>
      <c r="Z27" s="439">
        <v>1</v>
      </c>
      <c r="AA27" s="686"/>
      <c r="AB27" s="687"/>
      <c r="AC27" s="440"/>
      <c r="AD27" s="441"/>
    </row>
    <row r="28" spans="3:30">
      <c r="C28" s="426"/>
      <c r="W28" s="684" t="s">
        <v>1629</v>
      </c>
      <c r="X28" s="685"/>
      <c r="Y28" s="438" t="s">
        <v>1616</v>
      </c>
      <c r="Z28" s="439">
        <v>1</v>
      </c>
      <c r="AA28" s="686"/>
      <c r="AB28" s="687"/>
      <c r="AC28" s="440"/>
      <c r="AD28" s="441"/>
    </row>
    <row r="29" spans="3:30">
      <c r="C29" s="426"/>
      <c r="W29" s="692" t="s">
        <v>1630</v>
      </c>
      <c r="X29" s="693"/>
      <c r="Y29" s="438" t="s">
        <v>1616</v>
      </c>
      <c r="Z29" s="439">
        <v>1</v>
      </c>
      <c r="AA29" s="686"/>
      <c r="AB29" s="687"/>
      <c r="AC29" s="440"/>
      <c r="AD29" s="441"/>
    </row>
    <row r="30" spans="3:30" ht="11.25" customHeight="1">
      <c r="C30" s="426"/>
      <c r="W30" s="684" t="s">
        <v>1631</v>
      </c>
      <c r="X30" s="685"/>
      <c r="Y30" s="438" t="s">
        <v>1616</v>
      </c>
      <c r="Z30" s="439">
        <v>2</v>
      </c>
      <c r="AA30" s="686"/>
      <c r="AB30" s="687"/>
      <c r="AC30" s="440"/>
      <c r="AD30" s="441"/>
    </row>
    <row r="31" spans="3:30">
      <c r="C31" s="426"/>
      <c r="U31" s="444"/>
      <c r="W31" s="442" t="s">
        <v>1632</v>
      </c>
      <c r="X31" s="443"/>
      <c r="Y31" s="438" t="s">
        <v>1616</v>
      </c>
      <c r="Z31" s="439">
        <v>1</v>
      </c>
      <c r="AA31" s="686"/>
      <c r="AB31" s="687"/>
      <c r="AC31" s="440"/>
      <c r="AD31" s="441"/>
    </row>
    <row r="32" spans="3:30">
      <c r="C32" s="426"/>
      <c r="U32" s="444"/>
      <c r="W32" s="500" t="s">
        <v>1634</v>
      </c>
      <c r="X32" s="501"/>
      <c r="Y32" s="438" t="s">
        <v>1616</v>
      </c>
      <c r="Z32" s="439">
        <v>1</v>
      </c>
      <c r="AA32" s="686"/>
      <c r="AB32" s="687"/>
      <c r="AC32" s="440"/>
      <c r="AD32" s="441"/>
    </row>
    <row r="33" spans="3:30">
      <c r="C33" s="426"/>
      <c r="W33" s="684"/>
      <c r="X33" s="685"/>
      <c r="Y33" s="438"/>
      <c r="Z33" s="439"/>
      <c r="AA33" s="686"/>
      <c r="AB33" s="687"/>
      <c r="AC33" s="440"/>
      <c r="AD33" s="441"/>
    </row>
    <row r="34" spans="3:30">
      <c r="C34" s="426"/>
      <c r="Q34" s="424" t="s">
        <v>1607</v>
      </c>
      <c r="W34" s="684"/>
      <c r="X34" s="685"/>
      <c r="Y34" s="438"/>
      <c r="Z34" s="439"/>
      <c r="AA34" s="686"/>
      <c r="AB34" s="687"/>
      <c r="AC34" s="440"/>
      <c r="AD34" s="441"/>
    </row>
    <row r="35" spans="3:30">
      <c r="C35" s="426"/>
      <c r="W35" s="684"/>
      <c r="X35" s="685"/>
      <c r="Y35" s="438"/>
      <c r="Z35" s="439"/>
      <c r="AA35" s="686"/>
      <c r="AB35" s="687"/>
      <c r="AC35" s="440"/>
      <c r="AD35" s="441"/>
    </row>
    <row r="36" spans="3:30">
      <c r="C36" s="426"/>
      <c r="W36" s="684"/>
      <c r="X36" s="685"/>
      <c r="Y36" s="438"/>
      <c r="Z36" s="439"/>
      <c r="AA36" s="686"/>
      <c r="AB36" s="687"/>
      <c r="AC36" s="440"/>
      <c r="AD36" s="441"/>
    </row>
    <row r="37" spans="3:30" ht="12.75" customHeight="1">
      <c r="C37" s="426"/>
      <c r="W37" s="442"/>
      <c r="X37" s="445"/>
      <c r="Y37" s="438"/>
      <c r="Z37" s="439"/>
      <c r="AA37" s="688"/>
      <c r="AB37" s="689"/>
      <c r="AC37" s="440"/>
      <c r="AD37" s="446"/>
    </row>
    <row r="38" spans="3:30" ht="12.75" customHeight="1">
      <c r="C38" s="426"/>
      <c r="W38" s="502"/>
      <c r="X38" s="503"/>
      <c r="Y38" s="438"/>
      <c r="Z38" s="504"/>
      <c r="AA38" s="690"/>
      <c r="AB38" s="691"/>
      <c r="AC38" s="440"/>
      <c r="AD38" s="446"/>
    </row>
    <row r="39" spans="3:30" ht="12" customHeight="1">
      <c r="C39" s="426"/>
      <c r="W39" s="502"/>
      <c r="X39" s="503"/>
      <c r="Y39" s="438"/>
      <c r="Z39" s="504"/>
      <c r="AA39" s="672"/>
      <c r="AB39" s="673"/>
      <c r="AC39" s="440"/>
      <c r="AD39" s="446"/>
    </row>
    <row r="40" spans="3:30" ht="12" customHeight="1">
      <c r="C40" s="426"/>
      <c r="W40" s="505"/>
      <c r="X40" s="506"/>
      <c r="Y40" s="507"/>
      <c r="Z40" s="504"/>
      <c r="AA40" s="508"/>
      <c r="AB40" s="509"/>
      <c r="AC40" s="447"/>
      <c r="AD40" s="448"/>
    </row>
    <row r="41" spans="3:30" ht="12" customHeight="1">
      <c r="C41" s="426"/>
      <c r="W41" s="674"/>
      <c r="X41" s="675"/>
      <c r="Y41" s="510"/>
      <c r="Z41" s="511"/>
      <c r="AA41" s="676"/>
      <c r="AB41" s="677"/>
      <c r="AC41" s="447"/>
      <c r="AD41" s="448"/>
    </row>
    <row r="42" spans="3:30" ht="12" customHeight="1">
      <c r="C42" s="426"/>
      <c r="W42" s="678" t="s">
        <v>1617</v>
      </c>
      <c r="X42" s="679"/>
      <c r="Y42" s="679"/>
      <c r="Z42" s="679"/>
      <c r="AA42" s="679"/>
      <c r="AB42" s="679"/>
      <c r="AC42" s="679"/>
      <c r="AD42" s="680"/>
    </row>
    <row r="43" spans="3:30" ht="12" customHeight="1">
      <c r="C43" s="426"/>
      <c r="V43" s="449"/>
      <c r="W43" s="681"/>
      <c r="X43" s="682"/>
      <c r="Y43" s="682"/>
      <c r="Z43" s="682"/>
      <c r="AA43" s="682"/>
      <c r="AB43" s="682"/>
      <c r="AC43" s="682"/>
      <c r="AD43" s="683"/>
    </row>
    <row r="44" spans="3:30">
      <c r="C44" s="450"/>
      <c r="D44" s="451"/>
      <c r="E44" s="451"/>
      <c r="F44" s="451"/>
      <c r="G44" s="451"/>
      <c r="H44" s="451"/>
      <c r="I44" s="451"/>
      <c r="N44" s="451"/>
      <c r="O44" s="451"/>
      <c r="P44" s="451"/>
      <c r="Q44" s="451"/>
      <c r="R44" s="451"/>
      <c r="S44" s="451"/>
      <c r="T44" s="451"/>
      <c r="U44" s="451"/>
      <c r="V44" s="449"/>
      <c r="W44" s="670" t="s">
        <v>11</v>
      </c>
      <c r="X44" s="657"/>
      <c r="Y44" s="658"/>
      <c r="Z44" s="658"/>
      <c r="AA44" s="658"/>
      <c r="AB44" s="658"/>
      <c r="AC44" s="658"/>
      <c r="AD44" s="659"/>
    </row>
    <row r="45" spans="3:30">
      <c r="C45" s="450"/>
      <c r="D45" s="451"/>
      <c r="E45" s="451"/>
      <c r="F45" s="451"/>
      <c r="G45" s="451"/>
      <c r="H45" s="451"/>
      <c r="I45" s="451"/>
      <c r="N45" s="451"/>
      <c r="O45" s="451"/>
      <c r="P45" s="451"/>
      <c r="Q45" s="451"/>
      <c r="R45" s="451"/>
      <c r="S45" s="451"/>
      <c r="T45" s="451"/>
      <c r="U45" s="451"/>
      <c r="V45" s="449"/>
      <c r="W45" s="670" t="s">
        <v>984</v>
      </c>
      <c r="X45" s="657"/>
      <c r="Y45" s="658">
        <v>1</v>
      </c>
      <c r="Z45" s="658"/>
      <c r="AA45" s="658"/>
      <c r="AB45" s="658" t="s">
        <v>12</v>
      </c>
      <c r="AC45" s="658"/>
      <c r="AD45" s="431" t="s">
        <v>13</v>
      </c>
    </row>
    <row r="46" spans="3:30">
      <c r="C46" s="450"/>
      <c r="D46" s="451"/>
      <c r="E46" s="451"/>
      <c r="F46" s="451"/>
      <c r="G46" s="451"/>
      <c r="H46" s="451"/>
      <c r="I46" s="451"/>
      <c r="J46" s="451"/>
      <c r="K46" s="451"/>
      <c r="L46" s="451"/>
      <c r="M46" s="451"/>
      <c r="N46" s="451"/>
      <c r="O46" s="451"/>
      <c r="P46" s="451"/>
      <c r="Q46" s="451"/>
      <c r="R46" s="451"/>
      <c r="S46" s="451"/>
      <c r="T46" s="451"/>
      <c r="U46" s="451"/>
      <c r="V46" s="449"/>
      <c r="W46" s="670" t="s">
        <v>15</v>
      </c>
      <c r="X46" s="657"/>
      <c r="Y46" s="671"/>
      <c r="Z46" s="671"/>
      <c r="AA46" s="671"/>
      <c r="AB46" s="658" t="s">
        <v>16</v>
      </c>
      <c r="AC46" s="658"/>
      <c r="AD46" s="452"/>
    </row>
    <row r="47" spans="3:30">
      <c r="C47" s="450"/>
      <c r="D47" s="451"/>
      <c r="E47" s="451"/>
      <c r="F47" s="451"/>
      <c r="G47" s="451"/>
      <c r="H47" s="451"/>
      <c r="I47" s="451"/>
      <c r="J47" s="451"/>
      <c r="K47" s="451"/>
      <c r="L47" s="451"/>
      <c r="M47" s="451"/>
      <c r="N47" s="451"/>
      <c r="O47" s="451"/>
      <c r="P47" s="451"/>
      <c r="Q47" s="451"/>
      <c r="R47" s="451"/>
      <c r="S47" s="451"/>
      <c r="T47" s="451"/>
      <c r="U47" s="451"/>
      <c r="V47" s="449"/>
      <c r="W47" s="664" t="s">
        <v>17</v>
      </c>
      <c r="X47" s="664"/>
      <c r="Y47" s="664"/>
      <c r="Z47" s="664"/>
      <c r="AA47" s="664"/>
      <c r="AB47" s="664"/>
      <c r="AC47" s="664"/>
      <c r="AD47" s="665"/>
    </row>
    <row r="48" spans="3:30" ht="12.75" customHeight="1">
      <c r="C48" s="450"/>
      <c r="D48" s="451"/>
      <c r="E48" s="451"/>
      <c r="F48" s="451"/>
      <c r="G48" s="451"/>
      <c r="H48" s="451"/>
      <c r="I48" s="451"/>
      <c r="J48" s="451"/>
      <c r="K48" s="451"/>
      <c r="L48" s="451"/>
      <c r="M48" s="451"/>
      <c r="R48" s="451"/>
      <c r="S48" s="451"/>
      <c r="T48" s="451"/>
      <c r="U48" s="451"/>
      <c r="V48" s="449"/>
      <c r="W48" s="666" t="s">
        <v>1641</v>
      </c>
      <c r="X48" s="666"/>
      <c r="Y48" s="666"/>
      <c r="Z48" s="666"/>
      <c r="AA48" s="666"/>
      <c r="AB48" s="666"/>
      <c r="AC48" s="666"/>
      <c r="AD48" s="667"/>
    </row>
    <row r="49" spans="3:30">
      <c r="C49" s="450"/>
      <c r="D49" s="453"/>
      <c r="E49" s="451"/>
      <c r="F49" s="451"/>
      <c r="G49" s="451"/>
      <c r="I49" s="451"/>
      <c r="J49" s="451"/>
      <c r="K49" s="451"/>
      <c r="L49" s="451"/>
      <c r="M49" s="451"/>
      <c r="R49" s="451"/>
      <c r="S49" s="451"/>
      <c r="T49" s="451"/>
      <c r="U49" s="451"/>
      <c r="V49" s="454"/>
      <c r="W49" s="666"/>
      <c r="X49" s="666"/>
      <c r="Y49" s="666"/>
      <c r="Z49" s="666"/>
      <c r="AA49" s="666"/>
      <c r="AB49" s="666"/>
      <c r="AC49" s="666"/>
      <c r="AD49" s="667"/>
    </row>
    <row r="50" spans="3:30">
      <c r="C50" s="450"/>
      <c r="D50" s="455"/>
      <c r="E50" s="455"/>
      <c r="F50" s="455"/>
      <c r="G50" s="455"/>
      <c r="I50" s="451"/>
      <c r="J50" s="451"/>
      <c r="K50" s="451"/>
      <c r="L50" s="451"/>
      <c r="M50" s="451"/>
      <c r="N50" s="451"/>
      <c r="O50" s="451"/>
      <c r="P50" s="451"/>
      <c r="Q50" s="451"/>
      <c r="R50" s="451"/>
      <c r="S50" s="451"/>
      <c r="T50" s="451"/>
      <c r="U50" s="451"/>
      <c r="V50" s="454"/>
      <c r="W50" s="666"/>
      <c r="X50" s="666"/>
      <c r="Y50" s="666"/>
      <c r="Z50" s="666"/>
      <c r="AA50" s="666"/>
      <c r="AB50" s="666"/>
      <c r="AC50" s="666"/>
      <c r="AD50" s="667"/>
    </row>
    <row r="51" spans="3:30" ht="19.5" customHeight="1">
      <c r="C51" s="450"/>
      <c r="D51" s="455"/>
      <c r="E51" s="455"/>
      <c r="F51" s="455"/>
      <c r="G51" s="455"/>
      <c r="I51" s="451"/>
      <c r="J51" s="451"/>
      <c r="K51" s="451"/>
      <c r="L51" s="451"/>
      <c r="M51" s="451"/>
      <c r="N51" s="451"/>
      <c r="O51" s="451"/>
      <c r="P51" s="451"/>
      <c r="Q51" s="451"/>
      <c r="R51" s="451"/>
      <c r="S51" s="451"/>
      <c r="T51" s="451"/>
      <c r="U51" s="451"/>
      <c r="V51" s="454"/>
      <c r="W51" s="668"/>
      <c r="X51" s="668"/>
      <c r="Y51" s="668"/>
      <c r="Z51" s="668"/>
      <c r="AA51" s="668"/>
      <c r="AB51" s="668"/>
      <c r="AC51" s="668"/>
      <c r="AD51" s="669"/>
    </row>
    <row r="52" spans="3:30">
      <c r="C52" s="450"/>
      <c r="D52" s="456"/>
      <c r="E52" s="456"/>
      <c r="F52" s="456"/>
      <c r="G52" s="456"/>
      <c r="I52" s="451"/>
      <c r="J52" s="451"/>
      <c r="K52" s="451"/>
      <c r="L52" s="422"/>
      <c r="M52" s="451"/>
      <c r="N52" s="451"/>
      <c r="O52" s="451"/>
      <c r="P52" s="451"/>
      <c r="Q52" s="451"/>
      <c r="R52" s="451"/>
      <c r="S52" s="451"/>
      <c r="T52" s="451"/>
      <c r="U52" s="451"/>
      <c r="V52" s="449"/>
      <c r="W52" s="656" t="s">
        <v>18</v>
      </c>
      <c r="X52" s="657"/>
      <c r="Y52" s="658" t="s">
        <v>1618</v>
      </c>
      <c r="Z52" s="658"/>
      <c r="AA52" s="658"/>
      <c r="AB52" s="658"/>
      <c r="AC52" s="658"/>
      <c r="AD52" s="659"/>
    </row>
    <row r="53" spans="3:30">
      <c r="C53" s="450"/>
      <c r="D53" s="455"/>
      <c r="E53" s="455"/>
      <c r="F53" s="455"/>
      <c r="G53" s="455"/>
      <c r="I53" s="451"/>
      <c r="J53" s="451"/>
      <c r="K53" s="451"/>
      <c r="L53" s="451"/>
      <c r="M53" s="451"/>
      <c r="N53" s="451"/>
      <c r="O53" s="451"/>
      <c r="P53" s="451"/>
      <c r="Q53" s="451"/>
      <c r="R53" s="451"/>
      <c r="S53" s="451"/>
      <c r="T53" s="451"/>
      <c r="V53" s="449"/>
      <c r="W53" s="656" t="s">
        <v>19</v>
      </c>
      <c r="X53" s="657"/>
      <c r="Y53" s="658" t="s">
        <v>1619</v>
      </c>
      <c r="Z53" s="658"/>
      <c r="AA53" s="658"/>
      <c r="AB53" s="658"/>
      <c r="AC53" s="658"/>
      <c r="AD53" s="659"/>
    </row>
    <row r="54" spans="3:30">
      <c r="C54" s="450"/>
      <c r="D54" s="423"/>
      <c r="E54" s="423"/>
      <c r="F54" s="423"/>
      <c r="G54" s="423"/>
      <c r="I54" s="451"/>
      <c r="J54" s="451"/>
      <c r="K54" s="451"/>
      <c r="L54" s="451"/>
      <c r="M54" s="451"/>
      <c r="N54" s="451"/>
      <c r="O54" s="451"/>
      <c r="P54" s="451"/>
      <c r="Q54" s="451"/>
      <c r="R54" s="451"/>
      <c r="S54" s="451"/>
      <c r="T54" s="451"/>
      <c r="V54" s="449"/>
      <c r="W54" s="656" t="s">
        <v>20</v>
      </c>
      <c r="X54" s="657"/>
      <c r="Y54" s="658" t="s">
        <v>1619</v>
      </c>
      <c r="Z54" s="658"/>
      <c r="AA54" s="658"/>
      <c r="AB54" s="658"/>
      <c r="AC54" s="658"/>
      <c r="AD54" s="659"/>
    </row>
    <row r="55" spans="3:30" ht="12.75" thickBot="1">
      <c r="C55" s="457"/>
      <c r="D55" s="458"/>
      <c r="E55" s="458"/>
      <c r="F55" s="458"/>
      <c r="G55" s="458"/>
      <c r="H55" s="458"/>
      <c r="I55" s="458"/>
      <c r="J55" s="458"/>
      <c r="K55" s="458"/>
      <c r="L55" s="458"/>
      <c r="M55" s="458"/>
      <c r="N55" s="458"/>
      <c r="O55" s="458"/>
      <c r="P55" s="458"/>
      <c r="Q55" s="458"/>
      <c r="R55" s="458"/>
      <c r="S55" s="458"/>
      <c r="T55" s="458"/>
      <c r="U55" s="459"/>
      <c r="V55" s="460"/>
      <c r="W55" s="660" t="s">
        <v>21</v>
      </c>
      <c r="X55" s="661"/>
      <c r="Y55" s="662" t="s">
        <v>1620</v>
      </c>
      <c r="Z55" s="662"/>
      <c r="AA55" s="662"/>
      <c r="AB55" s="662"/>
      <c r="AC55" s="662"/>
      <c r="AD55" s="663"/>
    </row>
  </sheetData>
  <mergeCells count="105">
    <mergeCell ref="W2:AD3"/>
    <mergeCell ref="X5:Z5"/>
    <mergeCell ref="AA5:AB5"/>
    <mergeCell ref="AC5:AD5"/>
    <mergeCell ref="X6:Z6"/>
    <mergeCell ref="AA6:AB6"/>
    <mergeCell ref="AC6:AD6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35:X35"/>
    <mergeCell ref="AA35:AB35"/>
    <mergeCell ref="W36:X36"/>
    <mergeCell ref="AA36:AB36"/>
    <mergeCell ref="AA37:AB37"/>
    <mergeCell ref="AA38:AB38"/>
    <mergeCell ref="AA31:AB31"/>
    <mergeCell ref="AA32:AB32"/>
    <mergeCell ref="W33:X33"/>
    <mergeCell ref="AA33:AB33"/>
    <mergeCell ref="W34:X34"/>
    <mergeCell ref="AA34:AB34"/>
    <mergeCell ref="W45:X45"/>
    <mergeCell ref="Y45:AA45"/>
    <mergeCell ref="AB45:AC45"/>
    <mergeCell ref="W46:X46"/>
    <mergeCell ref="Y46:AA46"/>
    <mergeCell ref="AB46:AC46"/>
    <mergeCell ref="AA39:AB39"/>
    <mergeCell ref="W41:X41"/>
    <mergeCell ref="AA41:AB41"/>
    <mergeCell ref="W42:AD43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F277B-C274-4015-9BD2-0CE9ED242DC9}">
  <sheetPr>
    <tabColor rgb="FFFF66FF"/>
  </sheetPr>
  <dimension ref="B1:AE122"/>
  <sheetViews>
    <sheetView view="pageBreakPreview" topLeftCell="A5" zoomScale="50" zoomScaleNormal="40" zoomScaleSheetLayoutView="50" workbookViewId="0">
      <selection activeCell="AC37" sqref="AC37"/>
    </sheetView>
  </sheetViews>
  <sheetFormatPr defaultColWidth="9.140625" defaultRowHeight="12.75"/>
  <cols>
    <col min="1" max="1" width="1.7109375" style="461" customWidth="1"/>
    <col min="2" max="2" width="10.7109375" style="461" customWidth="1"/>
    <col min="3" max="3" width="2.5703125" style="461" customWidth="1"/>
    <col min="4" max="20" width="9.140625" style="461"/>
    <col min="21" max="21" width="14.5703125" style="461" customWidth="1"/>
    <col min="22" max="22" width="3.140625" style="461" customWidth="1"/>
    <col min="23" max="26" width="9.140625" style="461"/>
    <col min="27" max="27" width="2.85546875" style="461" customWidth="1"/>
    <col min="28" max="30" width="4.7109375" style="461" customWidth="1"/>
    <col min="31" max="31" width="1.7109375" style="461" customWidth="1"/>
    <col min="32" max="16384" width="9.140625" style="461"/>
  </cols>
  <sheetData>
    <row r="1" spans="2:31" ht="13.5" thickBot="1"/>
    <row r="2" spans="2:31" ht="13.5" thickBot="1">
      <c r="B2" s="462"/>
      <c r="C2" s="463"/>
      <c r="D2" s="463"/>
      <c r="E2" s="463"/>
      <c r="F2" s="463"/>
      <c r="G2" s="463"/>
      <c r="H2" s="463"/>
      <c r="I2" s="463"/>
      <c r="J2" s="463"/>
      <c r="K2" s="463"/>
      <c r="L2" s="463"/>
      <c r="M2" s="463"/>
      <c r="N2" s="463"/>
      <c r="O2" s="463"/>
      <c r="P2" s="463"/>
      <c r="Q2" s="463"/>
      <c r="R2" s="463"/>
      <c r="S2" s="463"/>
      <c r="T2" s="463"/>
      <c r="U2" s="463"/>
      <c r="V2" s="463"/>
      <c r="W2" s="463"/>
      <c r="X2" s="463"/>
      <c r="Y2" s="463"/>
      <c r="Z2" s="463"/>
      <c r="AA2" s="463"/>
      <c r="AB2" s="463"/>
      <c r="AC2" s="463"/>
      <c r="AD2" s="464"/>
      <c r="AE2" s="465"/>
    </row>
    <row r="3" spans="2:31" ht="12.75" customHeight="1" thickTop="1">
      <c r="B3" s="466"/>
      <c r="C3" s="717" t="s">
        <v>1621</v>
      </c>
      <c r="D3" s="718"/>
      <c r="E3" s="718"/>
      <c r="F3" s="718"/>
      <c r="G3" s="718"/>
      <c r="H3" s="718"/>
      <c r="I3" s="718"/>
      <c r="J3" s="718"/>
      <c r="K3" s="718"/>
      <c r="L3" s="718"/>
      <c r="M3" s="718"/>
      <c r="N3" s="718"/>
      <c r="O3" s="718"/>
      <c r="P3" s="718"/>
      <c r="Q3" s="718"/>
      <c r="R3" s="718"/>
      <c r="S3" s="718"/>
      <c r="T3" s="718"/>
      <c r="U3" s="718"/>
      <c r="V3" s="718"/>
      <c r="W3" s="718"/>
      <c r="X3" s="718"/>
      <c r="Y3" s="718"/>
      <c r="Z3" s="718"/>
      <c r="AA3" s="718"/>
      <c r="AB3" s="719"/>
      <c r="AC3" s="467"/>
      <c r="AD3" s="465"/>
      <c r="AE3" s="465"/>
    </row>
    <row r="4" spans="2:31" ht="13.5" customHeight="1" thickBot="1">
      <c r="B4" s="466"/>
      <c r="C4" s="720"/>
      <c r="D4" s="721"/>
      <c r="E4" s="721"/>
      <c r="F4" s="721"/>
      <c r="G4" s="721"/>
      <c r="H4" s="721"/>
      <c r="I4" s="721"/>
      <c r="J4" s="721"/>
      <c r="K4" s="721"/>
      <c r="L4" s="721"/>
      <c r="M4" s="721"/>
      <c r="N4" s="721"/>
      <c r="O4" s="721"/>
      <c r="P4" s="721"/>
      <c r="Q4" s="721"/>
      <c r="R4" s="721"/>
      <c r="S4" s="721"/>
      <c r="T4" s="721"/>
      <c r="U4" s="721"/>
      <c r="V4" s="721"/>
      <c r="W4" s="721"/>
      <c r="X4" s="721"/>
      <c r="Y4" s="721"/>
      <c r="Z4" s="721"/>
      <c r="AA4" s="721"/>
      <c r="AB4" s="722"/>
      <c r="AC4" s="467"/>
      <c r="AD4" s="465"/>
      <c r="AE4" s="465"/>
    </row>
    <row r="5" spans="2:31" ht="12.75" customHeight="1" thickTop="1">
      <c r="B5" s="466"/>
      <c r="C5" s="468"/>
      <c r="AD5" s="465"/>
      <c r="AE5" s="465"/>
    </row>
    <row r="6" spans="2:31" ht="12.75" customHeight="1">
      <c r="B6" s="466"/>
      <c r="Y6" s="469"/>
      <c r="Z6" s="469"/>
      <c r="AA6" s="469"/>
      <c r="AB6" s="470"/>
      <c r="AC6" s="470"/>
      <c r="AD6" s="465"/>
      <c r="AE6" s="465"/>
    </row>
    <row r="7" spans="2:31" ht="12.75" customHeight="1">
      <c r="B7" s="466"/>
      <c r="Y7" s="469"/>
      <c r="Z7" s="469"/>
      <c r="AA7" s="469"/>
      <c r="AB7" s="470"/>
      <c r="AC7" s="470"/>
      <c r="AD7" s="465"/>
      <c r="AE7" s="465"/>
    </row>
    <row r="8" spans="2:31" ht="12.75" customHeight="1">
      <c r="B8" s="466"/>
      <c r="AD8" s="465"/>
      <c r="AE8" s="465"/>
    </row>
    <row r="9" spans="2:31" ht="12.75" customHeight="1">
      <c r="B9" s="466"/>
      <c r="AD9" s="465"/>
      <c r="AE9" s="465"/>
    </row>
    <row r="10" spans="2:31">
      <c r="B10" s="466"/>
      <c r="AD10" s="465"/>
      <c r="AE10" s="465"/>
    </row>
    <row r="11" spans="2:31">
      <c r="B11" s="466"/>
      <c r="AD11" s="465"/>
      <c r="AE11" s="465"/>
    </row>
    <row r="12" spans="2:31">
      <c r="B12" s="466"/>
      <c r="AD12" s="465"/>
      <c r="AE12" s="465"/>
    </row>
    <row r="13" spans="2:31">
      <c r="B13" s="466"/>
      <c r="AD13" s="465"/>
      <c r="AE13" s="465"/>
    </row>
    <row r="14" spans="2:31">
      <c r="B14" s="466"/>
      <c r="D14" s="471"/>
      <c r="AD14" s="465"/>
      <c r="AE14" s="465"/>
    </row>
    <row r="15" spans="2:31">
      <c r="B15" s="466"/>
      <c r="AD15" s="465"/>
      <c r="AE15" s="465"/>
    </row>
    <row r="16" spans="2:31">
      <c r="B16" s="466"/>
      <c r="AD16" s="465"/>
      <c r="AE16" s="465"/>
    </row>
    <row r="17" spans="2:31">
      <c r="B17" s="466"/>
      <c r="AD17" s="465"/>
      <c r="AE17" s="465"/>
    </row>
    <row r="18" spans="2:31">
      <c r="B18" s="466"/>
      <c r="AD18" s="465"/>
      <c r="AE18" s="465"/>
    </row>
    <row r="19" spans="2:31">
      <c r="B19" s="466"/>
      <c r="AD19" s="465"/>
      <c r="AE19" s="465"/>
    </row>
    <row r="20" spans="2:31">
      <c r="B20" s="466"/>
      <c r="AD20" s="465"/>
      <c r="AE20" s="465"/>
    </row>
    <row r="21" spans="2:31">
      <c r="B21" s="466"/>
      <c r="AD21" s="465"/>
      <c r="AE21" s="465"/>
    </row>
    <row r="22" spans="2:31">
      <c r="B22" s="466"/>
      <c r="AD22" s="465"/>
      <c r="AE22" s="465"/>
    </row>
    <row r="23" spans="2:31">
      <c r="B23" s="466"/>
      <c r="AD23" s="465"/>
      <c r="AE23" s="465"/>
    </row>
    <row r="24" spans="2:31">
      <c r="B24" s="466"/>
      <c r="AD24" s="465"/>
      <c r="AE24" s="465"/>
    </row>
    <row r="25" spans="2:31">
      <c r="B25" s="466"/>
      <c r="AD25" s="465"/>
      <c r="AE25" s="465"/>
    </row>
    <row r="26" spans="2:31">
      <c r="B26" s="466"/>
      <c r="AD26" s="465"/>
      <c r="AE26" s="465"/>
    </row>
    <row r="27" spans="2:31">
      <c r="B27" s="466"/>
      <c r="AD27" s="465"/>
      <c r="AE27" s="465"/>
    </row>
    <row r="28" spans="2:31">
      <c r="B28" s="466"/>
      <c r="AD28" s="465"/>
      <c r="AE28" s="465"/>
    </row>
    <row r="29" spans="2:31">
      <c r="B29" s="466"/>
      <c r="AD29" s="465"/>
      <c r="AE29" s="465"/>
    </row>
    <row r="30" spans="2:31">
      <c r="B30" s="466"/>
      <c r="AD30" s="465"/>
      <c r="AE30" s="465"/>
    </row>
    <row r="31" spans="2:31">
      <c r="B31" s="466"/>
      <c r="AD31" s="465"/>
      <c r="AE31" s="465"/>
    </row>
    <row r="32" spans="2:31">
      <c r="B32" s="466"/>
      <c r="AD32" s="465"/>
      <c r="AE32" s="465"/>
    </row>
    <row r="33" spans="2:31">
      <c r="B33" s="466"/>
      <c r="AD33" s="465"/>
      <c r="AE33" s="465"/>
    </row>
    <row r="34" spans="2:31">
      <c r="B34" s="466"/>
      <c r="AD34" s="465"/>
      <c r="AE34" s="465"/>
    </row>
    <row r="35" spans="2:31">
      <c r="B35" s="466"/>
      <c r="AD35" s="465"/>
      <c r="AE35" s="465"/>
    </row>
    <row r="36" spans="2:31">
      <c r="B36" s="466"/>
      <c r="AD36" s="465"/>
      <c r="AE36" s="465"/>
    </row>
    <row r="37" spans="2:31">
      <c r="B37" s="466"/>
      <c r="AD37" s="465"/>
      <c r="AE37" s="465"/>
    </row>
    <row r="38" spans="2:31">
      <c r="B38" s="466"/>
      <c r="AD38" s="465"/>
      <c r="AE38" s="465"/>
    </row>
    <row r="39" spans="2:31">
      <c r="B39" s="466"/>
      <c r="AD39" s="465"/>
      <c r="AE39" s="465"/>
    </row>
    <row r="40" spans="2:31">
      <c r="B40" s="466"/>
      <c r="AD40" s="465"/>
      <c r="AE40" s="465"/>
    </row>
    <row r="41" spans="2:31">
      <c r="B41" s="466"/>
      <c r="AD41" s="465"/>
      <c r="AE41" s="465"/>
    </row>
    <row r="42" spans="2:31">
      <c r="B42" s="466"/>
      <c r="AD42" s="465"/>
      <c r="AE42" s="465"/>
    </row>
    <row r="43" spans="2:31">
      <c r="B43" s="466"/>
      <c r="AD43" s="465"/>
      <c r="AE43" s="465"/>
    </row>
    <row r="44" spans="2:31">
      <c r="B44" s="466"/>
      <c r="AD44" s="465"/>
      <c r="AE44" s="465"/>
    </row>
    <row r="45" spans="2:31">
      <c r="B45" s="466"/>
      <c r="AD45" s="465"/>
      <c r="AE45" s="465"/>
    </row>
    <row r="46" spans="2:31">
      <c r="B46" s="466"/>
      <c r="AD46" s="465"/>
      <c r="AE46" s="465"/>
    </row>
    <row r="47" spans="2:31">
      <c r="B47" s="466"/>
      <c r="AD47" s="465"/>
      <c r="AE47" s="465"/>
    </row>
    <row r="48" spans="2:31">
      <c r="B48" s="466"/>
      <c r="AD48" s="465"/>
      <c r="AE48" s="465"/>
    </row>
    <row r="49" spans="2:31">
      <c r="B49" s="466"/>
      <c r="AD49" s="465"/>
      <c r="AE49" s="465"/>
    </row>
    <row r="50" spans="2:31">
      <c r="B50" s="466"/>
      <c r="AD50" s="465"/>
      <c r="AE50" s="465"/>
    </row>
    <row r="51" spans="2:31">
      <c r="B51" s="466"/>
      <c r="AD51" s="465"/>
      <c r="AE51" s="465"/>
    </row>
    <row r="52" spans="2:31">
      <c r="B52" s="466"/>
      <c r="AD52" s="465"/>
      <c r="AE52" s="465"/>
    </row>
    <row r="53" spans="2:31">
      <c r="B53" s="466"/>
      <c r="AD53" s="465"/>
      <c r="AE53" s="465"/>
    </row>
    <row r="54" spans="2:31">
      <c r="B54" s="466"/>
      <c r="AD54" s="465"/>
      <c r="AE54" s="465"/>
    </row>
    <row r="55" spans="2:31">
      <c r="B55" s="466"/>
      <c r="AD55" s="465"/>
      <c r="AE55" s="465"/>
    </row>
    <row r="56" spans="2:31">
      <c r="B56" s="466"/>
      <c r="R56" s="472"/>
      <c r="S56" s="472"/>
      <c r="T56" s="472"/>
      <c r="U56" s="473"/>
      <c r="V56" s="473"/>
      <c r="W56" s="473"/>
      <c r="X56" s="473"/>
      <c r="Y56" s="473"/>
      <c r="Z56" s="473"/>
      <c r="AA56" s="473"/>
      <c r="AB56" s="473"/>
      <c r="AC56" s="473"/>
      <c r="AD56" s="474"/>
      <c r="AE56" s="465"/>
    </row>
    <row r="57" spans="2:31">
      <c r="B57" s="466"/>
      <c r="R57" s="475"/>
      <c r="S57" s="472"/>
      <c r="T57" s="472"/>
      <c r="U57" s="473"/>
      <c r="V57" s="476"/>
      <c r="W57" s="473"/>
      <c r="X57" s="473"/>
      <c r="Y57" s="473"/>
      <c r="Z57" s="473"/>
      <c r="AA57" s="476"/>
      <c r="AB57" s="476"/>
      <c r="AC57" s="476"/>
      <c r="AD57" s="477"/>
      <c r="AE57" s="465"/>
    </row>
    <row r="58" spans="2:31">
      <c r="B58" s="466"/>
      <c r="U58" s="473"/>
      <c r="V58" s="476"/>
      <c r="W58" s="473"/>
      <c r="X58" s="473"/>
      <c r="Y58" s="473"/>
      <c r="Z58" s="473"/>
      <c r="AA58" s="476"/>
      <c r="AB58" s="473"/>
      <c r="AC58" s="473"/>
      <c r="AD58" s="474"/>
      <c r="AE58" s="465"/>
    </row>
    <row r="59" spans="2:31">
      <c r="B59" s="466"/>
      <c r="U59" s="473"/>
      <c r="V59" s="476"/>
      <c r="W59" s="473"/>
      <c r="X59" s="473"/>
      <c r="Y59" s="473"/>
      <c r="Z59" s="473"/>
      <c r="AA59" s="473"/>
      <c r="AB59" s="473"/>
      <c r="AC59" s="473"/>
      <c r="AD59" s="474"/>
      <c r="AE59" s="465"/>
    </row>
    <row r="60" spans="2:31">
      <c r="B60" s="466"/>
      <c r="U60" s="473"/>
      <c r="V60" s="476"/>
      <c r="W60" s="473"/>
      <c r="X60" s="473"/>
      <c r="Y60" s="473"/>
      <c r="Z60" s="473"/>
      <c r="AA60" s="473"/>
      <c r="AB60" s="473"/>
      <c r="AC60" s="473"/>
      <c r="AD60" s="474"/>
      <c r="AE60" s="465"/>
    </row>
    <row r="61" spans="2:31">
      <c r="B61" s="466"/>
      <c r="U61" s="473"/>
      <c r="V61" s="476"/>
      <c r="W61" s="473"/>
      <c r="X61" s="473"/>
      <c r="Y61" s="473"/>
      <c r="Z61" s="473"/>
      <c r="AA61" s="473"/>
      <c r="AB61" s="473"/>
      <c r="AC61" s="473"/>
      <c r="AD61" s="474"/>
      <c r="AE61" s="465"/>
    </row>
    <row r="62" spans="2:31">
      <c r="B62" s="466"/>
      <c r="U62" s="473"/>
      <c r="V62" s="476"/>
      <c r="W62" s="473"/>
      <c r="X62" s="473"/>
      <c r="Y62" s="473"/>
      <c r="Z62" s="473"/>
      <c r="AA62" s="476"/>
      <c r="AB62" s="473"/>
      <c r="AC62" s="473"/>
      <c r="AD62" s="474"/>
      <c r="AE62" s="465"/>
    </row>
    <row r="63" spans="2:31">
      <c r="B63" s="466"/>
      <c r="U63" s="473"/>
      <c r="V63" s="476"/>
      <c r="W63" s="473"/>
      <c r="X63" s="473"/>
      <c r="Y63" s="473"/>
      <c r="Z63" s="473"/>
      <c r="AA63" s="473"/>
      <c r="AB63" s="473"/>
      <c r="AC63" s="473"/>
      <c r="AD63" s="474"/>
      <c r="AE63" s="465"/>
    </row>
    <row r="64" spans="2:31">
      <c r="B64" s="466"/>
      <c r="U64" s="473"/>
      <c r="V64" s="476"/>
      <c r="W64" s="473"/>
      <c r="X64" s="473"/>
      <c r="Y64" s="473"/>
      <c r="Z64" s="473"/>
      <c r="AA64" s="473"/>
      <c r="AB64" s="473"/>
      <c r="AC64" s="473"/>
      <c r="AD64" s="474"/>
      <c r="AE64" s="465"/>
    </row>
    <row r="65" spans="2:31">
      <c r="B65" s="466"/>
      <c r="U65" s="473"/>
      <c r="V65" s="476"/>
      <c r="W65" s="473"/>
      <c r="X65" s="473"/>
      <c r="Y65" s="473"/>
      <c r="Z65" s="473"/>
      <c r="AA65" s="473"/>
      <c r="AB65" s="473"/>
      <c r="AC65" s="473"/>
      <c r="AD65" s="474"/>
      <c r="AE65" s="465"/>
    </row>
    <row r="66" spans="2:31">
      <c r="B66" s="466"/>
      <c r="U66" s="473"/>
      <c r="V66" s="476"/>
      <c r="W66" s="473"/>
      <c r="X66" s="473"/>
      <c r="Y66" s="473"/>
      <c r="Z66" s="473"/>
      <c r="AA66" s="473"/>
      <c r="AB66" s="473"/>
      <c r="AC66" s="473"/>
      <c r="AD66" s="474"/>
      <c r="AE66" s="465"/>
    </row>
    <row r="67" spans="2:31" ht="13.5" thickBot="1">
      <c r="B67" s="478"/>
      <c r="C67" s="479"/>
      <c r="D67" s="479"/>
      <c r="E67" s="479"/>
      <c r="F67" s="479"/>
      <c r="G67" s="479"/>
      <c r="H67" s="479"/>
      <c r="I67" s="479"/>
      <c r="J67" s="479"/>
      <c r="K67" s="479"/>
      <c r="L67" s="479"/>
      <c r="M67" s="479"/>
      <c r="N67" s="479"/>
      <c r="O67" s="479"/>
      <c r="P67" s="479"/>
      <c r="Q67" s="479"/>
      <c r="R67" s="479"/>
      <c r="S67" s="479"/>
      <c r="T67" s="479"/>
      <c r="U67" s="480"/>
      <c r="V67" s="481"/>
      <c r="W67" s="480"/>
      <c r="X67" s="480"/>
      <c r="Y67" s="480"/>
      <c r="Z67" s="480"/>
      <c r="AA67" s="480"/>
      <c r="AB67" s="480"/>
      <c r="AC67" s="480"/>
      <c r="AD67" s="482"/>
      <c r="AE67" s="465"/>
    </row>
    <row r="68" spans="2:31" ht="6" customHeight="1" thickBot="1">
      <c r="B68" s="479"/>
      <c r="C68" s="479"/>
      <c r="D68" s="479"/>
      <c r="E68" s="479"/>
      <c r="F68" s="479"/>
      <c r="G68" s="479"/>
      <c r="H68" s="479"/>
      <c r="I68" s="479"/>
      <c r="J68" s="479"/>
      <c r="K68" s="479"/>
      <c r="L68" s="479"/>
      <c r="M68" s="479"/>
      <c r="N68" s="479"/>
      <c r="O68" s="479"/>
      <c r="P68" s="479"/>
      <c r="Q68" s="479"/>
      <c r="R68" s="479"/>
      <c r="S68" s="479"/>
      <c r="T68" s="479"/>
      <c r="U68" s="479"/>
      <c r="V68" s="479"/>
      <c r="W68" s="479"/>
      <c r="X68" s="479"/>
      <c r="Y68" s="479"/>
      <c r="Z68" s="479"/>
      <c r="AA68" s="479"/>
      <c r="AB68" s="479"/>
      <c r="AC68" s="479"/>
      <c r="AD68" s="479"/>
      <c r="AE68" s="483"/>
    </row>
    <row r="75" spans="2:31">
      <c r="M75" s="484"/>
    </row>
    <row r="76" spans="2:31" ht="15" customHeight="1">
      <c r="E76" s="485"/>
      <c r="M76" s="484"/>
    </row>
    <row r="77" spans="2:31" ht="15" customHeight="1">
      <c r="E77" s="485"/>
      <c r="M77" s="484"/>
    </row>
    <row r="78" spans="2:31" ht="15" customHeight="1">
      <c r="E78" s="485"/>
      <c r="M78" s="484"/>
    </row>
    <row r="79" spans="2:31" ht="15" customHeight="1">
      <c r="E79" s="485"/>
      <c r="M79" s="484"/>
    </row>
    <row r="80" spans="2:31" ht="15" customHeight="1">
      <c r="E80" s="485"/>
      <c r="M80" s="484"/>
    </row>
    <row r="81" spans="5:13" ht="15" customHeight="1">
      <c r="E81" s="485"/>
      <c r="M81" s="484"/>
    </row>
    <row r="82" spans="5:13" ht="15" customHeight="1">
      <c r="E82" s="485"/>
      <c r="M82" s="484"/>
    </row>
    <row r="83" spans="5:13" ht="15" customHeight="1">
      <c r="E83" s="485"/>
      <c r="M83" s="484"/>
    </row>
    <row r="84" spans="5:13" ht="15" customHeight="1">
      <c r="E84" s="485"/>
      <c r="M84" s="484"/>
    </row>
    <row r="85" spans="5:13" ht="15" customHeight="1">
      <c r="E85" s="485"/>
      <c r="M85" s="484"/>
    </row>
    <row r="86" spans="5:13" ht="15" customHeight="1">
      <c r="E86" s="485"/>
      <c r="M86" s="484"/>
    </row>
    <row r="87" spans="5:13" ht="15" customHeight="1">
      <c r="E87" s="485"/>
      <c r="M87" s="484"/>
    </row>
    <row r="88" spans="5:13" ht="15" customHeight="1">
      <c r="E88" s="485"/>
      <c r="M88" s="484"/>
    </row>
    <row r="89" spans="5:13" ht="15" customHeight="1">
      <c r="E89" s="485"/>
      <c r="M89" s="484"/>
    </row>
    <row r="90" spans="5:13" ht="15" customHeight="1">
      <c r="E90" s="485"/>
      <c r="M90" s="484"/>
    </row>
    <row r="91" spans="5:13" ht="15" customHeight="1">
      <c r="E91" s="485"/>
      <c r="M91" s="484"/>
    </row>
    <row r="92" spans="5:13" ht="15" customHeight="1">
      <c r="E92" s="485"/>
      <c r="M92" s="484"/>
    </row>
    <row r="93" spans="5:13" ht="15" customHeight="1">
      <c r="E93" s="485"/>
      <c r="M93" s="484"/>
    </row>
    <row r="94" spans="5:13" ht="15" customHeight="1">
      <c r="E94" s="485"/>
      <c r="M94" s="484"/>
    </row>
    <row r="95" spans="5:13" ht="15" customHeight="1">
      <c r="E95" s="485"/>
      <c r="M95" s="484"/>
    </row>
    <row r="96" spans="5:13" ht="15" customHeight="1">
      <c r="E96" s="485"/>
      <c r="M96" s="484"/>
    </row>
    <row r="97" spans="5:13" ht="15" customHeight="1">
      <c r="E97" s="485"/>
      <c r="M97" s="484"/>
    </row>
    <row r="98" spans="5:13" ht="15" customHeight="1">
      <c r="E98" s="485"/>
    </row>
    <row r="99" spans="5:13" ht="15" customHeight="1">
      <c r="E99" s="485"/>
    </row>
    <row r="100" spans="5:13" ht="15" customHeight="1">
      <c r="E100" s="485"/>
    </row>
    <row r="101" spans="5:13" ht="15" customHeight="1">
      <c r="E101" s="485"/>
    </row>
    <row r="102" spans="5:13" ht="15" customHeight="1">
      <c r="E102" s="485"/>
    </row>
    <row r="103" spans="5:13" ht="15" customHeight="1">
      <c r="E103" s="485"/>
    </row>
    <row r="104" spans="5:13" ht="15" customHeight="1">
      <c r="E104" s="485"/>
    </row>
    <row r="105" spans="5:13" ht="15" customHeight="1">
      <c r="E105" s="485"/>
    </row>
    <row r="106" spans="5:13" ht="15" customHeight="1">
      <c r="E106" s="485"/>
    </row>
    <row r="107" spans="5:13" ht="15" customHeight="1">
      <c r="E107" s="485"/>
    </row>
    <row r="108" spans="5:13" ht="15" customHeight="1">
      <c r="E108" s="485"/>
    </row>
    <row r="109" spans="5:13" ht="15" customHeight="1">
      <c r="E109" s="485"/>
    </row>
    <row r="110" spans="5:13" ht="15" customHeight="1">
      <c r="E110" s="485"/>
    </row>
    <row r="111" spans="5:13" ht="15" customHeight="1">
      <c r="E111" s="485"/>
    </row>
    <row r="112" spans="5:13" ht="15" customHeight="1">
      <c r="E112" s="485"/>
    </row>
    <row r="113" spans="5:5" ht="15" customHeight="1">
      <c r="E113" s="485"/>
    </row>
    <row r="114" spans="5:5" ht="15" customHeight="1">
      <c r="E114" s="485"/>
    </row>
    <row r="115" spans="5:5" ht="15" customHeight="1">
      <c r="E115" s="485"/>
    </row>
    <row r="116" spans="5:5" ht="15" customHeight="1">
      <c r="E116" s="485"/>
    </row>
    <row r="117" spans="5:5" ht="15" customHeight="1">
      <c r="E117" s="485"/>
    </row>
    <row r="118" spans="5:5" ht="15" customHeight="1">
      <c r="E118" s="485"/>
    </row>
    <row r="119" spans="5:5" ht="15" customHeight="1">
      <c r="E119" s="485"/>
    </row>
    <row r="120" spans="5:5" ht="15" customHeight="1">
      <c r="E120" s="485"/>
    </row>
    <row r="121" spans="5:5" ht="15" customHeight="1">
      <c r="E121" s="485"/>
    </row>
    <row r="122" spans="5:5">
      <c r="E122" s="485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7C96F-6F7A-4F28-BFB3-D4AE7ACA3DBD}">
  <sheetPr>
    <tabColor rgb="FF92D050"/>
  </sheetPr>
  <dimension ref="B1:AF122"/>
  <sheetViews>
    <sheetView topLeftCell="A2" zoomScale="43" zoomScaleNormal="130" zoomScaleSheetLayoutView="40" workbookViewId="0">
      <selection activeCell="AE45" sqref="AE45"/>
    </sheetView>
  </sheetViews>
  <sheetFormatPr defaultColWidth="9.140625"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723" t="s">
        <v>1622</v>
      </c>
      <c r="E4" s="724"/>
      <c r="F4" s="724"/>
      <c r="G4" s="724"/>
      <c r="H4" s="724"/>
      <c r="I4" s="724"/>
      <c r="J4" s="724"/>
      <c r="K4" s="724"/>
      <c r="L4" s="724"/>
      <c r="M4" s="724"/>
      <c r="N4" s="724"/>
      <c r="O4" s="724"/>
      <c r="P4" s="724"/>
      <c r="Q4" s="724"/>
      <c r="R4" s="724"/>
      <c r="S4" s="724"/>
      <c r="T4" s="724"/>
      <c r="U4" s="724"/>
      <c r="V4" s="724"/>
      <c r="W4" s="724"/>
      <c r="X4" s="724"/>
      <c r="Y4" s="724"/>
      <c r="Z4" s="724"/>
      <c r="AA4" s="724"/>
      <c r="AB4" s="724"/>
      <c r="AC4" s="725"/>
      <c r="AD4" s="206"/>
      <c r="AE4" s="205"/>
      <c r="AF4" s="205"/>
    </row>
    <row r="5" spans="2:32" ht="13.5" customHeight="1" thickBot="1">
      <c r="B5" s="204"/>
      <c r="C5" s="204"/>
      <c r="D5" s="726"/>
      <c r="E5" s="727"/>
      <c r="F5" s="727"/>
      <c r="G5" s="727"/>
      <c r="H5" s="727"/>
      <c r="I5" s="727"/>
      <c r="J5" s="727"/>
      <c r="K5" s="727"/>
      <c r="L5" s="727"/>
      <c r="M5" s="727"/>
      <c r="N5" s="727"/>
      <c r="O5" s="727"/>
      <c r="P5" s="727"/>
      <c r="Q5" s="727"/>
      <c r="R5" s="727"/>
      <c r="S5" s="727"/>
      <c r="T5" s="727"/>
      <c r="U5" s="727"/>
      <c r="V5" s="727"/>
      <c r="W5" s="727"/>
      <c r="X5" s="727"/>
      <c r="Y5" s="727"/>
      <c r="Z5" s="727"/>
      <c r="AA5" s="727"/>
      <c r="AB5" s="727"/>
      <c r="AC5" s="728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512"/>
    </row>
    <row r="76" spans="2:32" ht="15" customHeight="1">
      <c r="F76" s="513"/>
      <c r="N76" s="512"/>
    </row>
    <row r="77" spans="2:32" ht="15" customHeight="1">
      <c r="F77" s="513"/>
      <c r="N77" s="512"/>
    </row>
    <row r="78" spans="2:32" ht="15" customHeight="1">
      <c r="F78" s="513"/>
      <c r="N78" s="512"/>
    </row>
    <row r="79" spans="2:32" ht="15" customHeight="1">
      <c r="F79" s="513"/>
      <c r="N79" s="512"/>
    </row>
    <row r="80" spans="2:32" ht="15" customHeight="1">
      <c r="F80" s="513"/>
      <c r="N80" s="512"/>
    </row>
    <row r="81" spans="6:14" ht="15" customHeight="1">
      <c r="F81" s="513"/>
      <c r="N81" s="512"/>
    </row>
    <row r="82" spans="6:14" ht="15" customHeight="1">
      <c r="F82" s="513"/>
      <c r="N82" s="512"/>
    </row>
    <row r="83" spans="6:14" ht="15" customHeight="1">
      <c r="F83" s="513"/>
      <c r="N83" s="512"/>
    </row>
    <row r="84" spans="6:14" ht="15" customHeight="1">
      <c r="F84" s="513"/>
      <c r="N84" s="512"/>
    </row>
    <row r="85" spans="6:14" ht="15" customHeight="1">
      <c r="F85" s="513"/>
      <c r="N85" s="512"/>
    </row>
    <row r="86" spans="6:14" ht="15" customHeight="1">
      <c r="F86" s="513"/>
      <c r="N86" s="512"/>
    </row>
    <row r="87" spans="6:14" ht="15" customHeight="1">
      <c r="F87" s="513"/>
      <c r="N87" s="512"/>
    </row>
    <row r="88" spans="6:14" ht="15" customHeight="1">
      <c r="F88" s="513"/>
      <c r="N88" s="512"/>
    </row>
    <row r="89" spans="6:14" ht="15" customHeight="1">
      <c r="F89" s="513"/>
      <c r="N89" s="512"/>
    </row>
    <row r="90" spans="6:14" ht="15" customHeight="1">
      <c r="F90" s="513"/>
      <c r="N90" s="512"/>
    </row>
    <row r="91" spans="6:14" ht="15" customHeight="1">
      <c r="F91" s="513"/>
      <c r="N91" s="512"/>
    </row>
    <row r="92" spans="6:14" ht="15" customHeight="1">
      <c r="F92" s="513"/>
      <c r="N92" s="512"/>
    </row>
    <row r="93" spans="6:14" ht="15" customHeight="1">
      <c r="F93" s="513"/>
      <c r="N93" s="512"/>
    </row>
    <row r="94" spans="6:14" ht="15" customHeight="1">
      <c r="F94" s="513"/>
      <c r="N94" s="512"/>
    </row>
    <row r="95" spans="6:14" ht="15" customHeight="1">
      <c r="F95" s="513"/>
      <c r="N95" s="512"/>
    </row>
    <row r="96" spans="6:14" ht="15" customHeight="1">
      <c r="F96" s="513"/>
      <c r="N96" s="512"/>
    </row>
    <row r="97" spans="6:14" ht="15" customHeight="1">
      <c r="F97" s="513"/>
      <c r="N97" s="512"/>
    </row>
    <row r="98" spans="6:14" ht="15" customHeight="1">
      <c r="F98" s="513"/>
    </row>
    <row r="99" spans="6:14" ht="15" customHeight="1">
      <c r="F99" s="513"/>
    </row>
    <row r="100" spans="6:14" ht="15" customHeight="1">
      <c r="F100" s="513"/>
    </row>
    <row r="101" spans="6:14" ht="15" customHeight="1">
      <c r="F101" s="513"/>
    </row>
    <row r="102" spans="6:14" ht="15" customHeight="1">
      <c r="F102" s="513"/>
    </row>
    <row r="103" spans="6:14" ht="15" customHeight="1">
      <c r="F103" s="513"/>
    </row>
    <row r="104" spans="6:14" ht="15" customHeight="1">
      <c r="F104" s="513"/>
    </row>
    <row r="105" spans="6:14" ht="15" customHeight="1">
      <c r="F105" s="513"/>
    </row>
    <row r="106" spans="6:14" ht="15" customHeight="1">
      <c r="F106" s="513"/>
    </row>
    <row r="107" spans="6:14" ht="15" customHeight="1">
      <c r="F107" s="513"/>
    </row>
    <row r="108" spans="6:14" ht="15" customHeight="1">
      <c r="F108" s="513"/>
    </row>
    <row r="109" spans="6:14" ht="15" customHeight="1">
      <c r="F109" s="513"/>
    </row>
    <row r="110" spans="6:14" ht="15" customHeight="1">
      <c r="F110" s="513"/>
    </row>
    <row r="111" spans="6:14" ht="15" customHeight="1">
      <c r="F111" s="513"/>
    </row>
    <row r="112" spans="6:14" ht="15" customHeight="1">
      <c r="F112" s="513"/>
    </row>
    <row r="113" spans="6:6" ht="15" customHeight="1">
      <c r="F113" s="513"/>
    </row>
    <row r="114" spans="6:6" ht="15" customHeight="1">
      <c r="F114" s="513"/>
    </row>
    <row r="115" spans="6:6" ht="15" customHeight="1">
      <c r="F115" s="513"/>
    </row>
    <row r="116" spans="6:6" ht="15" customHeight="1">
      <c r="F116" s="513"/>
    </row>
    <row r="117" spans="6:6" ht="15" customHeight="1">
      <c r="F117" s="513"/>
    </row>
    <row r="118" spans="6:6" ht="15" customHeight="1">
      <c r="F118" s="513"/>
    </row>
    <row r="119" spans="6:6" ht="15" customHeight="1">
      <c r="F119" s="513"/>
    </row>
    <row r="120" spans="6:6" ht="15" customHeight="1">
      <c r="F120" s="513"/>
    </row>
    <row r="121" spans="6:6" ht="15" customHeight="1">
      <c r="F121" s="513"/>
    </row>
    <row r="122" spans="6:6">
      <c r="F122" s="513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7">
        <v>1</v>
      </c>
    </row>
    <row r="2" spans="1:11" ht="48" customHeight="1">
      <c r="A2" s="387">
        <v>3</v>
      </c>
    </row>
    <row r="4" spans="1:11" ht="48" customHeight="1">
      <c r="C4" s="387">
        <v>1</v>
      </c>
    </row>
    <row r="5" spans="1:11" ht="48" customHeight="1">
      <c r="C5" s="387">
        <v>3</v>
      </c>
    </row>
    <row r="7" spans="1:11" ht="48" customHeight="1">
      <c r="E7" s="387">
        <v>1</v>
      </c>
    </row>
    <row r="8" spans="1:11" ht="48" customHeight="1">
      <c r="E8" s="387">
        <v>3</v>
      </c>
    </row>
    <row r="10" spans="1:11" ht="48" customHeight="1">
      <c r="G10" s="387">
        <v>3</v>
      </c>
    </row>
    <row r="11" spans="1:11" ht="48" customHeight="1">
      <c r="G11" s="387">
        <v>1</v>
      </c>
    </row>
    <row r="13" spans="1:11" ht="48" customHeight="1">
      <c r="I13" s="387">
        <v>3</v>
      </c>
    </row>
    <row r="14" spans="1:11" ht="48" customHeight="1">
      <c r="I14" s="387">
        <v>1</v>
      </c>
    </row>
    <row r="16" spans="1:11" ht="48" customHeight="1">
      <c r="K16" s="387">
        <v>3</v>
      </c>
    </row>
    <row r="17" spans="11:21" ht="48" customHeight="1">
      <c r="K17" s="387">
        <v>1</v>
      </c>
    </row>
    <row r="19" spans="11:21" ht="48" customHeight="1">
      <c r="M19" s="387">
        <v>3</v>
      </c>
    </row>
    <row r="20" spans="11:21" ht="48" customHeight="1">
      <c r="M20" s="387">
        <v>1</v>
      </c>
    </row>
    <row r="22" spans="11:21" ht="48" customHeight="1">
      <c r="O22" s="387">
        <v>3</v>
      </c>
    </row>
    <row r="23" spans="11:21" ht="48" customHeight="1">
      <c r="O23" s="387">
        <v>1</v>
      </c>
    </row>
    <row r="25" spans="11:21" ht="57" customHeight="1">
      <c r="Q25" s="387">
        <v>3</v>
      </c>
    </row>
    <row r="26" spans="11:21" ht="57" customHeight="1">
      <c r="Q26" s="387">
        <v>1</v>
      </c>
    </row>
    <row r="28" spans="11:21" ht="57" customHeight="1">
      <c r="S28" s="387">
        <v>3</v>
      </c>
    </row>
    <row r="29" spans="11:21" ht="57" customHeight="1">
      <c r="S29" s="387">
        <v>1</v>
      </c>
    </row>
    <row r="31" spans="11:21" ht="57" customHeight="1">
      <c r="U31" s="387">
        <v>3</v>
      </c>
    </row>
    <row r="32" spans="11:21" ht="57" customHeight="1">
      <c r="U32" s="387">
        <v>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Peta lokasi</vt:lpstr>
      <vt:lpstr>SLD</vt:lpstr>
      <vt:lpstr>PDL</vt:lpstr>
      <vt:lpstr>'HARGA SATUAN'!Print_Area</vt:lpstr>
      <vt:lpstr>KKF!Print_Area</vt:lpstr>
      <vt:lpstr>KKO!Print_Area</vt:lpstr>
      <vt:lpstr>'Peta lokasi'!Print_Area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JUNJUN BAHERANSYAH</cp:lastModifiedBy>
  <cp:lastPrinted>2023-08-30T02:55:24Z</cp:lastPrinted>
  <dcterms:created xsi:type="dcterms:W3CDTF">2011-02-06T11:57:38Z</dcterms:created>
  <dcterms:modified xsi:type="dcterms:W3CDTF">2024-05-31T04:41:26Z</dcterms:modified>
</cp:coreProperties>
</file>