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6DA2D3E1-9D04-4BAA-B9D0-6BF876FF1A69}" xr6:coauthVersionLast="47" xr6:coauthVersionMax="47" xr10:uidLastSave="{00000000-0000-0000-0000-000000000000}"/>
  <bookViews>
    <workbookView xWindow="-120" yWindow="-120" windowWidth="20730" windowHeight="11160" tabRatio="859" firstSheet="2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RAB!$A$1:$K$125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53" i="11" l="1"/>
  <c r="F52" i="11"/>
  <c r="F51" i="11"/>
  <c r="F50" i="11"/>
  <c r="F47" i="11"/>
  <c r="F46" i="11"/>
  <c r="F45" i="11"/>
  <c r="F44" i="11"/>
  <c r="F43" i="11"/>
  <c r="G41" i="11" l="1"/>
  <c r="G42" i="11"/>
  <c r="G43" i="11"/>
  <c r="G44" i="11"/>
  <c r="G45" i="11"/>
  <c r="G46" i="11"/>
  <c r="G47" i="11"/>
  <c r="G48" i="11"/>
  <c r="G49" i="11"/>
  <c r="G50" i="11"/>
  <c r="G51" i="11"/>
  <c r="G52" i="11"/>
  <c r="G53" i="11"/>
  <c r="D41" i="11"/>
  <c r="H41" i="11" s="1"/>
  <c r="E41" i="11"/>
  <c r="D42" i="11"/>
  <c r="J42" i="11" s="1"/>
  <c r="E42" i="11"/>
  <c r="D43" i="11"/>
  <c r="E43" i="11"/>
  <c r="D44" i="11"/>
  <c r="H44" i="11" s="1"/>
  <c r="E44" i="11"/>
  <c r="D45" i="11"/>
  <c r="H45" i="11" s="1"/>
  <c r="E45" i="11"/>
  <c r="D46" i="11"/>
  <c r="J46" i="11" s="1"/>
  <c r="E46" i="11"/>
  <c r="D47" i="11"/>
  <c r="I47" i="11" s="1"/>
  <c r="E47" i="11"/>
  <c r="D48" i="11"/>
  <c r="H48" i="11" s="1"/>
  <c r="E48" i="11"/>
  <c r="D49" i="11"/>
  <c r="H49" i="11" s="1"/>
  <c r="E49" i="11"/>
  <c r="D50" i="11"/>
  <c r="J50" i="11" s="1"/>
  <c r="E50" i="11"/>
  <c r="D51" i="11"/>
  <c r="E51" i="11"/>
  <c r="D52" i="11"/>
  <c r="H52" i="11" s="1"/>
  <c r="E52" i="11"/>
  <c r="D53" i="11"/>
  <c r="H53" i="11" s="1"/>
  <c r="E53" i="11"/>
  <c r="I51" i="11" l="1"/>
  <c r="I43" i="11"/>
  <c r="I50" i="11"/>
  <c r="I46" i="11"/>
  <c r="I42" i="11"/>
  <c r="J53" i="11"/>
  <c r="H51" i="11"/>
  <c r="J49" i="11"/>
  <c r="H47" i="11"/>
  <c r="J45" i="11"/>
  <c r="H43" i="11"/>
  <c r="J41" i="11"/>
  <c r="I53" i="11"/>
  <c r="J52" i="11"/>
  <c r="H50" i="11"/>
  <c r="K50" i="11" s="1"/>
  <c r="I49" i="11"/>
  <c r="J48" i="11"/>
  <c r="H46" i="11"/>
  <c r="K46" i="11" s="1"/>
  <c r="I45" i="11"/>
  <c r="J44" i="11"/>
  <c r="H42" i="11"/>
  <c r="I41" i="11"/>
  <c r="I52" i="11"/>
  <c r="J51" i="11"/>
  <c r="I48" i="11"/>
  <c r="J47" i="11"/>
  <c r="I44" i="11"/>
  <c r="J43" i="11"/>
  <c r="K53" i="11" l="1"/>
  <c r="K44" i="11"/>
  <c r="K45" i="11"/>
  <c r="K48" i="11"/>
  <c r="K41" i="11"/>
  <c r="K42" i="11"/>
  <c r="K52" i="11"/>
  <c r="K49" i="11"/>
  <c r="K47" i="11"/>
  <c r="K43" i="11"/>
  <c r="K51" i="11"/>
  <c r="G92" i="11" l="1"/>
  <c r="G93" i="11"/>
  <c r="G94" i="11"/>
  <c r="G95" i="11"/>
  <c r="G96" i="11"/>
  <c r="F96" i="11"/>
  <c r="F94" i="11"/>
  <c r="F93" i="11"/>
  <c r="F92" i="11"/>
  <c r="D16" i="11"/>
  <c r="D17" i="11"/>
  <c r="D18" i="11"/>
  <c r="F103" i="11" l="1"/>
  <c r="F102" i="11"/>
  <c r="F101" i="11"/>
  <c r="F100" i="11"/>
  <c r="F99" i="11"/>
  <c r="D96" i="11"/>
  <c r="H96" i="11" s="1"/>
  <c r="E96" i="11"/>
  <c r="G90" i="11"/>
  <c r="G91" i="11"/>
  <c r="G97" i="11"/>
  <c r="G98" i="11"/>
  <c r="G99" i="11"/>
  <c r="G100" i="11"/>
  <c r="G101" i="11"/>
  <c r="G102" i="11"/>
  <c r="G103" i="11"/>
  <c r="G104" i="11"/>
  <c r="D90" i="11"/>
  <c r="H90" i="11" s="1"/>
  <c r="E90" i="11"/>
  <c r="D91" i="11"/>
  <c r="J91" i="11" s="1"/>
  <c r="E91" i="11"/>
  <c r="D92" i="11"/>
  <c r="I92" i="11" s="1"/>
  <c r="E92" i="11"/>
  <c r="D93" i="11"/>
  <c r="E93" i="11"/>
  <c r="D94" i="11"/>
  <c r="E94" i="11"/>
  <c r="D95" i="11"/>
  <c r="E95" i="11"/>
  <c r="D97" i="11"/>
  <c r="I97" i="11" s="1"/>
  <c r="E97" i="11"/>
  <c r="D98" i="11"/>
  <c r="H98" i="11" s="1"/>
  <c r="E98" i="11"/>
  <c r="D99" i="11"/>
  <c r="H99" i="11" s="1"/>
  <c r="E99" i="11"/>
  <c r="D100" i="11"/>
  <c r="J100" i="11" s="1"/>
  <c r="E100" i="11"/>
  <c r="D101" i="11"/>
  <c r="E101" i="11"/>
  <c r="D102" i="11"/>
  <c r="H102" i="11" s="1"/>
  <c r="E102" i="11"/>
  <c r="D103" i="11"/>
  <c r="H103" i="11" s="1"/>
  <c r="E103" i="11"/>
  <c r="D104" i="11"/>
  <c r="J104" i="11" s="1"/>
  <c r="E104" i="11"/>
  <c r="F64" i="11"/>
  <c r="F63" i="11"/>
  <c r="F62" i="11"/>
  <c r="F61" i="11"/>
  <c r="F60" i="11"/>
  <c r="F59" i="11"/>
  <c r="F58" i="11"/>
  <c r="F57" i="11"/>
  <c r="F56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G15" i="11"/>
  <c r="G16" i="11"/>
  <c r="G17" i="11"/>
  <c r="I17" i="11" s="1"/>
  <c r="H17" i="11"/>
  <c r="J17" i="11"/>
  <c r="G18" i="11"/>
  <c r="J18" i="11" s="1"/>
  <c r="H18" i="11"/>
  <c r="I18" i="11"/>
  <c r="G19" i="11"/>
  <c r="I101" i="11" l="1"/>
  <c r="J96" i="11"/>
  <c r="I96" i="11"/>
  <c r="H94" i="11"/>
  <c r="J95" i="11"/>
  <c r="H93" i="11"/>
  <c r="J99" i="11"/>
  <c r="H97" i="11"/>
  <c r="H91" i="11"/>
  <c r="I100" i="11"/>
  <c r="J94" i="11"/>
  <c r="H92" i="11"/>
  <c r="H100" i="11"/>
  <c r="J98" i="11"/>
  <c r="I95" i="11"/>
  <c r="J90" i="11"/>
  <c r="H101" i="11"/>
  <c r="H95" i="11"/>
  <c r="J93" i="11"/>
  <c r="I91" i="11"/>
  <c r="I104" i="11"/>
  <c r="J103" i="11"/>
  <c r="H104" i="11"/>
  <c r="I103" i="11"/>
  <c r="J102" i="11"/>
  <c r="I99" i="11"/>
  <c r="I94" i="11"/>
  <c r="I90" i="11"/>
  <c r="I102" i="11"/>
  <c r="K102" i="11" s="1"/>
  <c r="J101" i="11"/>
  <c r="I98" i="11"/>
  <c r="J97" i="11"/>
  <c r="I93" i="11"/>
  <c r="J92" i="11"/>
  <c r="K18" i="11"/>
  <c r="K17" i="11"/>
  <c r="K99" i="11" l="1"/>
  <c r="K96" i="11"/>
  <c r="K95" i="11"/>
  <c r="K93" i="11"/>
  <c r="K103" i="11"/>
  <c r="K101" i="11"/>
  <c r="K100" i="11"/>
  <c r="K98" i="11"/>
  <c r="K94" i="11"/>
  <c r="K92" i="11"/>
  <c r="K97" i="11"/>
  <c r="K90" i="11"/>
  <c r="K104" i="11"/>
  <c r="K91" i="11"/>
  <c r="D8" i="59" l="1"/>
  <c r="E16" i="11"/>
  <c r="E17" i="11"/>
  <c r="E18" i="11"/>
  <c r="E19" i="11"/>
  <c r="G54" i="11"/>
  <c r="G55" i="11"/>
  <c r="G56" i="11"/>
  <c r="G57" i="11"/>
  <c r="G58" i="11"/>
  <c r="G59" i="11"/>
  <c r="G60" i="11"/>
  <c r="G61" i="11"/>
  <c r="G62" i="11"/>
  <c r="G63" i="11"/>
  <c r="D54" i="11"/>
  <c r="J54" i="11" s="1"/>
  <c r="E54" i="11"/>
  <c r="D55" i="11"/>
  <c r="E55" i="11"/>
  <c r="D56" i="11"/>
  <c r="H56" i="11" s="1"/>
  <c r="E56" i="11"/>
  <c r="D57" i="11"/>
  <c r="H57" i="11" s="1"/>
  <c r="E57" i="11"/>
  <c r="D58" i="11"/>
  <c r="E58" i="11"/>
  <c r="D59" i="11"/>
  <c r="E59" i="11"/>
  <c r="D60" i="11"/>
  <c r="H60" i="11" s="1"/>
  <c r="E60" i="11"/>
  <c r="D61" i="11"/>
  <c r="H61" i="11" s="1"/>
  <c r="E61" i="11"/>
  <c r="D62" i="11"/>
  <c r="J62" i="11" s="1"/>
  <c r="E62" i="11"/>
  <c r="D63" i="11"/>
  <c r="E63" i="11"/>
  <c r="I63" i="11" l="1"/>
  <c r="I59" i="11"/>
  <c r="J58" i="11"/>
  <c r="I55" i="11"/>
  <c r="H63" i="11"/>
  <c r="I62" i="11"/>
  <c r="J61" i="11"/>
  <c r="H59" i="11"/>
  <c r="I58" i="11"/>
  <c r="J57" i="11"/>
  <c r="H55" i="11"/>
  <c r="I54" i="11"/>
  <c r="H62" i="11"/>
  <c r="I61" i="11"/>
  <c r="J60" i="11"/>
  <c r="H58" i="11"/>
  <c r="I57" i="11"/>
  <c r="J56" i="11"/>
  <c r="H54" i="11"/>
  <c r="J63" i="11"/>
  <c r="I60" i="11"/>
  <c r="J59" i="11"/>
  <c r="I56" i="11"/>
  <c r="J55" i="11"/>
  <c r="K60" i="11" l="1"/>
  <c r="K57" i="11"/>
  <c r="K62" i="11"/>
  <c r="K61" i="11"/>
  <c r="K58" i="11"/>
  <c r="K56" i="11"/>
  <c r="K54" i="11"/>
  <c r="K63" i="11"/>
  <c r="K59" i="11"/>
  <c r="K55" i="11"/>
  <c r="D89" i="11" l="1"/>
  <c r="H89" i="11" s="1"/>
  <c r="D105" i="11"/>
  <c r="J105" i="11" s="1"/>
  <c r="G89" i="11"/>
  <c r="D15" i="11"/>
  <c r="D19" i="11"/>
  <c r="D20" i="11"/>
  <c r="H20" i="11" s="1"/>
  <c r="D21" i="11"/>
  <c r="H21" i="11" s="1"/>
  <c r="G20" i="11"/>
  <c r="G21" i="11"/>
  <c r="G22" i="11"/>
  <c r="K6" i="60"/>
  <c r="M106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0" i="11"/>
  <c r="H30" i="11" s="1"/>
  <c r="E30" i="11"/>
  <c r="D31" i="11"/>
  <c r="H31" i="11" s="1"/>
  <c r="E31" i="11"/>
  <c r="O217" i="10"/>
  <c r="P217" i="10"/>
  <c r="K217" i="10"/>
  <c r="M217" i="10"/>
  <c r="J217" i="10"/>
  <c r="I217" i="10"/>
  <c r="G85" i="11"/>
  <c r="E85" i="11"/>
  <c r="D85" i="11"/>
  <c r="G84" i="11"/>
  <c r="E84" i="11"/>
  <c r="D84" i="11"/>
  <c r="H84" i="11" s="1"/>
  <c r="G83" i="11"/>
  <c r="E83" i="11"/>
  <c r="D83" i="11"/>
  <c r="G82" i="11"/>
  <c r="E82" i="11"/>
  <c r="D82" i="11"/>
  <c r="J82" i="11" s="1"/>
  <c r="G81" i="11"/>
  <c r="E81" i="11"/>
  <c r="D81" i="11"/>
  <c r="I81" i="11" s="1"/>
  <c r="G80" i="11"/>
  <c r="E80" i="11"/>
  <c r="D80" i="11"/>
  <c r="G79" i="11"/>
  <c r="E79" i="11"/>
  <c r="D79" i="11"/>
  <c r="H79" i="11" s="1"/>
  <c r="G78" i="11"/>
  <c r="E78" i="11"/>
  <c r="D78" i="11"/>
  <c r="G77" i="11"/>
  <c r="E77" i="11"/>
  <c r="D77" i="11"/>
  <c r="G76" i="11"/>
  <c r="E76" i="11"/>
  <c r="D76" i="11"/>
  <c r="G75" i="11"/>
  <c r="E75" i="11"/>
  <c r="D75" i="11"/>
  <c r="J75" i="11" s="1"/>
  <c r="G74" i="11"/>
  <c r="E74" i="11"/>
  <c r="D74" i="11"/>
  <c r="J74" i="11" s="1"/>
  <c r="G73" i="11"/>
  <c r="E73" i="11"/>
  <c r="D73" i="11"/>
  <c r="G72" i="11"/>
  <c r="E72" i="11"/>
  <c r="D72" i="11"/>
  <c r="G71" i="11"/>
  <c r="E71" i="11"/>
  <c r="D71" i="11"/>
  <c r="G70" i="11"/>
  <c r="E70" i="11"/>
  <c r="D70" i="11"/>
  <c r="G69" i="11"/>
  <c r="E69" i="11"/>
  <c r="D69" i="11"/>
  <c r="J69" i="11" s="1"/>
  <c r="G68" i="11"/>
  <c r="E68" i="11"/>
  <c r="D68" i="11"/>
  <c r="G67" i="11"/>
  <c r="E67" i="11"/>
  <c r="D67" i="11"/>
  <c r="G66" i="11"/>
  <c r="E66" i="11"/>
  <c r="D66" i="11"/>
  <c r="G65" i="11"/>
  <c r="E65" i="11"/>
  <c r="D65" i="11"/>
  <c r="G64" i="11"/>
  <c r="E64" i="11"/>
  <c r="D64" i="11"/>
  <c r="M24" i="11"/>
  <c r="M64" i="11"/>
  <c r="D14" i="59"/>
  <c r="D5" i="60" s="1"/>
  <c r="K5" i="60" s="1"/>
  <c r="E40" i="11"/>
  <c r="D40" i="11"/>
  <c r="E39" i="11"/>
  <c r="D39" i="11"/>
  <c r="E38" i="11"/>
  <c r="D38" i="11"/>
  <c r="H38" i="11" s="1"/>
  <c r="E37" i="11"/>
  <c r="D37" i="11"/>
  <c r="J37" i="11" s="1"/>
  <c r="E36" i="11"/>
  <c r="D36" i="11"/>
  <c r="H36" i="11" s="1"/>
  <c r="G35" i="11"/>
  <c r="E35" i="11"/>
  <c r="D35" i="11"/>
  <c r="H35" i="11" s="1"/>
  <c r="G34" i="11"/>
  <c r="E34" i="11"/>
  <c r="D34" i="11"/>
  <c r="J34" i="11" s="1"/>
  <c r="E33" i="11"/>
  <c r="D33" i="11"/>
  <c r="E32" i="11"/>
  <c r="D32" i="11"/>
  <c r="J32" i="11" s="1"/>
  <c r="G30" i="11"/>
  <c r="E29" i="11"/>
  <c r="D29" i="11"/>
  <c r="J29" i="11" s="1"/>
  <c r="E28" i="11"/>
  <c r="D28" i="11"/>
  <c r="J28" i="11" s="1"/>
  <c r="E27" i="11"/>
  <c r="D27" i="11"/>
  <c r="E26" i="11"/>
  <c r="D26" i="11"/>
  <c r="G25" i="11"/>
  <c r="E25" i="11"/>
  <c r="D25" i="11"/>
  <c r="E24" i="11"/>
  <c r="D24" i="11"/>
  <c r="J24" i="11" s="1"/>
  <c r="G23" i="11"/>
  <c r="E23" i="11"/>
  <c r="D23" i="11"/>
  <c r="I23" i="11" s="1"/>
  <c r="E22" i="11"/>
  <c r="D22" i="11"/>
  <c r="E21" i="11"/>
  <c r="E20" i="11"/>
  <c r="E15" i="11"/>
  <c r="A15" i="11"/>
  <c r="D19" i="59"/>
  <c r="D18" i="59"/>
  <c r="M16" i="11"/>
  <c r="E89" i="11"/>
  <c r="D86" i="11"/>
  <c r="E86" i="11"/>
  <c r="D87" i="11"/>
  <c r="E87" i="11"/>
  <c r="M89" i="11"/>
  <c r="D88" i="11"/>
  <c r="E88" i="11"/>
  <c r="E105" i="11"/>
  <c r="G105" i="11"/>
  <c r="D14" i="11"/>
  <c r="H14" i="11" s="1"/>
  <c r="E14" i="11"/>
  <c r="G14" i="11"/>
  <c r="K19" i="60"/>
  <c r="D19" i="60"/>
  <c r="M105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10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06" i="11"/>
  <c r="D107" i="11"/>
  <c r="E10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07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6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3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8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7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88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6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1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9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87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6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14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9" i="11"/>
  <c r="G32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7" i="11"/>
  <c r="G24" i="11"/>
  <c r="G28" i="11"/>
  <c r="G40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8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98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65" i="11" l="1"/>
  <c r="H27" i="11"/>
  <c r="J39" i="11"/>
  <c r="H15" i="11"/>
  <c r="I15" i="11"/>
  <c r="J15" i="11"/>
  <c r="H19" i="11"/>
  <c r="I19" i="11"/>
  <c r="J19" i="11"/>
  <c r="J16" i="11"/>
  <c r="H16" i="11"/>
  <c r="I16" i="11"/>
  <c r="H88" i="11"/>
  <c r="D312" i="29"/>
  <c r="E312" i="29" s="1"/>
  <c r="D802" i="41"/>
  <c r="E802" i="41" s="1"/>
  <c r="D22" i="59"/>
  <c r="K8" i="60" s="1"/>
  <c r="D21" i="59"/>
  <c r="M99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00" i="11"/>
  <c r="M101" i="11"/>
  <c r="M103" i="11"/>
  <c r="M102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30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1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8" i="11"/>
  <c r="I26" i="11"/>
  <c r="H28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8" i="11"/>
  <c r="F866" i="41"/>
  <c r="E1029" i="41"/>
  <c r="E784" i="41"/>
  <c r="E973" i="41"/>
  <c r="F315" i="29"/>
  <c r="F322" i="29"/>
  <c r="F250" i="29"/>
  <c r="E273" i="29"/>
  <c r="I31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9" i="11"/>
  <c r="H23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88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86" i="11"/>
  <c r="I86" i="11"/>
  <c r="F806" i="41"/>
  <c r="E1081" i="41"/>
  <c r="E1027" i="41"/>
  <c r="F861" i="41"/>
  <c r="E861" i="41"/>
  <c r="E230" i="29"/>
  <c r="E346" i="29"/>
  <c r="E274" i="29"/>
  <c r="F274" i="29"/>
  <c r="H107" i="11"/>
  <c r="J107" i="11"/>
  <c r="I38" i="11"/>
  <c r="J36" i="11"/>
  <c r="J88" i="11"/>
  <c r="H34" i="11"/>
  <c r="I35" i="11"/>
  <c r="E340" i="29"/>
  <c r="H29" i="11"/>
  <c r="I34" i="11"/>
  <c r="I6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7" i="11"/>
  <c r="J14" i="11"/>
  <c r="J27" i="11"/>
  <c r="H37" i="11"/>
  <c r="E1149" i="41"/>
  <c r="F833" i="41"/>
  <c r="H69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4" i="11"/>
  <c r="J35" i="11"/>
  <c r="I21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2" i="11"/>
  <c r="J22" i="11"/>
  <c r="H22" i="11"/>
  <c r="H33" i="11"/>
  <c r="J33" i="11"/>
  <c r="I30" i="11"/>
  <c r="E287" i="29"/>
  <c r="F287" i="29"/>
  <c r="J87" i="11"/>
  <c r="I87" i="11"/>
  <c r="E348" i="29"/>
  <c r="E59" i="39"/>
  <c r="E290" i="29"/>
  <c r="I29" i="11"/>
  <c r="F323" i="29"/>
  <c r="E260" i="29"/>
  <c r="E236" i="29"/>
  <c r="E73" i="39"/>
  <c r="E341" i="29"/>
  <c r="F341" i="29"/>
  <c r="F299" i="29"/>
  <c r="H40" i="11"/>
  <c r="J40" i="11"/>
  <c r="J85" i="11"/>
  <c r="H85" i="11"/>
  <c r="I85" i="11"/>
  <c r="F300" i="29"/>
  <c r="E284" i="29"/>
  <c r="M63" i="11"/>
  <c r="J20" i="11"/>
  <c r="F233" i="29"/>
  <c r="E58" i="39"/>
  <c r="F319" i="29"/>
  <c r="F310" i="29"/>
  <c r="I40" i="11"/>
  <c r="I37" i="11"/>
  <c r="I32" i="11"/>
  <c r="H87" i="11"/>
  <c r="I36" i="11"/>
  <c r="H86" i="11"/>
  <c r="J23" i="11"/>
  <c r="J21" i="11"/>
  <c r="M97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64" i="11"/>
  <c r="H64" i="11"/>
  <c r="H68" i="11"/>
  <c r="J68" i="11"/>
  <c r="I68" i="11"/>
  <c r="J72" i="11"/>
  <c r="I72" i="11"/>
  <c r="H72" i="11"/>
  <c r="J76" i="11"/>
  <c r="H76" i="11"/>
  <c r="I80" i="11"/>
  <c r="J80" i="11"/>
  <c r="H80" i="11"/>
  <c r="J26" i="11"/>
  <c r="H26" i="11"/>
  <c r="I64" i="11"/>
  <c r="I67" i="11"/>
  <c r="H67" i="11"/>
  <c r="J67" i="11"/>
  <c r="I71" i="11"/>
  <c r="J71" i="11"/>
  <c r="H71" i="11"/>
  <c r="H75" i="11"/>
  <c r="I75" i="11"/>
  <c r="I79" i="11"/>
  <c r="J79" i="11"/>
  <c r="I83" i="11"/>
  <c r="H83" i="11"/>
  <c r="J83" i="11"/>
  <c r="I107" i="11"/>
  <c r="I33" i="11"/>
  <c r="J25" i="11"/>
  <c r="H25" i="11"/>
  <c r="I25" i="11"/>
  <c r="J66" i="11"/>
  <c r="H66" i="11"/>
  <c r="I66" i="11"/>
  <c r="J70" i="11"/>
  <c r="H70" i="11"/>
  <c r="I70" i="11"/>
  <c r="I74" i="11"/>
  <c r="H74" i="11"/>
  <c r="J78" i="11"/>
  <c r="H78" i="11"/>
  <c r="I78" i="11"/>
  <c r="H82" i="11"/>
  <c r="I82" i="11"/>
  <c r="I76" i="11"/>
  <c r="H65" i="11"/>
  <c r="J65" i="11"/>
  <c r="I73" i="11"/>
  <c r="H73" i="11"/>
  <c r="J73" i="11"/>
  <c r="J77" i="11"/>
  <c r="H77" i="11"/>
  <c r="I77" i="11"/>
  <c r="J81" i="11"/>
  <c r="H81" i="11"/>
  <c r="I84" i="11"/>
  <c r="I105" i="11"/>
  <c r="J89" i="11"/>
  <c r="H32" i="11"/>
  <c r="J84" i="11"/>
  <c r="I20" i="11"/>
  <c r="H105" i="11"/>
  <c r="I89" i="11"/>
  <c r="H39" i="11"/>
  <c r="I24" i="11"/>
  <c r="F838" i="41" l="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90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9" i="11"/>
  <c r="M19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8" i="11"/>
  <c r="M28" i="11" s="1"/>
  <c r="F60" i="39"/>
  <c r="D9" i="59"/>
  <c r="K7" i="54" s="1"/>
  <c r="C7" i="54"/>
  <c r="C8" i="54"/>
  <c r="K14" i="11"/>
  <c r="M14" i="11" s="1"/>
  <c r="K89" i="11"/>
  <c r="K34" i="11"/>
  <c r="M34" i="11" s="1"/>
  <c r="K36" i="11"/>
  <c r="M36" i="11" s="1"/>
  <c r="K38" i="11"/>
  <c r="M38" i="11" s="1"/>
  <c r="K30" i="11"/>
  <c r="M30" i="11" s="1"/>
  <c r="K31" i="11"/>
  <c r="M31" i="11" s="1"/>
  <c r="K39" i="11"/>
  <c r="M39" i="11" s="1"/>
  <c r="K79" i="11"/>
  <c r="M79" i="11" s="1"/>
  <c r="K69" i="11"/>
  <c r="M69" i="11" s="1"/>
  <c r="K88" i="11"/>
  <c r="M88" i="11" s="1"/>
  <c r="K23" i="11"/>
  <c r="M23" i="11" s="1"/>
  <c r="K37" i="11"/>
  <c r="M37" i="11" s="1"/>
  <c r="K35" i="11"/>
  <c r="M35" i="11" s="1"/>
  <c r="K21" i="11"/>
  <c r="K27" i="11"/>
  <c r="M27" i="11" s="1"/>
  <c r="K20" i="11"/>
  <c r="M20" i="11" s="1"/>
  <c r="K26" i="11"/>
  <c r="M26" i="11" s="1"/>
  <c r="K29" i="11"/>
  <c r="M29" i="11" s="1"/>
  <c r="M104" i="11"/>
  <c r="K107" i="11"/>
  <c r="K85" i="11"/>
  <c r="M85" i="11" s="1"/>
  <c r="K40" i="11"/>
  <c r="M40" i="11" s="1"/>
  <c r="K86" i="11"/>
  <c r="M86" i="11" s="1"/>
  <c r="K24" i="11"/>
  <c r="F350" i="29"/>
  <c r="K82" i="11"/>
  <c r="M82" i="11" s="1"/>
  <c r="K84" i="11"/>
  <c r="M84" i="11" s="1"/>
  <c r="K65" i="11"/>
  <c r="M65" i="11" s="1"/>
  <c r="K33" i="11"/>
  <c r="M33" i="11" s="1"/>
  <c r="K75" i="11"/>
  <c r="M75" i="11" s="1"/>
  <c r="K68" i="11"/>
  <c r="M68" i="11" s="1"/>
  <c r="K22" i="11"/>
  <c r="M22" i="11" s="1"/>
  <c r="K32" i="11"/>
  <c r="M32" i="11" s="1"/>
  <c r="K73" i="11"/>
  <c r="M73" i="11" s="1"/>
  <c r="K87" i="11"/>
  <c r="M87" i="11" s="1"/>
  <c r="K105" i="11"/>
  <c r="K70" i="11"/>
  <c r="M70" i="11" s="1"/>
  <c r="K25" i="11"/>
  <c r="M25" i="11" s="1"/>
  <c r="H106" i="11"/>
  <c r="H109" i="11" s="1"/>
  <c r="F312" i="29"/>
  <c r="F339" i="29"/>
  <c r="F226" i="29"/>
  <c r="F345" i="29"/>
  <c r="F239" i="29"/>
  <c r="I106" i="11"/>
  <c r="I109" i="11" s="1"/>
  <c r="J106" i="11"/>
  <c r="J109" i="11" s="1"/>
  <c r="K74" i="11"/>
  <c r="M74" i="11" s="1"/>
  <c r="K83" i="11"/>
  <c r="M83" i="11" s="1"/>
  <c r="K76" i="11"/>
  <c r="M76" i="11" s="1"/>
  <c r="K64" i="11"/>
  <c r="K77" i="11"/>
  <c r="M77" i="11" s="1"/>
  <c r="K80" i="11"/>
  <c r="M80" i="11" s="1"/>
  <c r="K81" i="11"/>
  <c r="M81" i="11" s="1"/>
  <c r="K78" i="11"/>
  <c r="M78" i="11" s="1"/>
  <c r="K66" i="11"/>
  <c r="M66" i="11" s="1"/>
  <c r="K71" i="11"/>
  <c r="M71" i="11" s="1"/>
  <c r="K67" i="11"/>
  <c r="M67" i="11" s="1"/>
  <c r="K72" i="11"/>
  <c r="M72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10" i="11"/>
  <c r="J111" i="11" s="1"/>
  <c r="H110" i="11"/>
  <c r="H111" i="11" s="1"/>
  <c r="I110" i="11"/>
  <c r="I111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3" i="39"/>
  <c r="E23" i="39" s="1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8" i="29"/>
  <c r="D67" i="29"/>
  <c r="D106" i="29"/>
  <c r="D92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06" i="11"/>
  <c r="K109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G23" i="39" l="1"/>
  <c r="B124" i="29"/>
  <c r="E124" i="29" s="1"/>
  <c r="D148" i="29"/>
  <c r="H148" i="29" s="1"/>
  <c r="D90" i="29"/>
  <c r="G18" i="39"/>
  <c r="G77" i="29"/>
  <c r="I30" i="39"/>
  <c r="G133" i="29"/>
  <c r="G29" i="39"/>
  <c r="G24" i="29"/>
  <c r="D124" i="29"/>
  <c r="H124" i="29" s="1"/>
  <c r="D33" i="39"/>
  <c r="B112" i="29"/>
  <c r="E112" i="29" s="1"/>
  <c r="B149" i="29"/>
  <c r="E149" i="29" s="1"/>
  <c r="D85" i="29"/>
  <c r="J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G32" i="39"/>
  <c r="D18" i="29"/>
  <c r="G66" i="29"/>
  <c r="G105" i="29"/>
  <c r="D24" i="39"/>
  <c r="J24" i="39" s="1"/>
  <c r="G17" i="39"/>
  <c r="B97" i="29"/>
  <c r="E97" i="29" s="1"/>
  <c r="D19" i="29"/>
  <c r="I19" i="29" s="1"/>
  <c r="G104" i="29"/>
  <c r="D20" i="29"/>
  <c r="J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10" i="11"/>
  <c r="K111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J148" i="29"/>
  <c r="I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90" i="29"/>
  <c r="H90" i="29"/>
  <c r="J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H85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J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I160" i="29"/>
  <c r="H160" i="29"/>
  <c r="J160" i="29"/>
  <c r="H58" i="29"/>
  <c r="J58" i="29"/>
  <c r="I58" i="29"/>
  <c r="H113" i="29"/>
  <c r="J113" i="29"/>
  <c r="J132" i="29"/>
  <c r="I132" i="29"/>
  <c r="H132" i="29"/>
  <c r="I33" i="29"/>
  <c r="H33" i="29"/>
  <c r="J33" i="29"/>
  <c r="I122" i="29"/>
  <c r="H122" i="29"/>
  <c r="J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H29" i="39" l="1"/>
  <c r="I85" i="29"/>
  <c r="J124" i="29"/>
  <c r="K124" i="29" s="1"/>
  <c r="I22" i="39"/>
  <c r="I17" i="39"/>
  <c r="J35" i="29"/>
  <c r="I86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K81" i="29" s="1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32" i="29"/>
  <c r="K23" i="39"/>
  <c r="K97" i="29"/>
  <c r="K100" i="29"/>
  <c r="K73" i="29"/>
  <c r="K21" i="29"/>
  <c r="K72" i="29"/>
  <c r="K20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12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62" i="29" l="1"/>
  <c r="K115" i="29"/>
  <c r="K34" i="39"/>
  <c r="K17" i="39"/>
  <c r="K157" i="29"/>
  <c r="K47" i="29"/>
  <c r="K86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<sst xmlns="http://schemas.openxmlformats.org/spreadsheetml/2006/main" count="4780" uniqueCount="1644">
  <si>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</si>
  <si>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</si>
  <si>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</si>
  <si>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</si>
  <si>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</si>
  <si>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</si>
  <si>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</si>
  <si>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</si>
  <si>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</si>
  <si>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</si>
  <si>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</si>
  <si>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</si>
  <si>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</si>
  <si>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</si>
  <si>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</si>
  <si>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</si>
  <si>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</si>
  <si>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</si>
  <si>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</si>
  <si>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</si>
  <si>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</si>
  <si>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</si>
  <si>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</si>
  <si>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</si>
  <si>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</si>
  <si>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</si>
  <si>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</si>
  <si>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</si>
  <si>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</si>
  <si>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</si>
  <si>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</si>
  <si>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</si>
  <si>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</si>
  <si>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</si>
  <si>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</si>
  <si>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</si>
  <si>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</si>
  <si>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</si>
  <si>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</si>
  <si>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</si>
  <si>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</si>
  <si>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</si>
  <si>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</si>
  <si>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</si>
  <si>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</si>
  <si>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</si>
  <si>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</si>
  <si>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</si>
  <si>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</si>
  <si>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</si>
  <si>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</si>
  <si>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</si>
  <si>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</si>
  <si>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</si>
  <si>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</si>
  <si>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</si>
  <si>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</si>
  <si>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</si>
  <si>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</si>
  <si>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</si>
  <si>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</si>
  <si>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</si>
  <si>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</si>
  <si>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</si>
  <si>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</si>
  <si>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</si>
  <si>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</si>
  <si>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</si>
  <si>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</si>
  <si>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</si>
  <si>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</si>
  <si>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</si>
  <si>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</si>
  <si>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</si>
  <si>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</si>
  <si>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</si>
  <si>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</si>
  <si>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</si>
  <si>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</si>
  <si>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</si>
  <si>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</si>
  <si>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</si>
  <si>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</si>
  <si>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</si>
  <si>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</si>
  <si>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</si>
  <si>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</si>
  <si>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</si>
  <si>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</si>
  <si>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</si>
  <si>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</si>
  <si>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</si>
  <si>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</si>
  <si>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</si>
  <si>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</si>
  <si>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</si>
  <si>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</si>
  <si>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</si>
  <si>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</si>
  <si>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</si>
  <si>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</si>
  <si>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</si>
  <si>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</si>
  <si>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</si>
  <si>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</si>
  <si>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</si>
  <si>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</si>
  <si>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</si>
  <si>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</si>
  <si>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</si>
  <si>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</si>
  <si>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</si>
  <si>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</si>
  <si>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</si>
  <si>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</si>
  <si>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</si>
  <si>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</si>
  <si>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</si>
  <si>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</si>
  <si>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</si>
  <si>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</si>
  <si>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</si>
  <si>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</si>
  <si>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</si>
  <si>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</si>
  <si>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</si>
  <si>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</si>
  <si>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</si>
  <si>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</si>
  <si>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</si>
  <si>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</si>
  <si>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</si>
  <si>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</si>
  <si>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</si>
  <si>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</si>
  <si>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</si>
  <si>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</si>
  <si>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</si>
  <si>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</si>
  <si>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</si>
  <si>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</si>
  <si>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</si>
  <si>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</si>
  <si>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</si>
  <si>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</si>
  <si>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</si>
  <si>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</si>
  <si>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</si>
  <si>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</si>
  <si>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</si>
  <si>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</si>
  <si>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</si>
  <si>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</si>
  <si>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</si>
  <si>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</si>
  <si>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</si>
  <si>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</si>
  <si>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</si>
  <si>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</si>
  <si>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</si>
  <si>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</si>
  <si>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</si>
  <si>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</si>
  <si>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</si>
  <si>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</si>
  <si>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</si>
  <si>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</si>
  <si>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</si>
  <si>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</si>
  <si>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</si>
  <si>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</si>
  <si>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</si>
  <si>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</si>
  <si>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</si>
  <si>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</si>
  <si>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</si>
  <si>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</si>
  <si>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</si>
  <si>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</si>
  <si>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</si>
  <si>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</si>
  <si>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</si>
  <si>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</si>
  <si>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</si>
  <si>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</si>
  <si>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</si>
  <si>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</si>
  <si>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</si>
  <si>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</si>
  <si>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</si>
  <si>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</si>
  <si>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</si>
  <si>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</si>
  <si>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</si>
  <si>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</si>
  <si>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</si>
  <si>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</si>
  <si>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</si>
  <si>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</si>
  <si>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</si>
  <si>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</si>
  <si>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</si>
  <si>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</si>
  <si>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</si>
  <si>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</si>
  <si>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</si>
  <si>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</si>
  <si>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</si>
  <si>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</si>
  <si>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</si>
  <si>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</si>
  <si>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</si>
  <si>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</si>
  <si>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</si>
  <si>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</si>
  <si>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</si>
  <si>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</si>
  <si>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</si>
  <si>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</si>
  <si>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</si>
  <si>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</si>
  <si>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</si>
  <si>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</si>
  <si>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</si>
  <si>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</si>
  <si>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</si>
  <si>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</si>
  <si>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</si>
  <si>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</si>
  <si>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</si>
  <si>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</si>
  <si>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</si>
  <si>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</si>
  <si>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</si>
  <si>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</si>
  <si>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</si>
  <si>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</si>
  <si>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</si>
  <si>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</si>
  <si>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</si>
  <si>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</si>
  <si>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</si>
  <si>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</si>
  <si>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</si>
  <si>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</si>
  <si>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</si>
  <si>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</si>
  <si>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</si>
  <si>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</si>
  <si>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</si>
  <si>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</si>
  <si>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</si>
  <si>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</si>
  <si>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</si>
  <si>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</si>
  <si>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</si>
  <si>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</si>
  <si>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</si>
  <si>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</si>
  <si>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</si>
  <si>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</si>
  <si>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</si>
  <si>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</si>
  <si>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</si>
  <si>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</si>
  <si>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</si>
  <si>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</si>
  <si>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</si>
  <si>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</si>
  <si>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</si>
  <si>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</si>
  <si>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</si>
  <si>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</si>
  <si>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</si>
  <si>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</si>
  <si>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</si>
  <si>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</si>
  <si>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</si>
  <si>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</si>
  <si>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</si>
  <si>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</si>
  <si>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</si>
  <si>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</si>
  <si>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</si>
  <si>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</si>
  <si>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</si>
  <si>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</si>
  <si>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</si>
  <si>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</si>
  <si>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</si>
  <si>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</si>
  <si>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</si>
  <si>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</si>
  <si>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</si>
  <si>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</si>
  <si>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</si>
  <si>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</si>
  <si>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</si>
  <si>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</si>
  <si>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</si>
  <si>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</si>
  <si>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</si>
  <si>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</si>
  <si>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</si>
  <si>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</si>
  <si>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</si>
  <si>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</si>
  <si>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</si>
  <si>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</si>
  <si>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</si>
  <si>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</si>
  <si>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</si>
  <si>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</si>
  <si>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</si>
  <si>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</si>
  <si>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</si>
  <si>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</si>
  <si>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</si>
  <si>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</si>
  <si>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</si>
  <si>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</si>
  <si>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</si>
  <si>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</si>
  <si>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</si>
  <si>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</si>
  <si>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</si>
  <si>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</si>
  <si>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</si>
  <si>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</si>
  <si>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</si>
  <si>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</si>
  <si>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</si>
  <si>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</si>
  <si>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</si>
  <si>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</si>
  <si>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</si>
  <si>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</si>
  <si>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</si>
  <si>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</si>
  <si>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</si>
  <si>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</si>
  <si>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</si>
  <si>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</si>
  <si>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</si>
  <si>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</si>
  <si>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</si>
  <si>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</si>
  <si>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</si>
  <si>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</si>
  <si>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</si>
  <si>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</si>
  <si>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</si>
  <si>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</si>
  <si>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</si>
  <si>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</si>
  <si>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</si>
  <si>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</si>
  <si>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</si>
  <si>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</si>
  <si>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</si>
  <si>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</si>
  <si>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</si>
  <si>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</si>
  <si>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</si>
  <si>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</si>
  <si>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</si>
  <si>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</si>
  <si>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</si>
  <si>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</si>
  <si>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</si>
  <si>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</si>
  <si>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</si>
  <si>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</si>
  <si>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</si>
  <si>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</si>
  <si>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</si>
  <si>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</si>
  <si>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</si>
  <si>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</si>
  <si>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</si>
  <si>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</si>
  <si>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</si>
  <si>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</si>
  <si>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</si>
  <si>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</si>
  <si>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</si>
  <si>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</si>
  <si>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</si>
  <si>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</si>
  <si>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</si>
  <si>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</si>
  <si>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</si>
  <si>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</si>
  <si>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</si>
  <si>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</si>
  <si>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</si>
  <si>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</si>
  <si>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</si>
  <si>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</si>
  <si>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</si>
  <si>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</si>
  <si>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</si>
  <si>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</si>
  <si>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</si>
  <si>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</si>
  <si>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</si>
  <si>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</si>
  <si>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</si>
  <si>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</si>
  <si>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</si>
  <si>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</si>
  <si>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</si>
  <si>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</si>
  <si>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</si>
  <si>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</si>
  <si>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</si>
  <si>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</si>
  <si>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</si>
  <si>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</si>
  <si>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</si>
  <si>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</si>
  <si>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</si>
  <si>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</si>
  <si>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</si>
  <si>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</si>
  <si>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</si>
  <si>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</si>
  <si>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</si>
  <si>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</si>
  <si>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</si>
  <si>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</si>
  <si>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</si>
  <si>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</si>
  <si>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</si>
  <si>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</si>
  <si>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</si>
  <si>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</si>
  <si>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</si>
  <si>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</si>
  <si>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</si>
  <si>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</si>
  <si>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</si>
  <si>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</si>
  <si>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</si>
  <si>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</si>
  <si>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</si>
  <si>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</si>
  <si>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</si>
  <si>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</si>
  <si>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</si>
  <si>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</si>
  <si>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</si>
  <si>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</si>
  <si>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</si>
  <si>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</si>
  <si>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</si>
  <si>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</si>
  <si>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</si>
  <si>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</si>
  <si>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</si>
  <si>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</si>
  <si>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</si>
  <si>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</si>
  <si>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</si>
  <si>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</si>
  <si>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</si>
  <si>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</si>
  <si>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</si>
  <si>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</si>
  <si>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</si>
  <si>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</si>
  <si>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</si>
  <si>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</si>
  <si>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</si>
  <si>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</si>
  <si>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</si>
  <si>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</si>
  <si>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</si>
  <si>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</si>
  <si>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</si>
  <si>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</si>
  <si>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</si>
  <si>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</si>
  <si>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</si>
  <si>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</si>
  <si>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</si>
  <si>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</si>
  <si>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</si>
  <si>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</si>
  <si>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</si>
  <si>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</si>
  <si>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</si>
  <si>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</si>
  <si>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</si>
  <si>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</si>
  <si>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</si>
  <si>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</si>
  <si>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</si>
  <si>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</si>
  <si>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</si>
  <si>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</si>
  <si>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</si>
  <si>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</si>
  <si>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</si>
  <si>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</si>
  <si>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</si>
  <si>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</si>
  <si>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</si>
  <si>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</si>
  <si>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</si>
  <si>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</si>
  <si>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</si>
  <si>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</si>
  <si>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</si>
  <si>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</si>
  <si>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</si>
  <si>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</si>
  <si>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</si>
  <si>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</si>
  <si>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</si>
  <si>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</si>
  <si>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</si>
  <si>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</si>
  <si>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</si>
  <si>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</si>
  <si>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</si>
  <si>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</si>
  <si>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</si>
  <si>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</si>
  <si>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</si>
  <si>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</si>
  <si>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</si>
  <si>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</si>
  <si>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</si>
  <si>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</si>
  <si>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</si>
  <si>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</si>
  <si>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</si>
  <si>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</si>
  <si>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</si>
  <si>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</si>
  <si>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</si>
  <si>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</si>
  <si>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</si>
  <si>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</si>
  <si>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</si>
  <si>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</si>
  <si>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</si>
  <si>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</si>
  <si>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</si>
  <si>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</si>
  <si>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</si>
  <si>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</si>
  <si>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</si>
  <si>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</si>
  <si>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</si>
  <si>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</si>
  <si>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</si>
  <si>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</si>
  <si>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</si>
  <si>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</si>
  <si>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</si>
  <si>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</si>
  <si>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</si>
  <si>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</si>
  <si>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</si>
  <si>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</si>
  <si>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</si>
  <si>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</si>
  <si>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</si>
  <si>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</si>
  <si>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</si>
  <si>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</si>
  <si>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</si>
  <si>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</si>
  <si>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</si>
  <si>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</si>
  <si>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</si>
  <si>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</si>
  <si>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</si>
  <si>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</si>
  <si>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</si>
  <si>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</si>
  <si>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</si>
  <si>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</si>
  <si>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</si>
  <si>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</si>
  <si>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</si>
  <si>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</si>
  <si>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</si>
  <si>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</si>
  <si>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</si>
  <si>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</si>
  <si>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</si>
  <si>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</si>
  <si>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</si>
  <si>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</si>
  <si>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</si>
  <si>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</si>
  <si>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</si>
  <si>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</si>
  <si>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</si>
  <si>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</si>
  <si>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</si>
  <si>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</si>
  <si>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</si>
  <si>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</si>
  <si>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</si>
  <si>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</si>
  <si>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</si>
  <si>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</si>
  <si>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</si>
  <si>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</si>
  <si>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</si>
  <si>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</si>
  <si>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</si>
  <si>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</si>
  <si>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</si>
  <si>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</si>
  <si>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</si>
  <si>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</si>
  <si>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</si>
  <si>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</si>
  <si>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</si>
  <si>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</si>
  <si>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</si>
  <si>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</si>
  <si>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</si>
  <si>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</si>
  <si>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</si>
  <si>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</si>
  <si>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</si>
  <si>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</si>
  <si>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</si>
  <si>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</si>
  <si>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</si>
  <si>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</si>
  <si>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</si>
  <si>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</si>
  <si>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</si>
  <si>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</si>
  <si>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</si>
  <si>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</si>
  <si>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</si>
  <si>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</si>
  <si>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</si>
  <si>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</si>
  <si>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</si>
  <si>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</si>
  <si>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</si>
  <si>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</si>
  <si>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</si>
  <si>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</si>
  <si>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</si>
  <si>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</si>
  <si>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</si>
  <si>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</si>
  <si>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</si>
  <si>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</si>
  <si>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</si>
  <si>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</si>
  <si>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</si>
  <si>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</si>
  <si>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</si>
  <si>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</si>
  <si>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</si>
  <si>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</si>
  <si>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</si>
  <si>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</si>
  <si>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</si>
  <si>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</si>
  <si>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</si>
  <si>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</si>
  <si>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</si>
  <si>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</si>
  <si>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</si>
  <si>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</si>
  <si>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</si>
  <si>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</si>
  <si>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</si>
  <si>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</si>
  <si>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</si>
  <si>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</si>
  <si>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</si>
  <si>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</si>
  <si>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</si>
  <si>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</si>
  <si>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</si>
  <si>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</si>
  <si>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</si>
  <si>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</si>
  <si>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</si>
  <si>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</si>
  <si>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</si>
  <si>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</si>
  <si>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</si>
  <si>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</si>
  <si>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</si>
  <si>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</si>
  <si>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</si>
  <si>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</si>
  <si>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</si>
  <si>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</si>
  <si>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</si>
  <si>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</si>
  <si>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</si>
  <si>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</si>
  <si>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</si>
  <si>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</si>
  <si>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</si>
  <si>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</si>
  <si>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</si>
  <si>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</si>
  <si>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</si>
  <si>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</si>
  <si>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</si>
  <si>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</si>
  <si>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</si>
  <si>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</si>
  <si>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</si>
  <si>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</si>
  <si>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</si>
  <si>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</si>
  <si>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</si>
  <si>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</si>
  <si>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</si>
  <si>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</si>
  <si>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</si>
  <si>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</si>
  <si>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</si>
  <si>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</si>
  <si>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</si>
  <si>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</si>
  <si>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</si>
  <si>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</si>
  <si>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</si>
  <si>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</si>
  <si>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</si>
  <si>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</si>
  <si>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</si>
  <si>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</si>
  <si>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</si>
  <si>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</si>
  <si>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</si>
  <si>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</si>
  <si>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</si>
  <si>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</si>
  <si>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</si>
  <si>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</si>
  <si>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</si>
  <si>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</si>
  <si>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</si>
  <si>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</si>
  <si>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</si>
  <si>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</si>
  <si>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</si>
  <si>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</si>
  <si>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</si>
  <si>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</si>
  <si>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</si>
  <si>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</si>
  <si>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</si>
  <si>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</si>
  <si>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</si>
  <si>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</si>
  <si>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</si>
  <si>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</si>
  <si>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</si>
  <si>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</si>
  <si>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</si>
  <si>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</si>
  <si>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</si>
  <si>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</si>
  <si>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</si>
  <si>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</si>
  <si>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</si>
  <si>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</si>
  <si>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</si>
  <si>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</si>
  <si>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</si>
  <si>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</si>
  <si>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</si>
  <si>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</si>
  <si>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</si>
  <si>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</si>
  <si>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</si>
  <si>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</si>
  <si>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</si>
  <si>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</si>
  <si>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</si>
  <si>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</si>
  <si>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</si>
  <si>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</si>
  <si>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</si>
  <si>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</si>
  <si>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</si>
  <si>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</si>
  <si>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</si>
  <si>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</si>
  <si>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</si>
  <si>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</si>
  <si>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</si>
  <si>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</si>
  <si>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</si>
  <si>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</si>
  <si>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</si>
  <si>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</si>
  <si>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</si>
  <si>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</si>
  <si>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</si>
  <si>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</si>
  <si>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</si>
  <si>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</si>
  <si>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</si>
  <si>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</si>
  <si>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</si>
  <si>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</si>
  <si>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</si>
  <si>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</si>
  <si>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</si>
  <si>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</si>
  <si>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</si>
  <si>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</si>
  <si>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</si>
  <si>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</si>
  <si>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</si>
  <si>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</si>
  <si>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</si>
  <si>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</si>
  <si>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</si>
  <si>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</si>
  <si>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</si>
  <si>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</si>
  <si>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</si>
  <si>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</si>
  <si>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</si>
  <si>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</si>
  <si>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</si>
  <si>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</si>
  <si>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</si>
  <si>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</si>
  <si>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</si>
  <si>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</si>
  <si>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</si>
  <si>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</si>
  <si>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</si>
  <si>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</si>
  <si>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</si>
  <si>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</si>
  <si>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</si>
  <si>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</si>
  <si>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</si>
  <si>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</si>
  <si>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</si>
  <si>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</si>
  <si>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</si>
  <si>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</si>
  <si>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</si>
  <si>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</si>
  <si>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</si>
  <si>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</si>
  <si>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</si>
  <si>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</si>
  <si>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</si>
  <si>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</si>
  <si>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</si>
  <si>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</si>
  <si>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</si>
  <si>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</si>
  <si>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</si>
  <si>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</si>
  <si>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</si>
  <si>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</si>
  <si>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</si>
  <si>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</si>
  <si>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</si>
  <si>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</si>
  <si>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</si>
  <si>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</si>
  <si>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</si>
  <si>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</si>
  <si>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</si>
  <si>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</si>
  <si>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</si>
  <si>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</si>
  <si>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</si>
  <si>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</si>
  <si>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</si>
  <si>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</si>
  <si>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</si>
  <si>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</si>
  <si>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</si>
  <si>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</si>
  <si>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</si>
  <si>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</si>
  <si>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</si>
  <si>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</si>
  <si>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</si>
  <si>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</si>
  <si>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</si>
  <si>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</si>
  <si>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</si>
  <si>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</si>
  <si>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</si>
  <si>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</si>
  <si>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</si>
  <si>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</si>
  <si>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</si>
  <si>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</si>
  <si>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</si>
  <si>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</si>
  <si>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</si>
  <si>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</si>
  <si>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</si>
  <si>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</si>
  <si>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</si>
  <si>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</si>
  <si>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</si>
  <si>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</si>
  <si>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</si>
  <si>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</si>
  <si>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</si>
  <si>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</si>
  <si>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</si>
  <si>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</si>
  <si>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</si>
  <si>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</si>
  <si>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</si>
  <si>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</si>
  <si>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</si>
  <si>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</si>
  <si>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</si>
  <si>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</si>
  <si>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</si>
  <si>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</si>
  <si>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</si>
  <si>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</si>
  <si>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</si>
  <si>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</si>
  <si>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</si>
  <si>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</si>
  <si>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</si>
  <si>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</si>
  <si>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</si>
  <si>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</si>
  <si>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</si>
  <si>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</si>
  <si>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</si>
  <si>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</si>
  <si>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</si>
  <si>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</si>
  <si>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</si>
  <si>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</si>
  <si>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</si>
  <si>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</si>
  <si>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</si>
  <si>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</si>
  <si>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</si>
  <si>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</si>
  <si>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</si>
  <si>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</si>
  <si>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</si>
  <si>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</si>
  <si>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</si>
  <si>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</si>
  <si>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</si>
  <si>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</si>
  <si>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</si>
  <si>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</si>
  <si>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</si>
  <si>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</si>
  <si>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</si>
  <si>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</si>
  <si>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</si>
  <si>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</si>
  <si>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</si>
  <si>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</si>
  <si>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</si>
  <si>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</si>
  <si>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</si>
  <si>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</si>
  <si>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</si>
  <si>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</si>
  <si>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</si>
  <si>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</si>
  <si>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</si>
  <si>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</si>
  <si>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</si>
  <si>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</si>
  <si>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</si>
  <si>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</si>
  <si>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</si>
  <si>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</si>
  <si>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</si>
  <si>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</si>
  <si>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</si>
  <si>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</si>
  <si>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</si>
  <si>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</si>
  <si>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</si>
  <si>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</si>
  <si>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</si>
  <si>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</si>
  <si>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</si>
  <si>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</si>
  <si>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</si>
  <si>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</si>
  <si>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</si>
  <si>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</si>
  <si>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</si>
  <si>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</si>
  <si>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</si>
  <si>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</si>
  <si>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</si>
  <si>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</si>
  <si>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</si>
  <si>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</si>
  <si>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</si>
  <si>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</si>
  <si>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</si>
  <si>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</si>
  <si>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</si>
  <si>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</si>
  <si>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</si>
  <si>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</si>
  <si>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</si>
  <si>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</si>
  <si>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</si>
  <si>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</si>
  <si>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</si>
  <si>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</si>
  <si>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</si>
  <si>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</si>
  <si>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</si>
  <si>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</si>
  <si>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</si>
  <si>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</si>
  <si>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</si>
  <si>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</si>
  <si>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</si>
  <si>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</si>
  <si>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</si>
  <si>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</si>
  <si>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</si>
  <si>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</si>
  <si>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</si>
  <si>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</si>
  <si>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</si>
  <si>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</si>
  <si>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</si>
  <si>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</si>
  <si>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</si>
  <si>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</si>
  <si>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</si>
  <si>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</si>
  <si>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</si>
  <si>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</si>
  <si>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</si>
  <si>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</si>
  <si>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</si>
  <si>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</si>
  <si>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</si>
  <si>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</si>
  <si>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</si>
  <si>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</si>
  <si>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</si>
  <si>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</si>
  <si>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</si>
  <si>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</si>
  <si>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</si>
  <si>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</si>
  <si>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</si>
  <si>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</si>
  <si>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</si>
  <si>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</si>
  <si>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</si>
  <si>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</si>
  <si>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</si>
  <si>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</si>
  <si>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</si>
  <si>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</si>
  <si>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</si>
  <si>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</si>
  <si>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</si>
  <si>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</si>
  <si>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</si>
  <si>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</si>
  <si>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</si>
  <si>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</si>
  <si>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</si>
  <si>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</si>
  <si>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</si>
  <si>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</si>
  <si>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</si>
  <si>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</si>
  <si>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</si>
  <si>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</si>
  <si>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</si>
  <si>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</si>
  <si>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</si>
  <si>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</si>
  <si>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</si>
  <si>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</si>
  <si>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</si>
  <si>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</si>
  <si>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</si>
  <si>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</si>
  <si>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</si>
  <si>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</si>
  <si>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</si>
  <si>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</si>
  <si>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</si>
  <si>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</si>
  <si>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</si>
  <si>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</si>
  <si>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</si>
  <si>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</si>
  <si>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</si>
  <si>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</si>
  <si>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</si>
  <si>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</si>
  <si>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</si>
  <si>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</si>
  <si>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</si>
  <si>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</si>
  <si>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</si>
  <si>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</si>
  <si>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</si>
  <si>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</si>
  <si>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</si>
  <si>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</si>
  <si>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</si>
  <si>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</si>
  <si>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</si>
  <si>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</si>
  <si>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</si>
  <si>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</si>
  <si>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</si>
  <si>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</si>
  <si>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</si>
  <si>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</si>
  <si>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</si>
  <si>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</si>
  <si>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</si>
  <si>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</si>
  <si>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</si>
  <si>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</si>
  <si>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</si>
  <si>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</si>
  <si>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</si>
  <si>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</si>
  <si>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</si>
  <si>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</si>
  <si>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</si>
  <si>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</si>
  <si>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</si>
  <si>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</si>
  <si>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</si>
  <si>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</si>
  <si>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</si>
  <si>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</si>
  <si>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</si>
  <si>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</si>
  <si>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</si>
  <si>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</si>
  <si>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</si>
  <si>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</si>
  <si>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</si>
  <si>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</si>
  <si>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</si>
  <si>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</si>
  <si>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</si>
  <si>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</si>
  <si>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</si>
  <si>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</si>
  <si>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</si>
  <si>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</si>
  <si>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</si>
  <si>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</si>
  <si>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</si>
  <si>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</si>
  <si>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</si>
  <si>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</si>
  <si>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</si>
  <si>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</si>
  <si>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</si>
  <si>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</si>
  <si>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</si>
  <si>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</si>
  <si>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</si>
  <si>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</si>
  <si>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</si>
  <si>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</si>
  <si>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</si>
  <si>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</si>
  <si>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</si>
  <si>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</si>
  <si>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</si>
  <si>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</si>
  <si>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</si>
  <si>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</si>
  <si>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</si>
  <si>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</si>
  <si>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</si>
  <si>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</si>
  <si>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</si>
  <si>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</si>
  <si>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</si>
  <si>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</si>
  <si>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</si>
  <si>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</si>
  <si>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</si>
  <si>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</si>
  <si>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</si>
  <si>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</si>
  <si>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</si>
  <si>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</si>
  <si>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</si>
  <si>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</si>
  <si>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</si>
  <si>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</si>
  <si>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</si>
  <si>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</si>
  <si>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</si>
  <si>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</si>
  <si>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</si>
  <si>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</si>
  <si>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</si>
  <si>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</si>
  <si>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</si>
  <si>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</si>
  <si>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</si>
  <si>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</si>
  <si>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</si>
  <si>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</si>
  <si>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</si>
  <si>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</si>
  <si>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</si>
  <si>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</si>
  <si>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</si>
  <si>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</si>
  <si>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</si>
  <si>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</si>
  <si>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</si>
  <si>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</si>
  <si>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</si>
  <si>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</si>
  <si>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</si>
  <si>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</si>
  <si>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</si>
  <si>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</si>
  <si>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</si>
  <si>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</si>
  <si>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</si>
  <si>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</si>
  <si>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</si>
  <si>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</si>
  <si>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</si>
  <si>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</si>
  <si>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</si>
  <si>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</si>
  <si>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</si>
  <si>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</si>
  <si>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</si>
  <si>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</si>
  <si>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</si>
  <si>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</si>
  <si>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</si>
  <si>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</si>
  <si>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</si>
  <si>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</si>
  <si>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</si>
  <si>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</si>
  <si>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</si>
  <si>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</si>
  <si>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</si>
  <si>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</si>
  <si>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</si>
  <si>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</si>
  <si>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</si>
  <si>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</si>
  <si>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</si>
  <si>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</si>
  <si>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</si>
  <si>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</si>
  <si>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</si>
  <si>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</si>
  <si>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</si>
  <si>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</si>
  <si>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</si>
  <si>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</si>
  <si>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</si>
  <si>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</si>
  <si>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</si>
  <si>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</si>
  <si>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</si>
  <si>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</si>
  <si>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</si>
  <si>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</si>
  <si>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</si>
  <si>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</si>
  <si>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</si>
  <si>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</si>
  <si>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</si>
  <si>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</si>
  <si>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</si>
  <si>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</si>
  <si>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</si>
  <si>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</si>
  <si>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</si>
  <si>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</si>
  <si>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</si>
  <si>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</si>
  <si>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</si>
  <si>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</si>
  <si>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</si>
  <si>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</si>
  <si>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</si>
  <si>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</si>
  <si>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</si>
  <si>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</si>
  <si>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</si>
  <si>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</si>
  <si>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</si>
  <si>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</si>
  <si>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</si>
  <si>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</si>
  <si>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</si>
  <si>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</si>
  <si>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</si>
  <si>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</si>
  <si>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</si>
  <si>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</si>
  <si>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</si>
  <si>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</si>
  <si>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</si>
  <si>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</si>
  <si>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</si>
  <si>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</si>
  <si>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</si>
  <si>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</si>
  <si>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</si>
  <si>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</si>
  <si>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</si>
  <si>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</si>
  <si>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</si>
  <si>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</si>
  <si>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</si>
  <si>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</si>
  <si>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</si>
  <si>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</si>
  <si>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</si>
  <si>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</si>
  <si>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</si>
  <si>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</si>
  <si>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</si>
  <si>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</si>
  <si>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</si>
  <si>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</si>
  <si>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</si>
  <si>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</si>
  <si>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</si>
  <si>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</si>
  <si>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</si>
  <si>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</si>
  <si>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</si>
  <si>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</si>
  <si>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</si>
  <si>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</si>
  <si>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</si>
  <si>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</si>
  <si>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</si>
  <si>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</si>
  <si>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</si>
  <si>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</si>
  <si>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</si>
  <si>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</si>
  <si>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</si>
  <si>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</si>
  <si>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</si>
  <si>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</si>
  <si>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</si>
  <si>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</si>
  <si>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</si>
  <si>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</si>
  <si>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</si>
  <si>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</si>
  <si>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</si>
  <si>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</si>
  <si>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</si>
  <si>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</si>
  <si>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</si>
  <si>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</si>
  <si>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</si>
  <si>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</si>
  <si>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</si>
  <si>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</si>
  <si>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</si>
  <si>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</si>
  <si>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</si>
  <si>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</si>
  <si>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</si>
  <si>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</si>
  <si>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</si>
  <si>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</si>
  <si>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</si>
  <si>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</si>
  <si>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</si>
  <si>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</si>
  <si>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</si>
  <si>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</si>
  <si>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</si>
  <si>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</si>
  <si>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</si>
  <si>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</si>
  <si>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</si>
  <si>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</si>
  <si>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</si>
  <si>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</si>
  <si>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</si>
  <si>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</si>
  <si>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</si>
  <si>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</si>
  <si>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</si>
  <si>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</si>
  <si>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</si>
  <si>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</si>
  <si>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</si>
  <si>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</si>
  <si>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</si>
  <si>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</si>
  <si>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</si>
  <si>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</si>
  <si>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</si>
  <si>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</si>
  <si>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</si>
  <si>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</si>
  <si>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</si>
  <si>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</si>
  <si>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</si>
  <si>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</si>
  <si>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</si>
  <si>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</si>
  <si>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</si>
  <si>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</si>
  <si>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</si>
  <si>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</si>
  <si>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</si>
  <si>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</si>
  <si>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</si>
  <si>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</si>
  <si>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</si>
  <si>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</si>
  <si>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</si>
  <si>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</si>
  <si>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</si>
  <si>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</si>
  <si>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</si>
  <si>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</si>
  <si>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</si>
  <si>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</si>
  <si>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</si>
  <si>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</si>
  <si>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</si>
  <si>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</si>
  <si>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</si>
  <si>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</si>
  <si>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</si>
  <si>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</si>
  <si>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</si>
  <si>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</si>
  <si>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</si>
  <si>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</si>
  <si>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</si>
  <si>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</si>
  <si>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</si>
  <si>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</si>
  <si>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</si>
  <si>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</si>
  <si>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</si>
  <si>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</si>
  <si>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</si>
  <si>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</si>
  <si>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</si>
  <si>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</si>
  <si>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</si>
  <si>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</si>
  <si>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</si>
  <si>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</si>
  <si>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</si>
  <si>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</si>
  <si>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</si>
  <si>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</si>
  <si>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</si>
  <si>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</si>
  <si>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</si>
  <si>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</si>
  <si>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</si>
  <si>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</si>
  <si>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</si>
  <si>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</si>
  <si>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</si>
  <si>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</si>
  <si>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</si>
  <si>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</si>
  <si>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</si>
  <si>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</si>
  <si>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</si>
  <si>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</si>
  <si>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</si>
  <si>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</si>
  <si>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</si>
  <si>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</si>
  <si>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</si>
  <si>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</si>
  <si>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</si>
  <si>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</si>
  <si>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</si>
  <si>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</si>
  <si>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</si>
  <si>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</si>
  <si>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</si>
  <si>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</si>
  <si>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</si>
  <si>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</si>
  <si>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</si>
  <si>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</si>
  <si>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</si>
  <si>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</si>
  <si>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</si>
  <si>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</si>
  <si>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</si>
  <si>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</si>
  <si>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</si>
  <si>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</si>
  <si>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</si>
  <si>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</si>
  <si>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</si>
  <si>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</si>
  <si>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</si>
  <si>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</si>
  <si>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</si>
  <si>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</si>
  <si>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</si>
  <si>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</si>
  <si>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</si>
  <si>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</si>
  <si>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</si>
  <si>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</si>
  <si>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</si>
  <si>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</si>
  <si>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</si>
  <si>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</si>
  <si>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</si>
  <si>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</si>
  <si>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</si>
  <si>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</si>
  <si>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</si>
  <si>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</si>
  <si>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</si>
  <si>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</si>
  <si>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</si>
  <si>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</si>
  <si>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</si>
  <si>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</si>
  <si>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</si>
  <si>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</si>
  <si>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</si>
  <si>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</si>
  <si>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</si>
  <si>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</si>
  <si>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</si>
  <si>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</si>
  <si>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</si>
  <si>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</si>
  <si>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</si>
  <si>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</si>
  <si>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</si>
  <si>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</si>
  <si>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</si>
  <si>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</si>
  <si>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</si>
  <si>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</si>
  <si>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</si>
  <si>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</si>
  <si>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</si>
  <si>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</si>
  <si>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</si>
  <si>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</si>
  <si>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</si>
  <si>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</si>
  <si>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</si>
  <si>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</si>
  <si>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</si>
  <si>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</si>
  <si>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</si>
  <si>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</si>
  <si>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</si>
  <si>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</si>
  <si>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</si>
  <si>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</si>
  <si>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</si>
  <si>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</si>
  <si>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</si>
  <si>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</si>
  <si>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</si>
  <si>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</si>
  <si>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</si>
  <si>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</si>
  <si>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</si>
  <si>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</si>
  <si>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</si>
  <si>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</si>
  <si>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</si>
  <si>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</si>
  <si>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</si>
  <si>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</si>
  <si>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</si>
  <si>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</si>
  <si>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</si>
  <si>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</si>
  <si>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</si>
  <si>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</si>
  <si>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</si>
  <si>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</si>
  <si>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</si>
  <si>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</si>
  <si>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</si>
  <si>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</si>
  <si>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</si>
  <si>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</t>
  </si>
  <si>
    <t>Trafo 3 Fasa 50 KVA 1 Tiang (G312-A)</t>
  </si>
  <si>
    <t>Daya 23.000 VA</t>
  </si>
  <si>
    <t>SR APP 23 KVA</t>
  </si>
  <si>
    <t>PB JOKO ARI WIBOWO 23KVA</t>
  </si>
  <si>
    <t>CJ6-T</t>
  </si>
  <si>
    <t>CM2-12</t>
  </si>
  <si>
    <t>DC PWI04-K2-686/32 - PWI08-21</t>
  </si>
  <si>
    <t xml:space="preserve">-7.096753, 110.909462  </t>
  </si>
  <si>
    <t>LVTC 3X70+70</t>
  </si>
  <si>
    <t>MTR</t>
  </si>
  <si>
    <t>MARDIYAH HAYATI (CV. NAJMINA BEAUTY INDONESIA)</t>
  </si>
  <si>
    <t>SIMPANG UTARA PURWODADI</t>
  </si>
  <si>
    <t>PWI08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</si>
</sst>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Arial"/>
      <family val="2"/>
    </font>
    <font>
      <u/>
      <sz val="8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4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112" fillId="33" borderId="7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112" fillId="33" borderId="50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72" fillId="0" borderId="0" xfId="0" applyFont="1"/>
    <xf numFmtId="0" fontId="173" fillId="0" borderId="0" xfId="0" applyFont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6130" y="2071274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6372" y="2071857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1200" y="2239689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7124" y="2239689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49749" y="1933985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1147" y="1934691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1421" y="8985505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7541" y="2327094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4013" y="2472060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49720" y="2917094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3772" y="2917677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2410" y="3085509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2144" y="3085509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3339" y="2781710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78547" y="2782416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78257</xdr:colOff>
      <xdr:row>9</xdr:row>
      <xdr:rowOff>57152</xdr:rowOff>
    </xdr:from>
    <xdr:to>
      <xdr:col>11</xdr:col>
      <xdr:colOff>314325</xdr:colOff>
      <xdr:row>36</xdr:row>
      <xdr:rowOff>76203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1863165" y="3396694"/>
          <a:ext cx="4133851" cy="23606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1800" y="871537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5660" y="8694421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0965" y="8732519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115254</xdr:colOff>
      <xdr:row>34</xdr:row>
      <xdr:rowOff>17146</xdr:rowOff>
    </xdr:from>
    <xdr:to>
      <xdr:col>10</xdr:col>
      <xdr:colOff>259806</xdr:colOff>
      <xdr:row>35</xdr:row>
      <xdr:rowOff>13579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468054" y="5246371"/>
          <a:ext cx="144552" cy="14883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58690" y="8726804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6845" y="8688705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7385" y="8749665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6970" y="8660130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48815" y="8890636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4270" y="8999221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5250" y="9002078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28610" y="8986837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116205</xdr:colOff>
      <xdr:row>12</xdr:row>
      <xdr:rowOff>97154</xdr:rowOff>
    </xdr:from>
    <xdr:to>
      <xdr:col>10</xdr:col>
      <xdr:colOff>260757</xdr:colOff>
      <xdr:row>13</xdr:row>
      <xdr:rowOff>84062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469005" y="1973579"/>
          <a:ext cx="144552" cy="14883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232029</xdr:colOff>
      <xdr:row>23</xdr:row>
      <xdr:rowOff>142874</xdr:rowOff>
    </xdr:from>
    <xdr:to>
      <xdr:col>17</xdr:col>
      <xdr:colOff>301371</xdr:colOff>
      <xdr:row>28</xdr:row>
      <xdr:rowOff>57149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5567362" y="3599116"/>
          <a:ext cx="676275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142875</xdr:colOff>
      <xdr:row>25</xdr:row>
      <xdr:rowOff>13335</xdr:rowOff>
    </xdr:from>
    <xdr:to>
      <xdr:col>13</xdr:col>
      <xdr:colOff>287427</xdr:colOff>
      <xdr:row>26</xdr:row>
      <xdr:rowOff>9766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E521A9ED-AA4C-4265-BF39-0833B956C14F}"/>
            </a:ext>
          </a:extLst>
        </xdr:cNvPr>
        <xdr:cNvGrpSpPr/>
      </xdr:nvGrpSpPr>
      <xdr:grpSpPr>
        <a:xfrm>
          <a:off x="4638675" y="3880485"/>
          <a:ext cx="144552" cy="148831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B77135F7-4DA5-72FC-5B21-1F9F6357DB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B6423018-9667-E2FB-B085-CF278AFAE3C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F066A521-3942-C43A-EC80-E50E12C243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257175</xdr:colOff>
      <xdr:row>11</xdr:row>
      <xdr:rowOff>76200</xdr:rowOff>
    </xdr:from>
    <xdr:to>
      <xdr:col>10</xdr:col>
      <xdr:colOff>257175</xdr:colOff>
      <xdr:row>36</xdr:row>
      <xdr:rowOff>38100</xdr:rowOff>
    </xdr:to>
    <xdr:cxnSp macro="">
      <xdr:nvCxnSpPr>
        <xdr:cNvPr id="196" name="Straight Connector 139">
          <a:extLst>
            <a:ext uri="{FF2B5EF4-FFF2-40B4-BE49-F238E27FC236}">
              <a16:creationId xmlns:a16="http://schemas.microsoft.com/office/drawing/2014/main" id="{A14C62F0-2CB1-44D5-854D-80FD8B393553}"/>
            </a:ext>
          </a:extLst>
        </xdr:cNvPr>
        <xdr:cNvCxnSpPr>
          <a:cxnSpLocks/>
        </xdr:cNvCxnSpPr>
      </xdr:nvCxnSpPr>
      <xdr:spPr bwMode="auto">
        <a:xfrm flipV="1">
          <a:off x="3609975" y="1771650"/>
          <a:ext cx="0" cy="3771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241935</xdr:colOff>
      <xdr:row>24</xdr:row>
      <xdr:rowOff>45720</xdr:rowOff>
    </xdr:from>
    <xdr:to>
      <xdr:col>16</xdr:col>
      <xdr:colOff>26670</xdr:colOff>
      <xdr:row>25</xdr:row>
      <xdr:rowOff>45720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5499735" y="3731895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268377</xdr:colOff>
      <xdr:row>24</xdr:row>
      <xdr:rowOff>98229</xdr:rowOff>
    </xdr:from>
    <xdr:to>
      <xdr:col>13</xdr:col>
      <xdr:colOff>142875</xdr:colOff>
      <xdr:row>25</xdr:row>
      <xdr:rowOff>87751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213" idx="6"/>
          <a:endCxn id="193" idx="2"/>
        </xdr:cNvCxnSpPr>
      </xdr:nvCxnSpPr>
      <xdr:spPr bwMode="auto">
        <a:xfrm>
          <a:off x="3621177" y="3784404"/>
          <a:ext cx="1017498" cy="14192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132398</xdr:colOff>
      <xdr:row>23</xdr:row>
      <xdr:rowOff>75248</xdr:rowOff>
    </xdr:from>
    <xdr:to>
      <xdr:col>9</xdr:col>
      <xdr:colOff>363401</xdr:colOff>
      <xdr:row>24</xdr:row>
      <xdr:rowOff>8039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104198" y="3637598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184785</xdr:colOff>
      <xdr:row>22</xdr:row>
      <xdr:rowOff>43816</xdr:rowOff>
    </xdr:from>
    <xdr:to>
      <xdr:col>10</xdr:col>
      <xdr:colOff>204195</xdr:colOff>
      <xdr:row>23</xdr:row>
      <xdr:rowOff>78210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2775585" y="3425191"/>
          <a:ext cx="781410" cy="1867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291466</xdr:colOff>
      <xdr:row>20</xdr:row>
      <xdr:rowOff>47624</xdr:rowOff>
    </xdr:from>
    <xdr:to>
      <xdr:col>8</xdr:col>
      <xdr:colOff>280036</xdr:colOff>
      <xdr:row>29</xdr:row>
      <xdr:rowOff>0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1739266" y="3152774"/>
          <a:ext cx="1131570" cy="13239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PWI04-K2-686/32 - PWI08-21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J5-T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 50KVA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 A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 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10</xdr:col>
      <xdr:colOff>123825</xdr:colOff>
      <xdr:row>24</xdr:row>
      <xdr:rowOff>23812</xdr:rowOff>
    </xdr:from>
    <xdr:to>
      <xdr:col>10</xdr:col>
      <xdr:colOff>268377</xdr:colOff>
      <xdr:row>25</xdr:row>
      <xdr:rowOff>20245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476625" y="3738562"/>
          <a:ext cx="144552" cy="148833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361950</xdr:colOff>
      <xdr:row>24</xdr:row>
      <xdr:rowOff>142875</xdr:rowOff>
    </xdr:from>
    <xdr:to>
      <xdr:col>12</xdr:col>
      <xdr:colOff>120085</xdr:colOff>
      <xdr:row>25</xdr:row>
      <xdr:rowOff>57233</xdr:rowOff>
    </xdr:to>
    <xdr:grpSp>
      <xdr:nvGrpSpPr>
        <xdr:cNvPr id="222" name="Grup 244">
          <a:extLst>
            <a:ext uri="{FF2B5EF4-FFF2-40B4-BE49-F238E27FC236}">
              <a16:creationId xmlns:a16="http://schemas.microsoft.com/office/drawing/2014/main" id="{09A01FC7-3352-4498-B240-282E61F932EF}"/>
            </a:ext>
          </a:extLst>
        </xdr:cNvPr>
        <xdr:cNvGrpSpPr/>
      </xdr:nvGrpSpPr>
      <xdr:grpSpPr>
        <a:xfrm>
          <a:off x="4095750" y="3857625"/>
          <a:ext cx="139135" cy="66758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68D19E26-C601-AEB4-4CC2-64FDBA10986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82">
            <a:extLst>
              <a:ext uri="{FF2B5EF4-FFF2-40B4-BE49-F238E27FC236}">
                <a16:creationId xmlns:a16="http://schemas.microsoft.com/office/drawing/2014/main" id="{5C7EB181-8D93-6962-A4F2-7F4EC71E0DE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3">
            <a:extLst>
              <a:ext uri="{FF2B5EF4-FFF2-40B4-BE49-F238E27FC236}">
                <a16:creationId xmlns:a16="http://schemas.microsoft.com/office/drawing/2014/main" id="{06BE922C-141E-A8A9-424F-14ED45ED776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84">
            <a:extLst>
              <a:ext uri="{FF2B5EF4-FFF2-40B4-BE49-F238E27FC236}">
                <a16:creationId xmlns:a16="http://schemas.microsoft.com/office/drawing/2014/main" id="{7660934F-54DF-CB5C-2C6D-4E70957B3D1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287427</xdr:colOff>
      <xdr:row>24</xdr:row>
      <xdr:rowOff>57150</xdr:rowOff>
    </xdr:from>
    <xdr:to>
      <xdr:col>15</xdr:col>
      <xdr:colOff>238125</xdr:colOff>
      <xdr:row>25</xdr:row>
      <xdr:rowOff>87751</xdr:rowOff>
    </xdr:to>
    <xdr:cxnSp macro="">
      <xdr:nvCxnSpPr>
        <xdr:cNvPr id="227" name="Straight Connector 164">
          <a:extLst>
            <a:ext uri="{FF2B5EF4-FFF2-40B4-BE49-F238E27FC236}">
              <a16:creationId xmlns:a16="http://schemas.microsoft.com/office/drawing/2014/main" id="{3B276271-40B1-434B-8203-68659A776C39}"/>
            </a:ext>
          </a:extLst>
        </xdr:cNvPr>
        <xdr:cNvCxnSpPr>
          <a:cxnSpLocks/>
          <a:endCxn id="193" idx="6"/>
        </xdr:cNvCxnSpPr>
      </xdr:nvCxnSpPr>
      <xdr:spPr bwMode="auto">
        <a:xfrm flipH="1">
          <a:off x="4783227" y="3743325"/>
          <a:ext cx="712698" cy="18300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24</xdr:row>
      <xdr:rowOff>114300</xdr:rowOff>
    </xdr:from>
    <xdr:to>
      <xdr:col>14</xdr:col>
      <xdr:colOff>329635</xdr:colOff>
      <xdr:row>25</xdr:row>
      <xdr:rowOff>28658</xdr:rowOff>
    </xdr:to>
    <xdr:grpSp>
      <xdr:nvGrpSpPr>
        <xdr:cNvPr id="229" name="Grup 244">
          <a:extLst>
            <a:ext uri="{FF2B5EF4-FFF2-40B4-BE49-F238E27FC236}">
              <a16:creationId xmlns:a16="http://schemas.microsoft.com/office/drawing/2014/main" id="{2D357E3E-210C-44BB-BC46-E7718054BF9D}"/>
            </a:ext>
          </a:extLst>
        </xdr:cNvPr>
        <xdr:cNvGrpSpPr/>
      </xdr:nvGrpSpPr>
      <xdr:grpSpPr>
        <a:xfrm>
          <a:off x="5067300" y="3829050"/>
          <a:ext cx="139135" cy="66758"/>
          <a:chOff x="13302191" y="2320613"/>
          <a:chExt cx="139135" cy="57233"/>
        </a:xfrm>
      </xdr:grpSpPr>
      <xdr:cxnSp macro="">
        <xdr:nvCxnSpPr>
          <xdr:cNvPr id="230" name="Straight Connector 81">
            <a:extLst>
              <a:ext uri="{FF2B5EF4-FFF2-40B4-BE49-F238E27FC236}">
                <a16:creationId xmlns:a16="http://schemas.microsoft.com/office/drawing/2014/main" id="{3D2FDA09-B879-55E5-EB5C-D1AF64DB12B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82">
            <a:extLst>
              <a:ext uri="{FF2B5EF4-FFF2-40B4-BE49-F238E27FC236}">
                <a16:creationId xmlns:a16="http://schemas.microsoft.com/office/drawing/2014/main" id="{88BE1C14-E151-977E-D76F-D397406EE4D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83">
            <a:extLst>
              <a:ext uri="{FF2B5EF4-FFF2-40B4-BE49-F238E27FC236}">
                <a16:creationId xmlns:a16="http://schemas.microsoft.com/office/drawing/2014/main" id="{034462C5-AC8A-3770-CF79-D7EF6D12DDB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84">
            <a:extLst>
              <a:ext uri="{FF2B5EF4-FFF2-40B4-BE49-F238E27FC236}">
                <a16:creationId xmlns:a16="http://schemas.microsoft.com/office/drawing/2014/main" id="{02CBDB47-8ECD-6563-96DE-E44B3BB85B7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123825</xdr:colOff>
      <xdr:row>11</xdr:row>
      <xdr:rowOff>19050</xdr:rowOff>
    </xdr:from>
    <xdr:to>
      <xdr:col>10</xdr:col>
      <xdr:colOff>123825</xdr:colOff>
      <xdr:row>35</xdr:row>
      <xdr:rowOff>133350</xdr:rowOff>
    </xdr:to>
    <xdr:cxnSp macro="">
      <xdr:nvCxnSpPr>
        <xdr:cNvPr id="234" name="Straight Connector 139">
          <a:extLst>
            <a:ext uri="{FF2B5EF4-FFF2-40B4-BE49-F238E27FC236}">
              <a16:creationId xmlns:a16="http://schemas.microsoft.com/office/drawing/2014/main" id="{9066269B-8B35-41E1-92BB-77044E2FAAAF}"/>
            </a:ext>
          </a:extLst>
        </xdr:cNvPr>
        <xdr:cNvCxnSpPr>
          <a:cxnSpLocks/>
        </xdr:cNvCxnSpPr>
      </xdr:nvCxnSpPr>
      <xdr:spPr bwMode="auto">
        <a:xfrm flipV="1">
          <a:off x="3476625" y="1714500"/>
          <a:ext cx="0" cy="3771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86200</xdr:colOff>
      <xdr:row>18</xdr:row>
      <xdr:rowOff>132874</xdr:rowOff>
    </xdr:from>
    <xdr:to>
      <xdr:col>10</xdr:col>
      <xdr:colOff>169071</xdr:colOff>
      <xdr:row>19</xdr:row>
      <xdr:rowOff>64296</xdr:rowOff>
    </xdr:to>
    <xdr:grpSp>
      <xdr:nvGrpSpPr>
        <xdr:cNvPr id="235" name="Group 73">
          <a:extLst>
            <a:ext uri="{FF2B5EF4-FFF2-40B4-BE49-F238E27FC236}">
              <a16:creationId xmlns:a16="http://schemas.microsoft.com/office/drawing/2014/main" id="{8EFA7BF6-5119-4F08-8A09-115D95F11E30}"/>
            </a:ext>
          </a:extLst>
        </xdr:cNvPr>
        <xdr:cNvGrpSpPr/>
      </xdr:nvGrpSpPr>
      <xdr:grpSpPr>
        <a:xfrm rot="4764540">
          <a:off x="3438525" y="2933699"/>
          <a:ext cx="83822" cy="82871"/>
          <a:chOff x="12175074" y="2285812"/>
          <a:chExt cx="107252" cy="65186"/>
        </a:xfrm>
      </xdr:grpSpPr>
      <xdr:cxnSp macro="">
        <xdr:nvCxnSpPr>
          <xdr:cNvPr id="236" name="Straight Connector 74">
            <a:extLst>
              <a:ext uri="{FF2B5EF4-FFF2-40B4-BE49-F238E27FC236}">
                <a16:creationId xmlns:a16="http://schemas.microsoft.com/office/drawing/2014/main" id="{6E3B0F88-B10E-2ED7-CB5F-F69B2FA89F6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75">
            <a:extLst>
              <a:ext uri="{FF2B5EF4-FFF2-40B4-BE49-F238E27FC236}">
                <a16:creationId xmlns:a16="http://schemas.microsoft.com/office/drawing/2014/main" id="{348C343B-382B-EB23-5386-B1F5DFF2D9A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76">
            <a:extLst>
              <a:ext uri="{FF2B5EF4-FFF2-40B4-BE49-F238E27FC236}">
                <a16:creationId xmlns:a16="http://schemas.microsoft.com/office/drawing/2014/main" id="{40F97E8C-7B46-D7C5-2D0E-C3EED2F5FAA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76675</xdr:colOff>
      <xdr:row>29</xdr:row>
      <xdr:rowOff>113825</xdr:rowOff>
    </xdr:from>
    <xdr:to>
      <xdr:col>10</xdr:col>
      <xdr:colOff>159546</xdr:colOff>
      <xdr:row>30</xdr:row>
      <xdr:rowOff>54772</xdr:rowOff>
    </xdr:to>
    <xdr:grpSp>
      <xdr:nvGrpSpPr>
        <xdr:cNvPr id="239" name="Group 73">
          <a:extLst>
            <a:ext uri="{FF2B5EF4-FFF2-40B4-BE49-F238E27FC236}">
              <a16:creationId xmlns:a16="http://schemas.microsoft.com/office/drawing/2014/main" id="{22928B3D-01F6-4E8C-9FF4-73B7205657BD}"/>
            </a:ext>
          </a:extLst>
        </xdr:cNvPr>
        <xdr:cNvGrpSpPr/>
      </xdr:nvGrpSpPr>
      <xdr:grpSpPr>
        <a:xfrm rot="5400000">
          <a:off x="3429000" y="4591050"/>
          <a:ext cx="83822" cy="82871"/>
          <a:chOff x="12175074" y="2285812"/>
          <a:chExt cx="107252" cy="65186"/>
        </a:xfrm>
      </xdr:grpSpPr>
      <xdr:cxnSp macro="">
        <xdr:nvCxnSpPr>
          <xdr:cNvPr id="240" name="Straight Connector 74">
            <a:extLst>
              <a:ext uri="{FF2B5EF4-FFF2-40B4-BE49-F238E27FC236}">
                <a16:creationId xmlns:a16="http://schemas.microsoft.com/office/drawing/2014/main" id="{C845AED8-1069-4549-8F55-D240A1DB067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75">
            <a:extLst>
              <a:ext uri="{FF2B5EF4-FFF2-40B4-BE49-F238E27FC236}">
                <a16:creationId xmlns:a16="http://schemas.microsoft.com/office/drawing/2014/main" id="{911BF412-4AB8-1A0A-CAA6-C6689204550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76">
            <a:extLst>
              <a:ext uri="{FF2B5EF4-FFF2-40B4-BE49-F238E27FC236}">
                <a16:creationId xmlns:a16="http://schemas.microsoft.com/office/drawing/2014/main" id="{0ACBBD3E-AA8E-A715-922D-AF06AE2D549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133350</xdr:colOff>
      <xdr:row>20</xdr:row>
      <xdr:rowOff>114300</xdr:rowOff>
    </xdr:from>
    <xdr:to>
      <xdr:col>18</xdr:col>
      <xdr:colOff>256963</xdr:colOff>
      <xdr:row>23</xdr:row>
      <xdr:rowOff>134621</xdr:rowOff>
    </xdr:to>
    <xdr:sp macro="" textlink="">
      <xdr:nvSpPr>
        <xdr:cNvPr id="243" name="TextBox 157">
          <a:extLst>
            <a:ext uri="{FF2B5EF4-FFF2-40B4-BE49-F238E27FC236}">
              <a16:creationId xmlns:a16="http://schemas.microsoft.com/office/drawing/2014/main" id="{E37680B9-245D-46A0-8E37-716504036BFB}"/>
            </a:ext>
          </a:extLst>
        </xdr:cNvPr>
        <xdr:cNvSpPr txBox="1"/>
      </xdr:nvSpPr>
      <xdr:spPr>
        <a:xfrm>
          <a:off x="5391150" y="3190875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23KVA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4X16MM = 45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133350</xdr:colOff>
      <xdr:row>26</xdr:row>
      <xdr:rowOff>114300</xdr:rowOff>
    </xdr:from>
    <xdr:to>
      <xdr:col>14</xdr:col>
      <xdr:colOff>104775</xdr:colOff>
      <xdr:row>29</xdr:row>
      <xdr:rowOff>134621</xdr:rowOff>
    </xdr:to>
    <xdr:sp macro="" textlink="">
      <xdr:nvSpPr>
        <xdr:cNvPr id="244" name="TextBox 157">
          <a:extLst>
            <a:ext uri="{FF2B5EF4-FFF2-40B4-BE49-F238E27FC236}">
              <a16:creationId xmlns:a16="http://schemas.microsoft.com/office/drawing/2014/main" id="{68623EF3-638E-4E0D-87A7-663B19BC9B15}"/>
            </a:ext>
          </a:extLst>
        </xdr:cNvPr>
        <xdr:cNvSpPr txBox="1"/>
      </xdr:nvSpPr>
      <xdr:spPr>
        <a:xfrm>
          <a:off x="4248150" y="4105275"/>
          <a:ext cx="733425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C12-200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ctr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285750</xdr:colOff>
      <xdr:row>24</xdr:row>
      <xdr:rowOff>123825</xdr:rowOff>
    </xdr:from>
    <xdr:to>
      <xdr:col>10</xdr:col>
      <xdr:colOff>65869</xdr:colOff>
      <xdr:row>25</xdr:row>
      <xdr:rowOff>56616</xdr:rowOff>
    </xdr:to>
    <xdr:sp macro="" textlink="">
      <xdr:nvSpPr>
        <xdr:cNvPr id="197" name="Isosceles Triangle 120">
          <a:extLst>
            <a:ext uri="{FF2B5EF4-FFF2-40B4-BE49-F238E27FC236}">
              <a16:creationId xmlns:a16="http://schemas.microsoft.com/office/drawing/2014/main" id="{90E7EFD2-060A-4AA0-B1EB-B3EB4365B7E7}"/>
            </a:ext>
          </a:extLst>
        </xdr:cNvPr>
        <xdr:cNvSpPr/>
      </xdr:nvSpPr>
      <xdr:spPr>
        <a:xfrm>
          <a:off x="3257550" y="3838575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171450</xdr:colOff>
      <xdr:row>23</xdr:row>
      <xdr:rowOff>104775</xdr:rowOff>
    </xdr:from>
    <xdr:to>
      <xdr:col>12</xdr:col>
      <xdr:colOff>304800</xdr:colOff>
      <xdr:row>24</xdr:row>
      <xdr:rowOff>125692</xdr:rowOff>
    </xdr:to>
    <xdr:sp macro="" textlink="">
      <xdr:nvSpPr>
        <xdr:cNvPr id="198" name="TextBox 161">
          <a:extLst>
            <a:ext uri="{FF2B5EF4-FFF2-40B4-BE49-F238E27FC236}">
              <a16:creationId xmlns:a16="http://schemas.microsoft.com/office/drawing/2014/main" id="{EED56FCB-69E6-43E7-A84E-7EED36C91062}"/>
            </a:ext>
          </a:extLst>
        </xdr:cNvPr>
        <xdr:cNvSpPr txBox="1"/>
      </xdr:nvSpPr>
      <xdr:spPr>
        <a:xfrm rot="540930">
          <a:off x="3905250" y="3667125"/>
          <a:ext cx="514350" cy="173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60MTR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20266</xdr:colOff>
      <xdr:row>51</xdr:row>
      <xdr:rowOff>40532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B41E10-EB1D-457A-CCF1-2F8B7AFC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307766" cy="74984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0</xdr:rowOff>
    </xdr:from>
    <xdr:to>
      <xdr:col>28</xdr:col>
      <xdr:colOff>221512</xdr:colOff>
      <xdr:row>59</xdr:row>
      <xdr:rowOff>44302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EE8FE6-287A-9E77-BA14-785F00871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6"/>
          <a:ext cx="14796977" cy="81073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1133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1134</v>
      </c>
      <c r="G7" s="531" t="s">
        <v>41</v>
      </c>
      <c r="H7" s="527" t="s">
        <v>1042</v>
      </c>
      <c r="I7" s="527" t="s">
        <v>1136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60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45</v>
      </c>
      <c r="G19" s="41">
        <f ca="1">IF(ISERROR(OFFSET('HARGA SATUAN'!$I$6,MATCH(C19,'HARGA SATUAN'!$C$7:$C$1495,0),0)),"",OFFSET('HARGA SATUAN'!$I$6,MATCH(C19,'HARGA SATUAN'!$C$7:$C$1495,0),0))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SUMIFS(RAB!$F$14:$F$105,RAB!$C$14:$C$105,C714)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SUMIFS(RAB!$F$14:$F$105,RAB!$C$14:$C$105,C715)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SUMIFS(RAB!$F$14:$F$105,RAB!$C$14:$C$105,C716)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SUMIFS(RAB!$F$14:$F$105,RAB!$C$14:$C$105,C717)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SUMIFS(RAB!$F$14:$F$105,RAB!$C$14:$C$105,C718)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SUMIFS(RAB!$F$14:$F$105,RAB!$C$14:$C$105,C719)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SUMIFS(RAB!$F$14:$F$105,RAB!$C$14:$C$105,C720)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SUMIFS(RAB!$F$14:$F$105,RAB!$C$14:$C$105,C721)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SUMIFS(RAB!$F$14:$F$105,RAB!$C$14:$C$105,C722)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SUMIFS(RAB!$F$14:$F$105,RAB!$C$14:$C$105,C723)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SUMIFS(RAB!$F$14:$F$105,RAB!$C$14:$C$105,C724)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SUMIFS(RAB!$F$14:$F$105,RAB!$C$14:$C$105,C725)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SUMIFS(RAB!$F$14:$F$105,RAB!$C$14:$C$105,C726)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SUMIFS(RAB!$F$14:$F$105,RAB!$C$14:$C$105,C727)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SUMIFS(RAB!$F$14:$F$105,RAB!$C$14:$C$105,C728)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SUMIFS(RAB!$F$14:$F$105,RAB!$C$14:$C$105,C729)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SUMIFS(RAB!$F$14:$F$105,RAB!$C$14:$C$105,C730)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SUMIFS(RAB!$F$14:$F$105,RAB!$C$14:$C$105,C731)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SUMIFS(RAB!$F$14:$F$105,RAB!$C$14:$C$105,C732)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SUMIFS(RAB!$F$14:$F$105,RAB!$C$14:$C$105,C733)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SUMIFS(RAB!$F$14:$F$105,RAB!$C$14:$C$105,C734)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SUMIFS(RAB!$F$14:$F$105,RAB!$C$14:$C$105,C735)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SUMIFS(RAB!$F$14:$F$105,RAB!$C$14:$C$105,C736)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SUMIFS(RAB!$F$14:$F$105,RAB!$C$14:$C$105,C737)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SUMIFS(RAB!$F$14:$F$105,RAB!$C$14:$C$105,C738)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SUMIFS(RAB!$F$14:$F$105,RAB!$C$14:$C$105,C739)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SUMIFS(RAB!$F$14:$F$105,RAB!$C$14:$C$105,C740)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SUMIFS(RAB!$F$14:$F$105,RAB!$C$14:$C$105,C741)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SUMIFS(RAB!$F$14:$F$105,RAB!$C$14:$C$105,C742)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SUMIFS(RAB!$F$14:$F$105,RAB!$C$14:$C$105,C743)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SUMIFS(RAB!$F$14:$F$105,RAB!$C$14:$C$105,C744)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SUMIFS(RAB!$F$14:$F$105,RAB!$C$14:$C$105,C745)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SUMIFS(RAB!$F$14:$F$105,RAB!$C$14:$C$105,C746)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SUMIFS(RAB!$F$14:$F$105,RAB!$C$14:$C$105,C747)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SUMIFS(RAB!$F$14:$F$105,RAB!$C$14:$C$105,C748)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SUMIFS(RAB!$F$14:$F$105,RAB!$C$14:$C$105,C749)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SUMIFS(RAB!$F$14:$F$105,RAB!$C$14:$C$105,C750)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SUMIFS(RAB!$F$14:$F$105,RAB!$C$14:$C$105,C751)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SUMIFS(RAB!$F$14:$F$105,RAB!$C$14:$C$105,C752)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SUMIFS(RAB!$F$14:$F$105,RAB!$C$14:$C$105,C753)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SUMIFS(RAB!$F$14:$F$105,RAB!$C$14:$C$105,C754)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SUMIFS(RAB!$F$14:$F$105,RAB!$C$14:$C$105,C755)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SUMIFS(RAB!$F$14:$F$105,RAB!$C$14:$C$105,C756)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SUMIFS(RAB!$F$14:$F$105,RAB!$C$14:$C$105,C757)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SUMIFS(RAB!$F$14:$F$105,RAB!$C$14:$C$105,C758)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SUMIFS(RAB!$F$14:$F$105,RAB!$C$14:$C$105,C759)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SUMIFS(RAB!$F$14:$F$105,RAB!$C$14:$C$105,C760)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SUMIFS(RAB!$F$14:$F$105,RAB!$C$14:$C$105,C761)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SUMIFS(RAB!$F$14:$F$105,RAB!$C$14:$C$105,C762)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SUMIFS(RAB!$F$14:$F$105,RAB!$C$14:$C$105,C763)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SUMIFS(RAB!$F$14:$F$105,RAB!$C$14:$C$105,C764)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SUMIFS(RAB!$F$14:$F$105,RAB!$C$14:$C$105,C765)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SUMIFS(RAB!$F$14:$F$105,RAB!$C$14:$C$105,C766)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SUMIFS(RAB!$F$14:$F$105,RAB!$C$14:$C$105,C767)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SUMIFS(RAB!$F$14:$F$105,RAB!$C$14:$C$105,C768)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SUMIFS(RAB!$F$14:$F$105,RAB!$C$14:$C$105,C769)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SUMIFS(RAB!$F$14:$F$105,RAB!$C$14:$C$105,C770)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SUMIFS(RAB!$F$14:$F$105,RAB!$C$14:$C$105,C771)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SUMIFS(RAB!$F$14:$F$105,RAB!$C$14:$C$105,C772)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SUMIFS(RAB!$F$14:$F$105,RAB!$C$14:$C$105,C773)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SUMIFS(RAB!$F$14:$F$105,RAB!$C$14:$C$105,C774)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SUMIFS(RAB!$F$14:$F$105,RAB!$C$14:$C$105,C775)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SUMIFS(RAB!$F$14:$F$105,RAB!$C$14:$C$105,C776)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SUMIFS(RAB!$F$14:$F$105,RAB!$C$14:$C$105,C777)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SUMIFS(RAB!$F$14:$F$105,RAB!$C$14:$C$105,C778)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SUMIFS(RAB!$F$14:$F$105,RAB!$C$14:$C$105,C779)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SUMIFS(RAB!$F$14:$F$105,RAB!$C$14:$C$105,C780)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SUMIFS(RAB!$F$14:$F$105,RAB!$C$14:$C$105,C781)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SUMIFS(RAB!$F$14:$F$105,RAB!$C$14:$C$105,C782)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SUMIFS(RAB!$F$14:$F$105,RAB!$C$14:$C$105,C783)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SUMIFS(RAB!$F$14:$F$105,RAB!$C$14:$C$105,C784)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SUMIFS(RAB!$F$14:$F$105,RAB!$C$14:$C$105,C785)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SUMIFS(RAB!$F$14:$F$105,RAB!$C$14:$C$105,C786)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SUMIFS(RAB!$F$14:$F$105,RAB!$C$14:$C$105,C787)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SUMIFS(RAB!$F$14:$F$105,RAB!$C$14:$C$105,C788)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SUMIFS(RAB!$F$14:$F$105,RAB!$C$14:$C$105,C789)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SUMIFS(RAB!$F$14:$F$105,RAB!$C$14:$C$105,C790)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SUMIFS(RAB!$F$14:$F$105,RAB!$C$14:$C$105,C791)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SUMIFS(RAB!$F$14:$F$105,RAB!$C$14:$C$105,C792)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SUMIFS(RAB!$F$14:$F$105,RAB!$C$14:$C$105,C793)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SUMIFS(RAB!$F$14:$F$105,RAB!$C$14:$C$105,C794)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SUMIFS(RAB!$F$14:$F$105,RAB!$C$14:$C$105,C795)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SUMIFS(RAB!$F$14:$F$105,RAB!$C$14:$C$105,C796)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SUMIFS(RAB!$F$14:$F$105,RAB!$C$14:$C$105,C797)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SUMIFS(RAB!$F$14:$F$105,RAB!$C$14:$C$105,C798)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SUMIFS(RAB!$F$14:$F$105,RAB!$C$14:$C$105,C799)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SUMIFS(RAB!$F$14:$F$105,RAB!$C$14:$C$105,C800)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SUMIFS(RAB!$F$14:$F$105,RAB!$C$14:$C$105,C801)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SUMIFS(RAB!$F$14:$F$105,RAB!$C$14:$C$105,C802)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SUMIFS(RAB!$F$14:$F$105,RAB!$C$14:$C$105,C803)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SUMIFS(RAB!$F$14:$F$105,RAB!$C$14:$C$105,C804)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SUMIFS(RAB!$F$14:$F$105,RAB!$C$14:$C$105,C805)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SUMIFS(RAB!$F$14:$F$105,RAB!$C$14:$C$105,C806)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SUMIFS(RAB!$F$14:$F$105,RAB!$C$14:$C$105,C807)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SUMIFS(RAB!$F$14:$F$105,RAB!$C$14:$C$105,C808)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SUMIFS(RAB!$F$14:$F$105,RAB!$C$14:$C$105,C809)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SUMIFS(RAB!$F$14:$F$105,RAB!$C$14:$C$105,C810)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SUMIFS(RAB!$F$14:$F$105,RAB!$C$14:$C$105,C811)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SUMIFS(RAB!$F$14:$F$105,RAB!$C$14:$C$105,C812)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SUMIFS(RAB!$F$14:$F$105,RAB!$C$14:$C$105,C813)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SUMIFS(RAB!$F$14:$F$105,RAB!$C$14:$C$105,C814)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SUMIFS(RAB!$F$14:$F$105,RAB!$C$14:$C$105,C815)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SUMIFS(RAB!$F$14:$F$105,RAB!$C$14:$C$105,C816)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SUMIFS(RAB!$F$14:$F$105,RAB!$C$14:$C$105,C817)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SUMIFS(RAB!$F$14:$F$105,RAB!$C$14:$C$105,C818)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SUMIFS(RAB!$F$14:$F$105,RAB!$C$14:$C$105,C819)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SUMIFS(RAB!$F$14:$F$105,RAB!$C$14:$C$105,C820)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SUMIFS(RAB!$F$14:$F$105,RAB!$C$14:$C$105,C821)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SUMIFS(RAB!$F$14:$F$105,RAB!$C$14:$C$105,C822)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SUMIFS(RAB!$F$14:$F$105,RAB!$C$14:$C$105,C823)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SUMIFS(RAB!$F$14:$F$105,RAB!$C$14:$C$105,C824)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SUMIFS(RAB!$F$14:$F$105,RAB!$C$14:$C$105,C825)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SUMIFS(RAB!$F$14:$F$105,RAB!$C$14:$C$105,C826)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SUMIFS(RAB!$F$14:$F$105,RAB!$C$14:$C$105,C827)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SUMIFS(RAB!$F$14:$F$105,RAB!$C$14:$C$105,C828)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SUMIFS(RAB!$F$14:$F$105,RAB!$C$14:$C$105,C829)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SUMIFS(RAB!$F$14:$F$105,RAB!$C$14:$C$105,C830)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SUMIFS(RAB!$F$14:$F$105,RAB!$C$14:$C$105,C831)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SUMIFS(RAB!$F$14:$F$105,RAB!$C$14:$C$105,C832)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SUMIFS(RAB!$F$14:$F$105,RAB!$C$14:$C$105,C833)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SUMIFS(RAB!$F$14:$F$105,RAB!$C$14:$C$105,C834)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SUMIFS(RAB!$F$14:$F$105,RAB!$C$14:$C$105,C835)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SUMIFS(RAB!$F$14:$F$105,RAB!$C$14:$C$105,C836)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SUMIFS(RAB!$F$14:$F$105,RAB!$C$14:$C$105,C837)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SUMIFS(RAB!$F$14:$F$105,RAB!$C$14:$C$105,C838)</f>
        <v>60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SUMIFS(RAB!$F$14:$F$105,RAB!$C$14:$C$105,C839)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SUMIFS(RAB!$F$14:$F$105,RAB!$C$14:$C$105,C840)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SUMIFS(RAB!$F$14:$F$105,RAB!$C$14:$C$105,C841)</f>
        <v>45</v>
      </c>
      <c r="E841" s="26">
        <f t="shared" ca="1" si="34"/>
        <v>1</v>
      </c>
      <c r="F841" s="26">
        <f ca="1">IF(D841=0,0,SUM($E$713:E841))</f>
        <v>8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SUMIFS(RAB!$F$14:$F$105,RAB!$C$14:$C$105,C842)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SUMIFS(RAB!$F$14:$F$105,RAB!$C$14:$C$105,C843)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SUMIFS(RAB!$F$14:$F$105,RAB!$C$14:$C$105,C844)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SUMIFS(RAB!$F$14:$F$105,RAB!$C$14:$C$105,C845)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SUMIFS(RAB!$F$14:$F$105,RAB!$C$14:$C$105,C846)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SUMIFS(RAB!$F$14:$F$105,RAB!$C$14:$C$105,C847)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SUMIFS(RAB!$F$14:$F$105,RAB!$C$14:$C$105,C848)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SUMIFS(RAB!$F$14:$F$105,RAB!$C$14:$C$105,C849)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SUMIFS(RAB!$F$14:$F$105,RAB!$C$14:$C$105,C850)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SUMIFS(RAB!$F$14:$F$105,RAB!$C$14:$C$105,C851)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SUMIFS(RAB!$F$14:$F$105,RAB!$C$14:$C$105,C852)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SUMIFS(RAB!$F$14:$F$105,RAB!$C$14:$C$105,C853)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SUMIFS(RAB!$F$14:$F$105,RAB!$C$14:$C$105,C854)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SUMIFS(RAB!$F$14:$F$105,RAB!$C$14:$C$105,C855)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SUMIFS(RAB!$F$14:$F$105,RAB!$C$14:$C$105,C856)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SUMIFS(RAB!$F$14:$F$105,RAB!$C$14:$C$105,C857)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SUMIFS(RAB!$F$14:$F$105,RAB!$C$14:$C$105,C858)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SUMIFS(RAB!$F$14:$F$105,RAB!$C$14:$C$105,C859)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SUMIFS(RAB!$F$14:$F$105,RAB!$C$14:$C$105,C860)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SUMIFS(RAB!$F$14:$F$105,RAB!$C$14:$C$105,C861)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SUMIFS(RAB!$F$14:$F$105,RAB!$C$14:$C$105,C862)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SUMIFS(RAB!$F$14:$F$105,RAB!$C$14:$C$105,C863)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SUMIFS(RAB!$F$14:$F$105,RAB!$C$14:$C$105,C864)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SUMIFS(RAB!$F$14:$F$105,RAB!$C$14:$C$105,C865)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SUMIFS(RAB!$F$14:$F$105,RAB!$C$14:$C$105,C866)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SUMIFS(RAB!$F$14:$F$105,RAB!$C$14:$C$105,C867)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SUMIFS(RAB!$F$14:$F$105,RAB!$C$14:$C$105,C868)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SUMIFS(RAB!$F$14:$F$105,RAB!$C$14:$C$105,C869)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SUMIFS(RAB!$F$14:$F$105,RAB!$C$14:$C$105,C870)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SUMIFS(RAB!$F$14:$F$105,RAB!$C$14:$C$105,C871)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SUMIFS(RAB!$F$14:$F$105,RAB!$C$14:$C$105,C872)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SUMIFS(RAB!$F$14:$F$105,RAB!$C$14:$C$105,C873)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SUMIFS(RAB!$F$14:$F$105,RAB!$C$14:$C$105,C874)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SUMIFS(RAB!$F$14:$F$105,RAB!$C$14:$C$105,C875)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SUMIFS(RAB!$F$14:$F$105,RAB!$C$14:$C$105,C876)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SUMIFS(RAB!$F$14:$F$105,RAB!$C$14:$C$105,C877)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SUMIFS(RAB!$F$14:$F$105,RAB!$C$14:$C$105,C878)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SUMIFS(RAB!$F$14:$F$105,RAB!$C$14:$C$105,C879)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SUMIFS(RAB!$F$14:$F$105,RAB!$C$14:$C$105,C880)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SUMIFS(RAB!$F$14:$F$105,RAB!$C$14:$C$105,C881)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SUMIFS(RAB!$F$14:$F$105,RAB!$C$14:$C$105,C882)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SUMIFS(RAB!$F$14:$F$105,RAB!$C$14:$C$105,C883)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SUMIFS(RAB!$F$14:$F$105,RAB!$C$14:$C$105,C884)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SUMIFS(RAB!$F$14:$F$105,RAB!$C$14:$C$105,C885)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SUMIFS(RAB!$F$14:$F$105,RAB!$C$14:$C$105,C886)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SUMIFS(RAB!$F$14:$F$105,RAB!$C$14:$C$105,C887)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SUMIFS(RAB!$F$14:$F$105,RAB!$C$14:$C$105,C888)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SUMIFS(RAB!$F$14:$F$105,RAB!$C$14:$C$105,C889)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SUMIFS(RAB!$F$14:$F$105,RAB!$C$14:$C$105,C890)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SUMIFS(RAB!$F$14:$F$105,RAB!$C$14:$C$105,C891)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SUMIFS(RAB!$F$14:$F$105,RAB!$C$14:$C$105,C892)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SUMIFS(RAB!$F$14:$F$105,RAB!$C$14:$C$105,C893)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SUMIFS(RAB!$F$14:$F$105,RAB!$C$14:$C$105,C894)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SUMIFS(RAB!$F$14:$F$105,RAB!$C$14:$C$105,C895)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SUMIFS(RAB!$F$14:$F$105,RAB!$C$14:$C$105,C896)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SUMIFS(RAB!$F$14:$F$105,RAB!$C$14:$C$105,C897)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SUMIFS(RAB!$F$14:$F$105,RAB!$C$14:$C$105,C898)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SUMIFS(RAB!$F$14:$F$105,RAB!$C$14:$C$105,C899)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SUMIFS(RAB!$F$14:$F$105,RAB!$C$14:$C$105,C900)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SUMIFS(RAB!$F$14:$F$105,RAB!$C$14:$C$105,C901)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SUMIFS(RAB!$F$14:$F$105,RAB!$C$14:$C$105,C902)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SUMIFS(RAB!$F$14:$F$105,RAB!$C$14:$C$105,C903)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SUMIFS(RAB!$F$14:$F$105,RAB!$C$14:$C$105,C904)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SUMIFS(RAB!$F$14:$F$105,RAB!$C$14:$C$105,C905)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SUMIFS(RAB!$F$14:$F$105,RAB!$C$14:$C$105,C906)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SUMIFS(RAB!$F$14:$F$105,RAB!$C$14:$C$105,C907)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SUMIFS(RAB!$F$14:$F$105,RAB!$C$14:$C$105,C908)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SUMIFS(RAB!$F$14:$F$105,RAB!$C$14:$C$105,C909)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SUMIFS(RAB!$F$14:$F$105,RAB!$C$14:$C$105,C910)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SUMIFS(RAB!$F$14:$F$105,RAB!$C$14:$C$105,C911)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SUMIFS(RAB!$F$14:$F$105,RAB!$C$14:$C$105,C912)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SUMIFS(RAB!$F$14:$F$105,RAB!$C$14:$C$105,C913)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SUMIFS(RAB!$F$14:$F$105,RAB!$C$14:$C$105,C914)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SUMIFS(RAB!$F$14:$F$105,RAB!$C$14:$C$105,C915)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SUMIFS(RAB!$F$14:$F$105,RAB!$C$14:$C$105,C916)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SUMIFS(RAB!$F$14:$F$105,RAB!$C$14:$C$105,C917)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SUMIFS(RAB!$F$14:$F$105,RAB!$C$14:$C$105,C918)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SUMIFS(RAB!$F$14:$F$105,RAB!$C$14:$C$105,C919)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SUMIFS(RAB!$F$14:$F$105,RAB!$C$14:$C$105,C920)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SUMIFS(RAB!$F$14:$F$105,RAB!$C$14:$C$105,C921)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SUMIFS(RAB!$F$14:$F$105,RAB!$C$14:$C$105,C922)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SUMIFS(RAB!$F$14:$F$105,RAB!$C$14:$C$105,C923)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SUMIFS(RAB!$F$14:$F$105,RAB!$C$14:$C$105,C924)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SUMIFS(RAB!$F$14:$F$105,RAB!$C$14:$C$105,C925)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SUMIFS(RAB!$F$14:$F$105,RAB!$C$14:$C$105,C926)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SUMIFS(RAB!$F$14:$F$105,RAB!$C$14:$C$105,C927)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SUMIFS(RAB!$F$14:$F$105,RAB!$C$14:$C$105,C928)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SUMIFS(RAB!$F$14:$F$105,RAB!$C$14:$C$105,C929)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SUMIFS(RAB!$F$14:$F$105,RAB!$C$14:$C$105,C930)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SUMIFS(RAB!$F$14:$F$105,RAB!$C$14:$C$105,C931)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SUMIFS(RAB!$F$14:$F$105,RAB!$C$14:$C$105,C932)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SUMIFS(RAB!$F$14:$F$105,RAB!$C$14:$C$105,C933)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SUMIFS(RAB!$F$14:$F$105,RAB!$C$14:$C$105,C934)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SUMIFS(RAB!$F$14:$F$105,RAB!$C$14:$C$105,C935)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SUMIFS(RAB!$F$14:$F$105,RAB!$C$14:$C$105,C936)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SUMIFS(RAB!$F$14:$F$105,RAB!$C$14:$C$105,C937)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SUMIFS(RAB!$F$14:$F$105,RAB!$C$14:$C$105,C938)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SUMIFS(RAB!$F$14:$F$105,RAB!$C$14:$C$105,C939)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SUMIFS(RAB!$F$14:$F$105,RAB!$C$14:$C$105,C940)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SUMIFS(RAB!$F$14:$F$105,RAB!$C$14:$C$105,C941)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SUMIFS(RAB!$F$14:$F$105,RAB!$C$14:$C$105,C942)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SUMIFS(RAB!$F$14:$F$105,RAB!$C$14:$C$105,C943)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SUMIFS(RAB!$F$14:$F$105,RAB!$C$14:$C$105,C944)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SUMIFS(RAB!$F$14:$F$105,RAB!$C$14:$C$105,C945)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SUMIFS(RAB!$F$14:$F$105,RAB!$C$14:$C$105,C946)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SUMIFS(RAB!$F$14:$F$105,RAB!$C$14:$C$105,C947)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SUMIFS(RAB!$F$14:$F$105,RAB!$C$14:$C$105,C948)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SUMIFS(RAB!$F$14:$F$105,RAB!$C$14:$C$105,C949)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SUMIFS(RAB!$F$14:$F$105,RAB!$C$14:$C$105,C950)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SUMIFS(RAB!$F$14:$F$105,RAB!$C$14:$C$105,C951)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SUMIFS(RAB!$F$14:$F$105,RAB!$C$14:$C$105,C952)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SUMIFS(RAB!$F$14:$F$105,RAB!$C$14:$C$105,C953)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SUMIFS(RAB!$F$14:$F$105,RAB!$C$14:$C$105,C954)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SUMIFS(RAB!$F$14:$F$105,RAB!$C$14:$C$105,C955)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SUMIFS(RAB!$F$14:$F$105,RAB!$C$14:$C$105,C956)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SUMIFS(RAB!$F$14:$F$105,RAB!$C$14:$C$105,C957)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SUMIFS(RAB!$F$14:$F$105,RAB!$C$14:$C$105,C958)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SUMIFS(RAB!$F$14:$F$105,RAB!$C$14:$C$105,C959)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SUMIFS(RAB!$F$14:$F$105,RAB!$C$14:$C$105,C960)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SUMIFS(RAB!$F$14:$F$105,RAB!$C$14:$C$105,C961)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SUMIFS(RAB!$F$14:$F$105,RAB!$C$14:$C$105,C962)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SUMIFS(RAB!$F$14:$F$105,RAB!$C$14:$C$105,C963)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SUMIFS(RAB!$F$14:$F$105,RAB!$C$14:$C$105,C964)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SUMIFS(RAB!$F$14:$F$105,RAB!$C$14:$C$105,C965)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SUMIFS(RAB!$F$14:$F$105,RAB!$C$14:$C$105,C966)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SUMIFS(RAB!$F$14:$F$105,RAB!$C$14:$C$105,C967)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SUMIFS(RAB!$F$14:$F$105,RAB!$C$14:$C$105,C968)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SUMIFS(RAB!$F$14:$F$105,RAB!$C$14:$C$105,C969)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SUMIFS(RAB!$F$14:$F$105,RAB!$C$14:$C$105,C970)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SUMIFS(RAB!$F$14:$F$105,RAB!$C$14:$C$105,C971)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SUMIFS(RAB!$F$14:$F$105,RAB!$C$14:$C$105,C972)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SUMIFS(RAB!$F$14:$F$105,RAB!$C$14:$C$105,C973)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SUMIFS(RAB!$F$14:$F$105,RAB!$C$14:$C$105,C974)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SUMIFS(RAB!$F$14:$F$105,RAB!$C$14:$C$105,C975)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SUMIFS(RAB!$F$14:$F$105,RAB!$C$14:$C$105,C976)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SUMIFS(RAB!$F$14:$F$105,RAB!$C$14:$C$105,C977)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SUMIFS(RAB!$F$14:$F$105,RAB!$C$14:$C$105,C978)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SUMIFS(RAB!$F$14:$F$105,RAB!$C$14:$C$105,C979)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SUMIFS(RAB!$F$14:$F$105,RAB!$C$14:$C$105,C980)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SUMIFS(RAB!$F$14:$F$105,RAB!$C$14:$C$105,C981)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SUMIFS(RAB!$F$14:$F$105,RAB!$C$14:$C$105,C982)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SUMIFS(RAB!$F$14:$F$105,RAB!$C$14:$C$105,C983)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SUMIFS(RAB!$F$14:$F$105,RAB!$C$14:$C$105,C984)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SUMIFS(RAB!$F$14:$F$105,RAB!$C$14:$C$105,C985)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SUMIFS(RAB!$F$14:$F$105,RAB!$C$14:$C$105,C986)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SUMIFS(RAB!$F$14:$F$105,RAB!$C$14:$C$105,C987)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SUMIFS(RAB!$F$14:$F$105,RAB!$C$14:$C$105,C988)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SUMIFS(RAB!$F$14:$F$105,RAB!$C$14:$C$105,C989)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SUMIFS(RAB!$F$14:$F$105,RAB!$C$14:$C$105,C990)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SUMIFS(RAB!$F$14:$F$105,RAB!$C$14:$C$105,C991)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SUMIFS(RAB!$F$14:$F$105,RAB!$C$14:$C$105,C992)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SUMIFS(RAB!$F$14:$F$105,RAB!$C$14:$C$105,C993)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SUMIFS(RAB!$F$14:$F$105,RAB!$C$14:$C$105,C994)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SUMIFS(RAB!$F$14:$F$105,RAB!$C$14:$C$105,C995)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SUMIFS(RAB!$F$14:$F$105,RAB!$C$14:$C$105,C996)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SUMIFS(RAB!$F$14:$F$105,RAB!$C$14:$C$105,C997)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SUMIFS(RAB!$F$14:$F$105,RAB!$C$14:$C$105,C998)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SUMIFS(RAB!$F$14:$F$105,RAB!$C$14:$C$105,C999)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SUMIFS(RAB!$F$14:$F$105,RAB!$C$14:$C$105,C1000)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SUMIFS(RAB!$F$14:$F$105,RAB!$C$14:$C$105,C1001)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SUMIFS(RAB!$F$14:$F$105,RAB!$C$14:$C$105,C1002)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SUMIFS(RAB!$F$14:$F$105,RAB!$C$14:$C$105,C1003)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SUMIFS(RAB!$F$14:$F$105,RAB!$C$14:$C$105,C1004)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SUMIFS(RAB!$F$14:$F$105,RAB!$C$14:$C$105,C1005)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SUMIFS(RAB!$F$14:$F$105,RAB!$C$14:$C$105,C1006)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SUMIFS(RAB!$F$14:$F$105,RAB!$C$14:$C$105,C1007)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SUMIFS(RAB!$F$14:$F$105,RAB!$C$14:$C$105,C1008)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SUMIFS(RAB!$F$14:$F$105,RAB!$C$14:$C$105,C1009)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SUMIFS(RAB!$F$14:$F$105,RAB!$C$14:$C$105,C1010)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SUMIFS(RAB!$F$14:$F$105,RAB!$C$14:$C$105,C1011)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SUMIFS(RAB!$F$14:$F$105,RAB!$C$14:$C$105,C1012)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SUMIFS(RAB!$F$14:$F$105,RAB!$C$14:$C$105,C1013)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SUMIFS(RAB!$F$14:$F$105,RAB!$C$14:$C$105,C1014)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SUMIFS(RAB!$F$14:$F$105,RAB!$C$14:$C$105,C1015)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SUMIFS(RAB!$F$14:$F$105,RAB!$C$14:$C$105,C1016)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SUMIFS(RAB!$F$14:$F$105,RAB!$C$14:$C$105,C1017)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SUMIFS(RAB!$F$14:$F$105,RAB!$C$14:$C$105,C1018)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SUMIFS(RAB!$F$14:$F$105,RAB!$C$14:$C$105,C1019)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SUMIFS(RAB!$F$14:$F$105,RAB!$C$14:$C$105,C1020)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SUMIFS(RAB!$F$14:$F$105,RAB!$C$14:$C$105,C1021)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SUMIFS(RAB!$F$14:$F$105,RAB!$C$14:$C$105,C1022)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SUMIFS(RAB!$F$14:$F$105,RAB!$C$14:$C$105,C1023)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SUMIFS(RAB!$F$14:$F$105,RAB!$C$14:$C$105,C1024)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SUMIFS(RAB!$F$14:$F$105,RAB!$C$14:$C$105,C1025)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SUMIFS(RAB!$F$14:$F$105,RAB!$C$14:$C$105,C1026)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SUMIFS(RAB!$F$14:$F$105,RAB!$C$14:$C$105,C1027)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SUMIFS(RAB!$F$14:$F$105,RAB!$C$14:$C$105,C1028)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SUMIFS(RAB!$F$14:$F$105,RAB!$C$14:$C$105,C1029)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SUMIFS(RAB!$F$14:$F$105,RAB!$C$14:$C$105,C1030)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SUMIFS(RAB!$F$14:$F$105,RAB!$C$14:$C$105,C1031)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SUMIFS(RAB!$F$14:$F$105,RAB!$C$14:$C$105,C1032)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SUMIFS(RAB!$F$14:$F$105,RAB!$C$14:$C$105,C1033)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SUMIFS(RAB!$F$14:$F$105,RAB!$C$14:$C$105,C1034)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SUMIFS(RAB!$F$14:$F$105,RAB!$C$14:$C$105,C1035)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SUMIFS(RAB!$F$14:$F$105,RAB!$C$14:$C$105,C1036)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SUMIFS(RAB!$F$14:$F$105,RAB!$C$14:$C$105,C1037)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SUMIFS(RAB!$F$14:$F$105,RAB!$C$14:$C$105,C1038)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SUMIFS(RAB!$F$14:$F$105,RAB!$C$14:$C$105,C1039)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SUMIFS(RAB!$F$14:$F$105,RAB!$C$14:$C$105,C1040)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SUMIFS(RAB!$F$14:$F$105,RAB!$C$14:$C$105,C1041)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SUMIFS(RAB!$F$14:$F$105,RAB!$C$14:$C$105,C1042)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SUMIFS(RAB!$F$14:$F$105,RAB!$C$14:$C$105,C1043)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SUMIFS(RAB!$F$14:$F$105,RAB!$C$14:$C$105,C1044)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SUMIFS(RAB!$F$14:$F$105,RAB!$C$14:$C$105,C1045)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SUMIFS(RAB!$F$14:$F$105,RAB!$C$14:$C$105,C1046)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SUMIFS(RAB!$F$14:$F$105,RAB!$C$14:$C$105,C1047)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SUMIFS(RAB!$F$14:$F$105,RAB!$C$14:$C$105,C1048)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SUMIFS(RAB!$F$14:$F$105,RAB!$C$14:$C$105,C1049)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SUMIFS(RAB!$F$14:$F$105,RAB!$C$14:$C$105,C1050)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SUMIFS(RAB!$F$14:$F$105,RAB!$C$14:$C$105,C1051)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SUMIFS(RAB!$F$14:$F$105,RAB!$C$14:$C$105,C1052)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SUMIFS(RAB!$F$14:$F$105,RAB!$C$14:$C$105,C1053)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SUMIFS(RAB!$F$14:$F$105,RAB!$C$14:$C$105,C1054)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SUMIFS(RAB!$F$14:$F$105,RAB!$C$14:$C$105,C1055)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SUMIFS(RAB!$F$14:$F$105,RAB!$C$14:$C$105,C1056)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SUMIFS(RAB!$F$14:$F$105,RAB!$C$14:$C$105,C1057)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SUMIFS(RAB!$F$14:$F$105,RAB!$C$14:$C$105,C1058)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SUMIFS(RAB!$F$14:$F$105,RAB!$C$14:$C$105,C1059)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SUMIFS(RAB!$F$14:$F$105,RAB!$C$14:$C$105,C1060)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SUMIFS(RAB!$F$14:$F$105,RAB!$C$14:$C$105,C1061)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SUMIFS(RAB!$F$14:$F$105,RAB!$C$14:$C$105,C1062)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SUMIFS(RAB!$F$14:$F$105,RAB!$C$14:$C$105,C1063)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SUMIFS(RAB!$F$14:$F$105,RAB!$C$14:$C$105,C1064)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SUMIFS(RAB!$F$14:$F$105,RAB!$C$14:$C$105,C1065)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SUMIFS(RAB!$F$14:$F$105,RAB!$C$14:$C$105,C1066)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SUMIFS(RAB!$F$14:$F$105,RAB!$C$14:$C$105,C1067)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SUMIFS(RAB!$F$14:$F$105,RAB!$C$14:$C$105,C1068)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SUMIFS(RAB!$F$14:$F$105,RAB!$C$14:$C$105,C1069)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SUMIFS(RAB!$F$14:$F$105,RAB!$C$14:$C$105,C1070)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SUMIFS(RAB!$F$14:$F$105,RAB!$C$14:$C$105,C1071)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SUMIFS(RAB!$F$14:$F$105,RAB!$C$14:$C$105,C1072)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SUMIFS(RAB!$F$14:$F$105,RAB!$C$14:$C$105,C1073)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SUMIFS(RAB!$F$14:$F$105,RAB!$C$14:$C$105,C1074)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SUMIFS(RAB!$F$14:$F$105,RAB!$C$14:$C$105,C1075)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SUMIFS(RAB!$F$14:$F$105,RAB!$C$14:$C$105,C1076)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SUMIFS(RAB!$F$14:$F$105,RAB!$C$14:$C$105,C1077)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SUMIFS(RAB!$F$14:$F$105,RAB!$C$14:$C$105,C1078)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SUMIFS(RAB!$F$14:$F$105,RAB!$C$14:$C$105,C1079)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SUMIFS(RAB!$F$14:$F$105,RAB!$C$14:$C$105,C1080)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SUMIFS(RAB!$F$14:$F$105,RAB!$C$14:$C$105,C1081)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SUMIFS(RAB!$F$14:$F$105,RAB!$C$14:$C$105,C1082)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SUMIFS(RAB!$F$14:$F$105,RAB!$C$14:$C$105,C1083)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SUMIFS(RAB!$F$14:$F$105,RAB!$C$14:$C$105,C1084)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SUMIFS(RAB!$F$14:$F$105,RAB!$C$14:$C$105,C1085)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SUMIFS(RAB!$F$14:$F$105,RAB!$C$14:$C$105,C1086)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SUMIFS(RAB!$F$14:$F$105,RAB!$C$14:$C$105,C1087)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SUMIFS(RAB!$F$14:$F$105,RAB!$C$14:$C$105,C1088)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SUMIFS(RAB!$F$14:$F$105,RAB!$C$14:$C$105,C1089)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SUMIFS(RAB!$F$14:$F$105,RAB!$C$14:$C$105,C1090)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SUMIFS(RAB!$F$14:$F$105,RAB!$C$14:$C$105,C1091)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SUMIFS(RAB!$F$14:$F$105,RAB!$C$14:$C$105,C1092)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SUMIFS(RAB!$F$14:$F$105,RAB!$C$14:$C$105,C1093)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SUMIFS(RAB!$F$14:$F$105,RAB!$C$14:$C$105,C1094)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SUMIFS(RAB!$F$14:$F$105,RAB!$C$14:$C$105,C1095)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SUMIFS(RAB!$F$14:$F$105,RAB!$C$14:$C$105,C1096)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SUMIFS(RAB!$F$14:$F$105,RAB!$C$14:$C$105,C1097)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SUMIFS(RAB!$F$14:$F$105,RAB!$C$14:$C$105,C1098)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SUMIFS(RAB!$F$14:$F$105,RAB!$C$14:$C$105,C1099)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SUMIFS(RAB!$F$14:$F$105,RAB!$C$14:$C$105,C1100)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SUMIFS(RAB!$F$14:$F$105,RAB!$C$14:$C$105,C1101)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SUMIFS(RAB!$F$14:$F$105,RAB!$C$14:$C$105,C1102)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SUMIFS(RAB!$F$14:$F$105,RAB!$C$14:$C$105,C1103)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SUMIFS(RAB!$F$14:$F$105,RAB!$C$14:$C$105,C1104)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SUMIFS(RAB!$F$14:$F$105,RAB!$C$14:$C$105,C1105)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SUMIFS(RAB!$F$14:$F$105,RAB!$C$14:$C$105,C1106)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SUMIFS(RAB!$F$14:$F$105,RAB!$C$14:$C$105,C1107)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SUMIFS(RAB!$F$14:$F$105,RAB!$C$14:$C$105,C1108)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SUMIFS(RAB!$F$14:$F$105,RAB!$C$14:$C$105,C1109)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SUMIFS(RAB!$F$14:$F$105,RAB!$C$14:$C$105,C1110)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SUMIFS(RAB!$F$14:$F$105,RAB!$C$14:$C$105,C1111)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SUMIFS(RAB!$F$14:$F$105,RAB!$C$14:$C$105,C1112)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SUMIFS(RAB!$F$14:$F$105,RAB!$C$14:$C$105,C1113)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SUMIFS(RAB!$F$14:$F$105,RAB!$C$14:$C$105,C1114)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SUMIFS(RAB!$F$14:$F$105,RAB!$C$14:$C$105,C1115)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SUMIFS(RAB!$F$14:$F$105,RAB!$C$14:$C$105,C1116)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SUMIFS(RAB!$F$14:$F$105,RAB!$C$14:$C$105,C1117)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SUMIFS(RAB!$F$14:$F$105,RAB!$C$14:$C$105,C1118)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SUMIFS(RAB!$F$14:$F$105,RAB!$C$14:$C$105,C1119)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SUMIFS(RAB!$F$14:$F$105,RAB!$C$14:$C$105,C1120)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SUMIFS(RAB!$F$14:$F$105,RAB!$C$14:$C$105,C1121)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SUMIFS(RAB!$F$14:$F$105,RAB!$C$14:$C$105,C1122)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SUMIFS(RAB!$F$14:$F$105,RAB!$C$14:$C$105,C1123)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SUMIFS(RAB!$F$14:$F$105,RAB!$C$14:$C$105,C1124)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SUMIFS(RAB!$F$14:$F$105,RAB!$C$14:$C$105,C1125)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SUMIFS(RAB!$F$14:$F$105,RAB!$C$14:$C$105,C1126)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SUMIFS(RAB!$F$14:$F$105,RAB!$C$14:$C$105,C1127)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SUMIFS(RAB!$F$14:$F$105,RAB!$C$14:$C$105,C1128)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SUMIFS(RAB!$F$14:$F$105,RAB!$C$14:$C$105,C1129)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SUMIFS(RAB!$F$14:$F$105,RAB!$C$14:$C$105,C1130)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SUMIFS(RAB!$F$14:$F$105,RAB!$C$14:$C$105,C1131)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SUMIFS(RAB!$F$14:$F$105,RAB!$C$14:$C$105,C1132)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SUMIFS(RAB!$F$14:$F$105,RAB!$C$14:$C$105,C1133)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SUMIFS(RAB!$F$14:$F$105,RAB!$C$14:$C$105,C1134)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SUMIFS(RAB!$F$14:$F$105,RAB!$C$14:$C$105,C1135)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SUMIFS(RAB!$F$14:$F$105,RAB!$C$14:$C$105,C1136)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SUMIFS(RAB!$F$14:$F$105,RAB!$C$14:$C$105,C1137)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SUMIFS(RAB!$F$14:$F$105,RAB!$C$14:$C$105,C1138)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SUMIFS(RAB!$F$14:$F$105,RAB!$C$14:$C$105,C1139)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SUMIFS(RAB!$F$14:$F$105,RAB!$C$14:$C$105,C1140)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SUMIFS(RAB!$F$14:$F$105,RAB!$C$14:$C$105,C1141)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SUMIFS(RAB!$F$14:$F$105,RAB!$C$14:$C$105,C1142)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SUMIFS(RAB!$F$14:$F$105,RAB!$C$14:$C$105,C1143)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SUMIFS(RAB!$F$14:$F$105,RAB!$C$14:$C$105,C1144)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SUMIFS(RAB!$F$14:$F$105,RAB!$C$14:$C$105,C1145)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SUMIFS(RAB!$F$14:$F$105,RAB!$C$14:$C$105,C1146)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SUMIFS(RAB!$F$14:$F$105,RAB!$C$14:$C$105,C1147)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SUMIFS(RAB!$F$14:$F$105,RAB!$C$14:$C$105,C1148)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SUMIFS(RAB!$F$14:$F$105,RAB!$C$14:$C$105,C1149)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SUMIFS(RAB!$F$14:$F$105,RAB!$C$14:$C$105,C1150)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SUMIFS(RAB!$F$14:$F$105,RAB!$C$14:$C$105,C1151)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SUMIFS(RAB!$F$14:$F$105,RAB!$C$14:$C$105,C1152)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SUMIFS(RAB!$F$14:$F$105,RAB!$C$14:$C$105,C1153)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SUMIFS(RAB!$F$14:$F$105,RAB!$C$14:$C$105,C1154)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SUMIFS(RAB!$F$14:$F$105,RAB!$C$14:$C$105,C1155)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SUMIFS(RAB!$F$14:$F$105,RAB!$C$14:$C$105,C1156)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SUMIFS(RAB!$F$14:$F$105,RAB!$C$14:$C$105,C1157)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SUMIFS(RAB!$F$14:$F$105,RAB!$C$14:$C$105,C1158)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SUMIFS(RAB!$F$14:$F$105,RAB!$C$14:$C$105,C1159)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SUMIFS(RAB!$F$14:$F$105,RAB!$C$14:$C$105,C1160)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SUMIFS(RAB!$F$14:$F$105,RAB!$C$14:$C$105,C1161)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SUMIFS(RAB!$F$14:$F$105,RAB!$C$14:$C$105,C1162)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SUMIFS(RAB!$F$14:$F$105,RAB!$C$14:$C$105,C1163)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SUMIFS(RAB!$F$14:$F$105,RAB!$C$14:$C$105,C1164)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SUMIFS(RAB!$F$14:$F$105,RAB!$C$14:$C$105,C1165)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SUMIFS(RAB!$F$14:$F$105,RAB!$C$14:$C$105,C1166)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SUMIFS(RAB!$F$14:$F$105,RAB!$C$14:$C$105,C1167)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SUMIFS(RAB!$F$14:$F$105,RAB!$C$14:$C$105,C1168)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SUMIFS(RAB!$F$14:$F$105,RAB!$C$14:$C$105,C1169)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SUMIFS(RAB!$F$14:$F$105,RAB!$C$14:$C$105,C1170)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SUMIFS(RAB!$F$14:$F$105,RAB!$C$14:$C$105,C1171)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SUMIFS(RAB!$F$14:$F$105,RAB!$C$14:$C$105,C1172)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SUMIFS(RAB!$F$14:$F$105,RAB!$C$14:$C$105,C1173)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SUMIFS(RAB!$F$14:$F$105,RAB!$C$14:$C$105,C1174)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SUMIFS(RAB!$F$14:$F$105,RAB!$C$14:$C$105,C1175)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SUMIFS(RAB!$F$14:$F$105,RAB!$C$14:$C$105,C1176)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SUMIFS(RAB!$F$14:$F$105,RAB!$C$14:$C$105,C1177)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SUMIFS(RAB!$F$14:$F$105,RAB!$C$14:$C$105,C1178)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SUMIFS(RAB!$F$14:$F$105,RAB!$C$14:$C$105,C1179)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SUMIFS(RAB!$F$14:$F$105,RAB!$C$14:$C$105,C1180)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SUMIFS(RAB!$F$14:$F$105,RAB!$C$14:$C$105,C1181)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SUMIFS(RAB!$F$14:$F$105,RAB!$C$14:$C$105,C1182)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SUMIFS(RAB!$F$14:$F$105,RAB!$C$14:$C$105,C1183)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SUMIFS(RAB!$F$14:$F$105,RAB!$C$14:$C$105,C1184)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SUMIFS(RAB!$F$14:$F$105,RAB!$C$14:$C$105,C1185)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SUMIFS(RAB!$F$14:$F$105,RAB!$C$14:$C$105,C1186)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SUMIFS(RAB!$F$14:$F$105,RAB!$C$14:$C$105,C1187)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SUMIFS(RAB!$F$14:$F$105,RAB!$C$14:$C$105,C1188)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SUMIFS(RAB!$F$14:$F$105,RAB!$C$14:$C$105,C1189)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SUMIFS(RAB!$F$14:$F$105,RAB!$C$14:$C$105,C1190)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SUMIFS(RAB!$F$14:$F$105,RAB!$C$14:$C$105,C1191)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SUMIFS(RAB!$F$14:$F$105,RAB!$C$14:$C$105,C1192)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SUMIFS(RAB!$F$14:$F$105,RAB!$C$14:$C$105,C1193)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SUMIFS(RAB!$F$14:$F$105,RAB!$C$14:$C$105,C1194)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SUMIFS(RAB!$F$14:$F$105,RAB!$C$14:$C$105,C1195)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SUMIFS(RAB!$F$14:$F$105,RAB!$C$14:$C$105,C1196)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SUMIFS(RAB!$F$14:$F$105,RAB!$C$14:$C$105,C1197)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SUMIFS(RAB!$F$14:$F$105,RAB!$C$14:$C$105,C1198)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SUMIFS(RAB!$F$14:$F$105,RAB!$C$14:$C$105,C1199)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SUMIFS(RAB!$F$14:$F$105,RAB!$C$14:$C$105,C1200)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SUMIFS(RAB!$F$14:$F$105,RAB!$C$14:$C$105,C1201)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SUMIFS(RAB!$F$14:$F$105,RAB!$C$14:$C$105,C1202)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SUMIFS(RAB!$F$14:$F$105,RAB!$C$14:$C$105,C1203)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SUMIFS(RAB!$F$14:$F$105,RAB!$C$14:$C$105,C1204)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SUMIFS(RAB!$F$14:$F$105,RAB!$C$14:$C$105,C1205)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SUMIFS(RAB!$F$14:$F$105,RAB!$C$14:$C$105,C1206)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SUMIFS(RAB!$F$14:$F$105,RAB!$C$14:$C$105,C1207)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SUMIFS(RAB!$F$14:$F$105,RAB!$C$14:$C$105,C1208)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SUMIFS(RAB!$F$14:$F$105,RAB!$C$14:$C$105,C1209)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SUMIFS(RAB!$F$14:$F$105,RAB!$C$14:$C$105,C1210)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SUMIFS(RAB!$F$14:$F$105,RAB!$C$14:$C$105,C1211)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SUMIFS(RAB!$F$14:$F$105,RAB!$C$14:$C$105,C1212)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SUMIFS(RAB!$F$14:$F$105,RAB!$C$14:$C$105,C1213)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SUMIFS(RAB!$F$14:$F$105,RAB!$C$14:$C$105,C1214)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SUMIFS(RAB!$F$14:$F$105,RAB!$C$14:$C$105,C1215)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SUMIFS(RAB!$F$14:$F$105,RAB!$C$14:$C$105,C1216)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SUMIFS(RAB!$F$14:$F$105,RAB!$C$14:$C$105,C1217)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SUMIFS(RAB!$F$14:$F$105,RAB!$C$14:$C$105,C1218)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SUMIFS(RAB!$F$14:$F$105,RAB!$C$14:$C$105,C1219)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SUMIFS(RAB!$F$14:$F$105,RAB!$C$14:$C$105,C1220)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SUMIFS(RAB!$F$14:$F$105,RAB!$C$14:$C$105,C1221)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SUMIFS(RAB!$F$14:$F$105,RAB!$C$14:$C$105,C1222)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SUMIFS(RAB!$F$14:$F$105,RAB!$C$14:$C$105,C1223)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SUMIFS(RAB!$F$14:$F$105,RAB!$C$14:$C$105,C1224)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SUMIFS(RAB!$F$14:$F$105,RAB!$C$14:$C$105,C1225)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SUMIFS(RAB!$F$14:$F$105,RAB!$C$14:$C$105,C1226)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SUMIFS(RAB!$F$14:$F$105,RAB!$C$14:$C$105,C1227)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SUMIFS(RAB!$F$14:$F$105,RAB!$C$14:$C$105,C1228)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SUMIFS(RAB!$F$14:$F$105,RAB!$C$14:$C$105,C1229)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SUMIFS(RAB!$F$14:$F$105,RAB!$C$14:$C$105,C1230)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SUMIFS(RAB!$F$14:$F$105,RAB!$C$14:$C$105,C1231)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SUMIFS(RAB!$F$14:$F$105,RAB!$C$14:$C$105,C1232)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SUMIFS(RAB!$F$14:$F$105,RAB!$C$14:$C$105,C1233)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SUMIFS(RAB!$F$14:$F$105,RAB!$C$14:$C$105,C1234)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SUMIFS(RAB!$F$14:$F$105,RAB!$C$14:$C$105,C1235)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SUMIFS(RAB!$F$14:$F$105,RAB!$C$14:$C$105,C1236)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SUMIFS(RAB!$F$14:$F$105,RAB!$C$14:$C$105,C1237)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SUMIFS(RAB!$F$14:$F$105,RAB!$C$14:$C$105,C1238)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SUMIFS(RAB!$F$14:$F$105,RAB!$C$14:$C$105,C1239)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SUMIFS(RAB!$F$14:$F$105,RAB!$C$14:$C$105,C1240)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SUMIFS(RAB!$F$14:$F$105,RAB!$C$14:$C$105,C1241)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SUMIFS(RAB!$F$14:$F$105,RAB!$C$14:$C$105,C1242)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SUMIFS(RAB!$F$14:$F$105,RAB!$C$14:$C$105,C1243)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SUMIFS(RAB!$F$14:$F$105,RAB!$C$14:$C$105,C1244)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SUMIFS(RAB!$F$14:$F$105,RAB!$C$14:$C$105,C1245)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SUMIFS(RAB!$F$14:$F$105,RAB!$C$14:$C$105,C1246)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SUMIFS(RAB!$F$14:$F$105,RAB!$C$14:$C$105,C1247)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SUMIFS(RAB!$F$14:$F$105,RAB!$C$14:$C$105,C1248)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SUMIFS(RAB!$F$14:$F$105,RAB!$C$14:$C$105,C1249)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SUMIFS(RAB!$F$14:$F$105,RAB!$C$14:$C$105,C1250)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SUMIFS(RAB!$F$14:$F$105,RAB!$C$14:$C$105,C1251)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SUMIFS(RAB!$F$14:$F$105,RAB!$C$14:$C$105,C1252)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SUMIFS(RAB!$F$14:$F$105,RAB!$C$14:$C$105,C1253)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SUMIFS(RAB!$F$14:$F$105,RAB!$C$14:$C$105,C1254)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SUMIFS(RAB!$F$14:$F$105,RAB!$C$14:$C$105,C1255)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SUMIFS(RAB!$F$14:$F$105,RAB!$C$14:$C$105,C1256)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SUMIFS(RAB!$F$14:$F$105,RAB!$C$14:$C$105,C1257)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SUMIFS(RAB!$F$14:$F$105,RAB!$C$14:$C$105,C1258)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SUMIFS(RAB!$F$14:$F$105,RAB!$C$14:$C$105,C1259)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SUMIFS(RAB!$F$14:$F$105,RAB!$C$14:$C$105,C1260)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SUMIFS(RAB!$F$14:$F$105,RAB!$C$14:$C$105,C1261)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SUMIFS(RAB!$F$14:$F$105,RAB!$C$14:$C$105,C1262)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SUMIFS(RAB!$F$14:$F$105,RAB!$C$14:$C$105,C1263)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SUMIFS(RAB!$F$14:$F$105,RAB!$C$14:$C$105,C1264)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SUMIFS(RAB!$F$14:$F$105,RAB!$C$14:$C$105,C1265)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SUMIFS(RAB!$F$14:$F$105,RAB!$C$14:$C$105,C1266)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SUMIFS(RAB!$F$14:$F$105,RAB!$C$14:$C$105,C1267)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SUMIFS(RAB!$F$14:$F$105,RAB!$C$14:$C$105,C1268)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SUMIFS(RAB!$F$14:$F$105,RAB!$C$14:$C$105,C1269)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SUMIFS(RAB!$F$14:$F$105,RAB!$C$14:$C$105,C1270)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SUMIFS(RAB!$F$14:$F$105,RAB!$C$14:$C$105,C1271)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SUMIFS(RAB!$F$14:$F$105,RAB!$C$14:$C$105,C1272)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SUMIFS(RAB!$F$14:$F$105,RAB!$C$14:$C$105,C1273)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SUMIFS(RAB!$F$14:$F$105,RAB!$C$14:$C$105,C1274)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SUMIFS(RAB!$F$14:$F$105,RAB!$C$14:$C$105,C1275)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SUMIFS(RAB!$F$14:$F$105,RAB!$C$14:$C$105,C1276)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SUMIFS(RAB!$F$14:$F$105,RAB!$C$14:$C$105,C1277)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SUMIFS(RAB!$F$14:$F$105,RAB!$C$14:$C$105,C1278)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SUMIFS(RAB!$F$14:$F$105,RAB!$C$14:$C$105,C1279)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SUMIFS(RAB!$F$14:$F$105,RAB!$C$14:$C$105,C1280)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SUMIFS(RAB!$F$14:$F$105,RAB!$C$14:$C$105,C1281)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SUMIFS(RAB!$F$14:$F$105,RAB!$C$14:$C$105,C1282)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SUMIFS(RAB!$F$14:$F$105,RAB!$C$14:$C$105,C1283)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SUMIFS(RAB!$F$14:$F$105,RAB!$C$14:$C$105,C1284)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SUMIFS(RAB!$F$14:$F$105,RAB!$C$14:$C$105,C1285)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SUMIFS(RAB!$F$14:$F$105,RAB!$C$14:$C$105,C1286)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SUMIFS(RAB!$F$14:$F$105,RAB!$C$14:$C$105,C1287)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SUMIFS(RAB!$F$14:$F$105,RAB!$C$14:$C$105,C1288)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SUMIFS(RAB!$F$14:$F$105,RAB!$C$14:$C$105,C1289)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SUMIFS(RAB!$F$14:$F$105,RAB!$C$14:$C$105,C1290)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SUMIFS(RAB!$F$14:$F$105,RAB!$C$14:$C$105,C1291)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SUMIFS(RAB!$F$14:$F$105,RAB!$C$14:$C$105,C1292)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SUMIFS(RAB!$F$14:$F$105,RAB!$C$14:$C$105,C1293)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SUMIFS(RAB!$F$14:$F$105,RAB!$C$14:$C$105,C1294)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SUMIFS(RAB!$F$14:$F$105,RAB!$C$14:$C$105,C1295)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SUMIFS(RAB!$F$14:$F$105,RAB!$C$14:$C$105,C1296)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SUMIFS(RAB!$F$14:$F$105,RAB!$C$14:$C$105,C1297)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SUMIFS(RAB!$F$14:$F$105,RAB!$C$14:$C$105,C1298)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SUMIFS(RAB!$F$14:$F$105,RAB!$C$14:$C$105,C1299)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SUMIFS(RAB!$F$14:$F$105,RAB!$C$14:$C$105,C1300)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SUMIFS(RAB!$F$14:$F$105,RAB!$C$14:$C$105,C1301)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SUMIFS(RAB!$F$14:$F$105,RAB!$C$14:$C$105,C1302)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SUMIFS(RAB!$F$14:$F$105,RAB!$C$14:$C$105,C1303)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SUMIFS(RAB!$F$14:$F$105,RAB!$C$14:$C$105,C1304)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SUMIFS(RAB!$F$14:$F$105,RAB!$C$14:$C$105,C1305)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SUMIFS(RAB!$F$14:$F$105,RAB!$C$14:$C$105,C1306)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SUMIFS(RAB!$F$14:$F$105,RAB!$C$14:$C$105,C1307)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SUMIFS(RAB!$F$14:$F$105,RAB!$C$14:$C$105,C1308)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SUMIFS(RAB!$F$14:$F$105,RAB!$C$14:$C$105,C1309)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SUMIFS(RAB!$F$14:$F$105,RAB!$C$14:$C$105,C1310)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SUMIFS(RAB!$F$14:$F$105,RAB!$C$14:$C$105,C1311)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SUMIFS(RAB!$F$14:$F$105,RAB!$C$14:$C$105,C1312)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SUMIFS(RAB!$F$14:$F$105,RAB!$C$14:$C$105,C1313)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SUMIFS(RAB!$F$14:$F$105,RAB!$C$14:$C$105,C1314)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SUMIFS(RAB!$F$14:$F$105,RAB!$C$14:$C$105,C1315)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SUMIFS(RAB!$F$14:$F$105,RAB!$C$14:$C$105,C1316)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SUMIFS(RAB!$F$14:$F$105,RAB!$C$14:$C$105,C1317)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SUMIFS(RAB!$F$14:$F$105,RAB!$C$14:$C$105,C1318)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SUMIFS(RAB!$F$14:$F$105,RAB!$C$14:$C$105,C1319)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SUMIFS(RAB!$F$14:$F$105,RAB!$C$14:$C$105,C1320)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MARDIYAH HAYATI (CV. NAJMINA BEAUTY INDONESIA)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SIMPANG UTARA 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SUMIFS(RAB!$F$14:$F$105,RAB!$C$14:$C$105,'REKAP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SUMIFS(RAB!$F$14:$F$105,RAB!$C$14:$C$105,'REKAP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SUMIFS(RAB!$F$14:$F$105,RAB!$C$14:$C$105,'REKAP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SUMIFS(RAB!$F$14:$F$105,RAB!$C$14:$C$105,'REKAP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SUMIFS(RAB!$F$14:$F$105,RAB!$C$14:$C$105,'REKAP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SUMIFS(RAB!$F$14:$F$105,RAB!$C$14:$C$105,'REKAP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SUMIFS(RAB!$F$14:$F$105,RAB!$C$14:$C$105,'REKAP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SUMIFS(RAB!$F$14:$F$105,RAB!$C$14:$C$105,'REKAP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SUMIFS(RAB!$F$14:$F$105,RAB!$C$14:$C$105,'REKAP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SUMIFS(RAB!$F$14:$F$105,RAB!$C$14:$C$105,'REKAP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SUMIFS(RAB!$F$14:$F$105,RAB!$C$14:$C$105,'REKAP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SUMIFS(RAB!$F$14:$F$105,RAB!$C$14:$C$105,'REKAP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SUMIFS(RAB!$F$14:$F$105,RAB!$C$14:$C$105,'REKAP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SUMIFS(RAB!$F$14:$F$105,RAB!$C$14:$C$105,'REKAP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SUMIFS(RAB!$F$14:$F$105,RAB!$C$14:$C$105,'REKAP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SUMIFS(RAB!$F$14:$F$105,RAB!$C$14:$C$105,'REKAP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SUMIFS(RAB!$F$14:$F$105,RAB!$C$14:$C$105,'REKAP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SUMIFS(RAB!$F$14:$F$105,RAB!$C$14:$C$105,'REKAP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SUMIFS(RAB!$F$14:$F$105,RAB!$C$14:$C$105,'REKAP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SUMIFS(RAB!$F$14:$F$105,RAB!$C$14:$C$105,'REKAP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3" sqref="F23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MARDIYAH HAYATI (CV. NAJMINA BEAUTY INDONESIA)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SIMPANG UTARA 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60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3270000</v>
      </c>
      <c r="I22" s="42">
        <f t="shared" ca="1" si="2"/>
        <v>0</v>
      </c>
      <c r="J22" s="42">
        <f t="shared" ca="1" si="3"/>
        <v>0</v>
      </c>
      <c r="K22" s="43">
        <f t="shared" ca="1" si="0"/>
        <v>3270000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45</v>
      </c>
      <c r="G23" s="41">
        <f ca="1">IF(ISERROR(OFFSET('HARGA SATUAN'!$I$6,MATCH(C23,'HARGA SATUAN'!$C$7:$C$1495,0),0)),"",OFFSET('HARGA SATUAN'!$I$6,MATCH(C23,'HARGA SATUAN'!$C$7:$C$1495,0),0))</f>
        <v>13500</v>
      </c>
      <c r="H23" s="42">
        <f t="shared" ca="1" si="1"/>
        <v>607500</v>
      </c>
      <c r="I23" s="42">
        <f t="shared" ca="1" si="2"/>
        <v>0</v>
      </c>
      <c r="J23" s="42">
        <f t="shared" ca="1" si="3"/>
        <v>0</v>
      </c>
      <c r="K23" s="43">
        <f t="shared" ca="1" si="0"/>
        <v>607500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56477250</v>
      </c>
      <c r="I168" s="55">
        <f ca="1">SUM(I14:I167)</f>
        <v>0</v>
      </c>
      <c r="J168" s="55">
        <f ca="1">SUM(J14:J167)</f>
        <v>0</v>
      </c>
      <c r="K168" s="55">
        <f ca="1">SUM(K14:K167)</f>
        <v>56477250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5647725</v>
      </c>
      <c r="I169" s="60">
        <f ca="1">I168*0.1</f>
        <v>0</v>
      </c>
      <c r="J169" s="60">
        <f ca="1">J168*0.1</f>
        <v>0</v>
      </c>
      <c r="K169" s="60">
        <f ca="1">K168*0.1</f>
        <v>5647725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62124975</v>
      </c>
      <c r="I170" s="78">
        <f ca="1">SUM(I168:I169)</f>
        <v>0</v>
      </c>
      <c r="J170" s="61">
        <f ca="1">SUM(J168:J169)</f>
        <v>0</v>
      </c>
      <c r="K170" s="61">
        <f ca="1">SUM(K168:K169)</f>
        <v>62124975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SUMIFS(RAB!$F$14:$F$105,RAB!$C$14:$C$105,C224)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SUMIFS(RAB!$F$14:$F$105,RAB!$C$14:$C$105,C225)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SUMIFS(RAB!$F$14:$F$105,RAB!$C$14:$C$105,C226)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SUMIFS(RAB!$F$14:$F$105,RAB!$C$14:$C$105,C227)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SUMIFS(RAB!$F$14:$F$105,RAB!$C$14:$C$105,C228)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SUMIFS(RAB!$F$14:$F$105,RAB!$C$14:$C$105,C229)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SUMIFS(RAB!$F$14:$F$105,RAB!$C$14:$C$105,C230)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SUMIFS(RAB!$F$14:$F$105,RAB!$C$14:$C$105,C231)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SUMIFS(RAB!$F$14:$F$105,RAB!$C$14:$C$105,C232)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SUMIFS(RAB!$F$14:$F$105,RAB!$C$14:$C$105,C233)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SUMIFS(RAB!$F$14:$F$105,RAB!$C$14:$C$105,C234)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SUMIFS(RAB!$F$14:$F$105,RAB!$C$14:$C$105,C235)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SUMIFS(RAB!$F$14:$F$105,RAB!$C$14:$C$105,C236)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SUMIFS(RAB!$F$14:$F$105,RAB!$C$14:$C$105,C237)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SUMIFS(RAB!$F$14:$F$105,RAB!$C$14:$C$105,C238)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SUMIFS(RAB!$F$14:$F$105,RAB!$C$14:$C$105,C239)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SUMIFS(RAB!$F$14:$F$105,RAB!$C$14:$C$105,C240)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SUMIFS(RAB!$F$14:$F$105,RAB!$C$14:$C$105,C241)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SUMIFS(RAB!$F$14:$F$105,RAB!$C$14:$C$105,C242)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SUMIFS(RAB!$F$14:$F$105,RAB!$C$14:$C$105,C243)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SUMIFS(RAB!$F$14:$F$105,RAB!$C$14:$C$105,C244)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SUMIFS(RAB!$F$14:$F$105,RAB!$C$14:$C$105,C245)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SUMIFS(RAB!$F$14:$F$105,RAB!$C$14:$C$105,C246)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SUMIFS(RAB!$F$14:$F$105,RAB!$C$14:$C$105,C247)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SUMIFS(RAB!$F$14:$F$105,RAB!$C$14:$C$105,C248)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SUMIFS(RAB!$F$14:$F$105,RAB!$C$14:$C$105,C249)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SUMIFS(RAB!$F$14:$F$105,RAB!$C$14:$C$105,C250)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SUMIFS(RAB!$F$14:$F$105,RAB!$C$14:$C$105,C251)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SUMIFS(RAB!$F$14:$F$105,RAB!$C$14:$C$105,C252)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SUMIFS(RAB!$F$14:$F$105,RAB!$C$14:$C$105,C253)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SUMIFS(RAB!$F$14:$F$105,RAB!$C$14:$C$105,C254)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SUMIFS(RAB!$F$14:$F$105,RAB!$C$14:$C$105,C255)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SUMIFS(RAB!$F$14:$F$105,RAB!$C$14:$C$105,C256)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SUMIFS(RAB!$F$14:$F$105,RAB!$C$14:$C$105,C257)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SUMIFS(RAB!$F$14:$F$105,RAB!$C$14:$C$105,C258)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SUMIFS(RAB!$F$14:$F$105,RAB!$C$14:$C$105,C259)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SUMIFS(RAB!$F$14:$F$105,RAB!$C$14:$C$105,C260)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SUMIFS(RAB!$F$14:$F$105,RAB!$C$14:$C$105,C261)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SUMIFS(RAB!$F$14:$F$105,RAB!$C$14:$C$105,C262)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SUMIFS(RAB!$F$14:$F$105,RAB!$C$14:$C$105,C263)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SUMIFS(RAB!$F$14:$F$105,RAB!$C$14:$C$105,C264)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SUMIFS(RAB!$F$14:$F$105,RAB!$C$14:$C$105,C265)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SUMIFS(RAB!$F$14:$F$105,RAB!$C$14:$C$105,C266)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SUMIFS(RAB!$F$14:$F$105,RAB!$C$14:$C$105,C267)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SUMIFS(RAB!$F$14:$F$105,RAB!$C$14:$C$105,C268)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SUMIFS(RAB!$F$14:$F$105,RAB!$C$14:$C$105,C269)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SUMIFS(RAB!$F$14:$F$105,RAB!$C$14:$C$105,C270)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SUMIFS(RAB!$F$14:$F$105,RAB!$C$14:$C$105,C271)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SUMIFS(RAB!$F$14:$F$105,RAB!$C$14:$C$105,C272)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SUMIFS(RAB!$F$14:$F$105,RAB!$C$14:$C$105,C273)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SUMIFS(RAB!$F$14:$F$105,RAB!$C$14:$C$105,C274)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SUMIFS(RAB!$F$14:$F$105,RAB!$C$14:$C$105,C275)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SUMIFS(RAB!$F$14:$F$105,RAB!$C$14:$C$105,C276)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SUMIFS(RAB!$F$14:$F$105,RAB!$C$14:$C$105,C277)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SUMIFS(RAB!$F$14:$F$105,RAB!$C$14:$C$105,C278)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SUMIFS(RAB!$F$14:$F$105,RAB!$C$14:$C$105,C279)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SUMIFS(RAB!$F$14:$F$105,RAB!$C$14:$C$105,C280)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SUMIFS(RAB!$F$14:$F$105,RAB!$C$14:$C$105,C281)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SUMIFS(RAB!$F$14:$F$105,RAB!$C$14:$C$105,C282)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SUMIFS(RAB!$F$14:$F$105,RAB!$C$14:$C$105,C283)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SUMIFS(RAB!$F$14:$F$105,RAB!$C$14:$C$105,C284)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SUMIFS(RAB!$F$14:$F$105,RAB!$C$14:$C$105,C285)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SUMIFS(RAB!$F$14:$F$105,RAB!$C$14:$C$105,C286)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SUMIFS(RAB!$F$14:$F$105,RAB!$C$14:$C$105,C287)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SUMIFS(RAB!$F$14:$F$105,RAB!$C$14:$C$105,C288)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SUMIFS(RAB!$F$14:$F$105,RAB!$C$14:$C$105,C289)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SUMIFS(RAB!$F$14:$F$105,RAB!$C$14:$C$105,C290)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SUMIFS(RAB!$F$14:$F$105,RAB!$C$14:$C$105,C291)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SUMIFS(RAB!$F$14:$F$105,RAB!$C$14:$C$105,C292)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SUMIFS(RAB!$F$14:$F$105,RAB!$C$14:$C$105,C293)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SUMIFS(RAB!$F$14:$F$105,RAB!$C$14:$C$105,C294)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SUMIFS(RAB!$F$14:$F$105,RAB!$C$14:$C$105,C295)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SUMIFS(RAB!$F$14:$F$105,RAB!$C$14:$C$105,C296)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SUMIFS(RAB!$F$14:$F$105,RAB!$C$14:$C$105,C297)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SUMIFS(RAB!$F$14:$F$105,RAB!$C$14:$C$105,C298)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SUMIFS(RAB!$F$14:$F$105,RAB!$C$14:$C$105,C299)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SUMIFS(RAB!$F$14:$F$105,RAB!$C$14:$C$105,C300)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SUMIFS(RAB!$F$14:$F$105,RAB!$C$14:$C$105,C301)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SUMIFS(RAB!$F$14:$F$105,RAB!$C$14:$C$105,C302)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SUMIFS(RAB!$F$14:$F$105,RAB!$C$14:$C$105,C303)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SUMIFS(RAB!$F$14:$F$105,RAB!$C$14:$C$105,C304)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SUMIFS(RAB!$F$14:$F$105,RAB!$C$14:$C$105,C305)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SUMIFS(RAB!$F$14:$F$105,RAB!$C$14:$C$105,C306)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SUMIFS(RAB!$F$14:$F$105,RAB!$C$14:$C$105,C307)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SUMIFS(RAB!$F$14:$F$105,RAB!$C$14:$C$105,C308)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SUMIFS(RAB!$F$14:$F$105,RAB!$C$14:$C$105,C309)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SUMIFS(RAB!$F$14:$F$105,RAB!$C$14:$C$105,C310)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SUMIFS(RAB!$F$14:$F$105,RAB!$C$14:$C$105,C311)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SUMIFS(RAB!$F$14:$F$105,RAB!$C$14:$C$105,C312)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SUMIFS(RAB!$F$14:$F$105,RAB!$C$14:$C$105,C313)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SUMIFS(RAB!$F$14:$F$105,RAB!$C$14:$C$105,C314)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SUMIFS(RAB!$F$14:$F$105,RAB!$C$14:$C$105,C315)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SUMIFS(RAB!$F$14:$F$105,RAB!$C$14:$C$105,C316)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SUMIFS(RAB!$F$14:$F$105,RAB!$C$14:$C$105,C317)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SUMIFS(RAB!$F$14:$F$105,RAB!$C$14:$C$105,C318)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SUMIFS(RAB!$F$14:$F$105,RAB!$C$14:$C$105,C319)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SUMIFS(RAB!$F$14:$F$105,RAB!$C$14:$C$105,C320)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SUMIFS(RAB!$F$14:$F$105,RAB!$C$14:$C$105,C321)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SUMIFS(RAB!$F$14:$F$105,RAB!$C$14:$C$105,C322)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SUMIFS(RAB!$F$14:$F$105,RAB!$C$14:$C$105,C323)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SUMIFS(RAB!$F$14:$F$105,RAB!$C$14:$C$105,C324)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SUMIFS(RAB!$F$14:$F$105,RAB!$C$14:$C$105,C325)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SUMIFS(RAB!$F$14:$F$105,RAB!$C$14:$C$105,C326)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SUMIFS(RAB!$F$14:$F$105,RAB!$C$14:$C$105,C327)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SUMIFS(RAB!$F$14:$F$105,RAB!$C$14:$C$105,C328)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SUMIFS(RAB!$F$14:$F$105,RAB!$C$14:$C$105,C329)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SUMIFS(RAB!$F$14:$F$105,RAB!$C$14:$C$105,C330)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SUMIFS(RAB!$F$14:$F$105,RAB!$C$14:$C$105,C331)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SUMIFS(RAB!$F$14:$F$105,RAB!$C$14:$C$105,C332)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SUMIFS(RAB!$F$14:$F$105,RAB!$C$14:$C$105,C333)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SUMIFS(RAB!$F$14:$F$105,RAB!$C$14:$C$105,C334)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SUMIFS(RAB!$F$14:$F$105,RAB!$C$14:$C$105,C335)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SUMIFS(RAB!$F$14:$F$105,RAB!$C$14:$C$105,C336)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SUMIFS(RAB!$F$14:$F$105,RAB!$C$14:$C$105,C337)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SUMIFS(RAB!$F$14:$F$105,RAB!$C$14:$C$105,C338)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SUMIFS(RAB!$F$14:$F$105,RAB!$C$14:$C$105,C339)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SUMIFS(RAB!$F$14:$F$105,RAB!$C$14:$C$105,C340)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SUMIFS(RAB!$F$14:$F$105,RAB!$C$14:$C$105,C341)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SUMIFS(RAB!$F$14:$F$105,RAB!$C$14:$C$105,C342)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SUMIFS(RAB!$F$14:$F$105,RAB!$C$14:$C$105,C343)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SUMIFS(RAB!$F$14:$F$105,RAB!$C$14:$C$105,C344)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SUMIFS(RAB!$F$14:$F$105,RAB!$C$14:$C$105,C345)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SUMIFS(RAB!$F$14:$F$105,RAB!$C$14:$C$105,C346)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SUMIFS(RAB!$F$14:$F$105,RAB!$C$14:$C$105,C347)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SUMIFS(RAB!$F$14:$F$105,RAB!$C$14:$C$105,C348)</f>
        <v>60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SUMIFS(RAB!$F$14:$F$105,RAB!$C$14:$C$105,C349)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SUMIFS(RAB!$F$14:$F$105,RAB!$C$14:$C$105,C350)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SUMIFS(RAB!$F$14:$F$105,RAB!$C$14:$C$105,C351)</f>
        <v>45</v>
      </c>
      <c r="E351" s="24">
        <f t="shared" ca="1" si="22"/>
        <v>1</v>
      </c>
      <c r="F351" s="24">
        <f ca="1">IF(D351=0,0,SUM($E$223:E351))</f>
        <v>8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SUMIFS(RAB!$F$14:$F$105,RAB!$C$14:$C$105,C352)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SUMIFS(RAB!$F$14:$F$105,RAB!$C$14:$C$105,C353)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SUMIFS(RAB!$F$14:$F$105,RAB!$C$14:$C$105,C354)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SUMIFS(RAB!$F$14:$F$105,RAB!$C$14:$C$105,C355)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SUMIFS(RAB!$F$14:$F$105,RAB!$C$14:$C$105,C356)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SUMIFS(RAB!$F$14:$F$105,RAB!$C$14:$C$105,C357)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SUMIFS(RAB!$F$14:$F$105,RAB!$C$14:$C$105,C358)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SUMIFS(RAB!$F$14:$F$105,RAB!$C$14:$C$105,C359)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SUMIFS(RAB!$F$14:$F$105,RAB!$C$14:$C$105,C360)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SUMIFS(RAB!$F$14:$F$105,RAB!$C$14:$C$105,C361)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SUMIFS(RAB!$F$14:$F$105,RAB!$C$14:$C$105,C362)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SUMIFS(RAB!$F$14:$F$105,RAB!$C$14:$C$105,C363)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SUMIFS(RAB!$F$14:$F$105,RAB!$C$14:$C$105,C364)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SUMIFS(RAB!$F$14:$F$105,RAB!$C$14:$C$105,C365)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SUMIFS(RAB!$F$14:$F$105,RAB!$C$14:$C$105,C366)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SUMIFS(RAB!$F$14:$F$105,RAB!$C$14:$C$105,C367)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SUMIFS(RAB!$F$14:$F$105,RAB!$C$14:$C$105,C368)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SUMIFS(RAB!$F$14:$F$105,RAB!$C$14:$C$105,C369)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SUMIFS(RAB!$F$14:$F$105,RAB!$C$14:$C$105,C370)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SUMIFS(RAB!$F$14:$F$105,RAB!$C$14:$C$105,C371)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SUMIFS(RAB!$F$14:$F$105,RAB!$C$14:$C$105,C372)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SUMIFS(RAB!$F$14:$F$105,RAB!$C$14:$C$105,C373)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02" activePane="bottomRight" state="frozen"/>
      <selection activeCell="D209" sqref="D209"/>
      <selection pane="topRight" activeCell="D209" sqref="D209"/>
      <selection pane="bottomLeft" activeCell="D209" sqref="D209"/>
      <selection pane="bottomRight" activeCell="C206" sqref="C20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1599</v>
      </c>
      <c r="G4" s="108" t="s">
        <v>1598</v>
      </c>
      <c r="H4" s="55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8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9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9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4" t="s">
        <v>1453</v>
      </c>
      <c r="C2" s="594"/>
      <c r="D2" s="594"/>
      <c r="E2" s="59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9" t="s">
        <v>1528</v>
      </c>
      <c r="C4" s="600"/>
      <c r="D4" s="600"/>
      <c r="E4" s="601"/>
      <c r="F4" s="373"/>
      <c r="G4" s="373"/>
      <c r="H4" s="374"/>
      <c r="I4" s="563" t="s">
        <v>1529</v>
      </c>
      <c r="J4" s="564"/>
      <c r="K4" s="564"/>
      <c r="L4" s="565"/>
    </row>
    <row r="5" spans="1:12" ht="34.5" customHeight="1">
      <c r="A5" s="193"/>
      <c r="B5" s="376" t="s">
        <v>1378</v>
      </c>
      <c r="C5" s="224" t="s">
        <v>9</v>
      </c>
      <c r="D5" s="595" t="str">
        <f>DATA!D14</f>
        <v>MARDIYAH HAYATI (CV. NAJMINA BEAUTY INDONESIA)</v>
      </c>
      <c r="E5" s="596"/>
      <c r="F5" s="197"/>
      <c r="G5" s="197"/>
      <c r="I5" s="377" t="s">
        <v>1378</v>
      </c>
      <c r="J5" s="224" t="s">
        <v>9</v>
      </c>
      <c r="K5" s="566" t="str">
        <f>D5</f>
        <v>MARDIYAH HAYATI (CV. NAJMINA BEAUTY INDONESIA)</v>
      </c>
      <c r="L5" s="567"/>
    </row>
    <row r="6" spans="1:12" ht="31.5" customHeight="1">
      <c r="A6" s="193"/>
      <c r="B6" s="376" t="s">
        <v>1525</v>
      </c>
      <c r="C6" s="224" t="s">
        <v>9</v>
      </c>
      <c r="D6" s="604">
        <f>DATA!D17*1000</f>
        <v>0</v>
      </c>
      <c r="E6" s="605"/>
      <c r="F6" s="197"/>
      <c r="G6" s="197"/>
      <c r="I6" s="377" t="s">
        <v>1526</v>
      </c>
      <c r="J6" s="224" t="s">
        <v>9</v>
      </c>
      <c r="K6" s="568">
        <f>DATA!D20*1000</f>
        <v>23000</v>
      </c>
      <c r="L6" s="569"/>
    </row>
    <row r="7" spans="1:12" ht="30.75" customHeight="1">
      <c r="A7" s="193"/>
      <c r="B7" s="376" t="s">
        <v>1440</v>
      </c>
      <c r="C7" s="224" t="s">
        <v>9</v>
      </c>
      <c r="D7" s="602">
        <f>DATA!D18</f>
        <v>1</v>
      </c>
      <c r="E7" s="603"/>
      <c r="F7" s="375" t="s">
        <v>1452</v>
      </c>
      <c r="I7" s="377" t="s">
        <v>1440</v>
      </c>
      <c r="J7" s="224" t="s">
        <v>9</v>
      </c>
      <c r="K7" s="570">
        <f>DATA!D21</f>
        <v>3</v>
      </c>
      <c r="L7" s="571"/>
    </row>
    <row r="8" spans="1:12" ht="51" customHeight="1">
      <c r="A8" s="193"/>
      <c r="B8" s="376" t="s">
        <v>1441</v>
      </c>
      <c r="C8" s="224" t="s">
        <v>9</v>
      </c>
      <c r="D8" s="602">
        <f>DATA!D19</f>
        <v>220</v>
      </c>
      <c r="E8" s="603"/>
      <c r="F8" s="375" t="s">
        <v>1452</v>
      </c>
      <c r="G8" s="370">
        <v>220</v>
      </c>
      <c r="I8" s="377" t="s">
        <v>1441</v>
      </c>
      <c r="J8" s="224" t="s">
        <v>9</v>
      </c>
      <c r="K8" s="570">
        <f>DATA!D22</f>
        <v>380</v>
      </c>
      <c r="L8" s="571"/>
    </row>
    <row r="9" spans="1:12" ht="30" customHeight="1" thickBot="1">
      <c r="A9" s="193"/>
      <c r="B9" s="382" t="s">
        <v>1537</v>
      </c>
      <c r="C9" s="372" t="s">
        <v>9</v>
      </c>
      <c r="D9" s="597">
        <f>IF(D7=1,D6/(380/3^0.5),(D6/(380*3^0.5)))</f>
        <v>0</v>
      </c>
      <c r="E9" s="598"/>
      <c r="F9" s="196"/>
      <c r="G9" s="371">
        <v>380</v>
      </c>
      <c r="I9" s="383" t="s">
        <v>1537</v>
      </c>
      <c r="J9" s="372" t="s">
        <v>9</v>
      </c>
      <c r="K9" s="574">
        <f>IF(K7=1,K6/(380/3^0.5),(K6/(380*3^0.5)))</f>
        <v>34.94488471410893</v>
      </c>
      <c r="L9" s="575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6"/>
      <c r="E12" s="607"/>
      <c r="F12" s="197"/>
      <c r="G12" s="197"/>
      <c r="I12" s="399" t="s">
        <v>1530</v>
      </c>
      <c r="J12" s="400" t="s">
        <v>9</v>
      </c>
      <c r="K12" s="606" t="s">
        <v>1637</v>
      </c>
      <c r="L12" s="607"/>
    </row>
    <row r="13" spans="1:12" ht="31.5" customHeight="1">
      <c r="A13" s="193"/>
      <c r="B13" s="407" t="s">
        <v>1379</v>
      </c>
      <c r="C13" s="387" t="s">
        <v>9</v>
      </c>
      <c r="D13" s="572"/>
      <c r="E13" s="573"/>
      <c r="F13" s="197"/>
      <c r="G13" s="197"/>
      <c r="I13" s="401" t="s">
        <v>1379</v>
      </c>
      <c r="J13" s="387" t="s">
        <v>9</v>
      </c>
      <c r="K13" s="572" t="s">
        <v>1643</v>
      </c>
      <c r="L13" s="573"/>
    </row>
    <row r="14" spans="1:12" ht="30.75" customHeight="1">
      <c r="A14" s="193"/>
      <c r="B14" s="407" t="s">
        <v>1531</v>
      </c>
      <c r="C14" s="387" t="s">
        <v>9</v>
      </c>
      <c r="D14" s="576"/>
      <c r="E14" s="577"/>
      <c r="F14" s="375" t="s">
        <v>1452</v>
      </c>
      <c r="G14" s="379">
        <v>50</v>
      </c>
      <c r="I14" s="401" t="s">
        <v>1531</v>
      </c>
      <c r="J14" s="387" t="s">
        <v>9</v>
      </c>
      <c r="K14" s="578">
        <v>50</v>
      </c>
      <c r="L14" s="579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0">
        <v>0</v>
      </c>
      <c r="E16" s="581"/>
      <c r="F16" s="375"/>
      <c r="G16" s="379">
        <v>160</v>
      </c>
      <c r="I16" s="401" t="s">
        <v>1533</v>
      </c>
      <c r="J16" s="387" t="s">
        <v>9</v>
      </c>
      <c r="K16" s="584">
        <f>K9</f>
        <v>34.94488471410893</v>
      </c>
      <c r="L16" s="585"/>
    </row>
    <row r="17" spans="1:12" ht="34.5" customHeight="1">
      <c r="A17" s="193"/>
      <c r="B17" s="407" t="s">
        <v>1534</v>
      </c>
      <c r="C17" s="387" t="s">
        <v>9</v>
      </c>
      <c r="D17" s="582">
        <f>IF(D15=1,D14/(20/3^0.5),(D14/(20*3^0.5)))</f>
        <v>0</v>
      </c>
      <c r="E17" s="583"/>
      <c r="F17" s="375" t="s">
        <v>1452</v>
      </c>
      <c r="G17" s="380">
        <v>200</v>
      </c>
      <c r="I17" s="401" t="s">
        <v>1534</v>
      </c>
      <c r="J17" s="387" t="s">
        <v>9</v>
      </c>
      <c r="K17" s="588">
        <f>IF(K15=1,K14/(20/3^0.5),(K14/(20*3^0.5)))</f>
        <v>1.4433756729740645</v>
      </c>
      <c r="L17" s="589"/>
    </row>
    <row r="18" spans="1:12" ht="34.5" customHeight="1">
      <c r="A18" s="193"/>
      <c r="B18" s="407" t="s">
        <v>1535</v>
      </c>
      <c r="C18" s="387" t="s">
        <v>9</v>
      </c>
      <c r="D18" s="582">
        <f>IF(D15=1,D14/(380/3^0.5),(D14/(380*3^0.5)))*1000</f>
        <v>0</v>
      </c>
      <c r="E18" s="583"/>
      <c r="F18" s="375" t="s">
        <v>1452</v>
      </c>
      <c r="G18" s="380">
        <v>250</v>
      </c>
      <c r="I18" s="401" t="s">
        <v>1535</v>
      </c>
      <c r="J18" s="387" t="s">
        <v>9</v>
      </c>
      <c r="K18" s="588">
        <f>IF(K15=1,K14/(380/3^0.5),(K14/(380*3^0.5)))*1000</f>
        <v>75.96714068284551</v>
      </c>
      <c r="L18" s="589"/>
    </row>
    <row r="19" spans="1:12" ht="30" customHeight="1">
      <c r="A19" s="193"/>
      <c r="B19" s="408" t="s">
        <v>1527</v>
      </c>
      <c r="C19" s="386" t="s">
        <v>9</v>
      </c>
      <c r="D19" s="582">
        <f>IF(D15=1,D14/(380/3^0.5),(D14/(380*3^0.5)))</f>
        <v>0</v>
      </c>
      <c r="E19" s="583"/>
      <c r="F19" s="196"/>
      <c r="G19" s="371"/>
      <c r="I19" s="403" t="s">
        <v>1527</v>
      </c>
      <c r="J19" s="386" t="s">
        <v>9</v>
      </c>
      <c r="K19" s="588">
        <f>IF(K15=1,K14/(380/3^0.5),(K14/(380*3^0.5)))</f>
        <v>7.5967140682845505E-2</v>
      </c>
      <c r="L19" s="589"/>
    </row>
    <row r="20" spans="1:12" ht="30" customHeight="1" thickBot="1">
      <c r="A20" s="193"/>
      <c r="B20" s="409" t="s">
        <v>1536</v>
      </c>
      <c r="C20" s="405" t="s">
        <v>9</v>
      </c>
      <c r="D20" s="608" t="e">
        <f>D16/D18</f>
        <v>#DIV/0!</v>
      </c>
      <c r="E20" s="609"/>
      <c r="F20" s="196"/>
      <c r="G20" s="371"/>
      <c r="I20" s="404" t="s">
        <v>1527</v>
      </c>
      <c r="J20" s="405" t="s">
        <v>9</v>
      </c>
      <c r="K20" s="586">
        <f>K16/K18</f>
        <v>0.45999999999999996</v>
      </c>
      <c r="L20" s="587"/>
    </row>
    <row r="21" spans="1:12" ht="9.75" customHeight="1">
      <c r="A21" s="193"/>
      <c r="B21" s="394" t="s">
        <v>1536</v>
      </c>
      <c r="C21" s="395" t="s">
        <v>9</v>
      </c>
      <c r="D21" s="593">
        <v>1</v>
      </c>
      <c r="E21" s="593"/>
      <c r="F21" s="396"/>
      <c r="G21" s="397"/>
      <c r="H21" s="398"/>
      <c r="I21" s="394" t="s">
        <v>1527</v>
      </c>
      <c r="J21" s="395" t="s">
        <v>9</v>
      </c>
      <c r="K21" s="593">
        <v>1</v>
      </c>
      <c r="L21" s="593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0"/>
      <c r="C1" s="610"/>
      <c r="D1" s="61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22287000</v>
      </c>
    </row>
    <row r="10" spans="2:11" ht="20.100000000000001" customHeight="1">
      <c r="B10" s="238" t="s">
        <v>1445</v>
      </c>
      <c r="C10" s="239" t="s">
        <v>9</v>
      </c>
      <c r="D10" s="245">
        <f ca="1">RAB!K111</f>
        <v>82255714.539999992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1645114.2907999998</v>
      </c>
    </row>
    <row r="12" spans="2:11" ht="9" customHeight="1">
      <c r="B12" s="611"/>
      <c r="C12" s="611"/>
      <c r="D12" s="611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MARDIYAH HAYATI (CV. NAJMINA BEAUTY INDONESIA)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1628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8" t="s">
        <v>1356</v>
      </c>
      <c r="C3" s="618"/>
      <c r="D3" s="618"/>
      <c r="E3" s="618"/>
      <c r="F3" s="252" t="str">
        <f>DATA!D14</f>
        <v>MARDIYAH HAYATI (CV. NAJMINA BEAUTY INDONESIA)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2" t="s">
        <v>1348</v>
      </c>
      <c r="C5" s="612" t="s">
        <v>1357</v>
      </c>
      <c r="D5" s="617" t="s">
        <v>1358</v>
      </c>
      <c r="E5" s="617" t="s">
        <v>1359</v>
      </c>
      <c r="F5" s="612" t="s">
        <v>1360</v>
      </c>
      <c r="G5" s="612"/>
      <c r="H5" s="612"/>
      <c r="I5" s="612"/>
      <c r="J5" s="612"/>
      <c r="K5" s="612" t="s">
        <v>1361</v>
      </c>
      <c r="L5" s="612"/>
      <c r="M5" s="254"/>
      <c r="N5" s="615" t="s">
        <v>1362</v>
      </c>
      <c r="O5" s="617" t="s">
        <v>1363</v>
      </c>
      <c r="P5" s="617" t="s">
        <v>1364</v>
      </c>
      <c r="Q5" s="617" t="s">
        <v>1365</v>
      </c>
      <c r="R5" s="255"/>
      <c r="S5" s="256"/>
      <c r="T5" s="613" t="s">
        <v>1366</v>
      </c>
      <c r="U5" s="257"/>
    </row>
    <row r="6" spans="1:21" ht="20.100000000000001" customHeight="1">
      <c r="B6" s="612"/>
      <c r="C6" s="612"/>
      <c r="D6" s="612"/>
      <c r="E6" s="612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6"/>
      <c r="O6" s="612"/>
      <c r="P6" s="612"/>
      <c r="Q6" s="612"/>
      <c r="R6" s="255"/>
      <c r="S6" s="256"/>
      <c r="T6" s="612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3680</v>
      </c>
      <c r="D7" s="263">
        <f>C7*4/24</f>
        <v>613.33333333333337</v>
      </c>
      <c r="E7" s="263">
        <f>C7-D7</f>
        <v>3066.6666666666665</v>
      </c>
      <c r="F7" s="264">
        <f ca="1">DATA!D10/1000000</f>
        <v>82.255714539999985</v>
      </c>
      <c r="G7" s="265">
        <f ca="1">DATA!$D$11/1000000</f>
        <v>1.6451142907999998</v>
      </c>
      <c r="H7" s="265">
        <f>C7*DATA!$D$5/1000000</f>
        <v>3.9895801688626293</v>
      </c>
      <c r="I7" s="265">
        <f>(C7*DATA!$D$5*DATA!$D$7)/1000000</f>
        <v>8.9765553799409162E-2</v>
      </c>
      <c r="J7" s="263">
        <f ca="1">SUM(F7:I7)</f>
        <v>87.980174553462021</v>
      </c>
      <c r="K7" s="266">
        <f>DATA!D9/1000000</f>
        <v>22.286999999999999</v>
      </c>
      <c r="L7" s="263">
        <f>((D7*DATA!$D$23)/1000000)+((E7*DATA!$D$24)/1000000)</f>
        <v>5.3164959999999999</v>
      </c>
      <c r="M7" s="263">
        <f>K7+L7</f>
        <v>27.603496</v>
      </c>
      <c r="N7" s="263">
        <f ca="1">M7-J7</f>
        <v>-60.376678553462021</v>
      </c>
      <c r="O7" s="261">
        <v>1</v>
      </c>
      <c r="P7" s="263">
        <f ca="1">O7*N7</f>
        <v>-60.376678553462021</v>
      </c>
      <c r="Q7" s="263">
        <f ca="1">P7</f>
        <v>-60.376678553462021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11040</v>
      </c>
      <c r="D8" s="263">
        <f>C8*4/24</f>
        <v>1840</v>
      </c>
      <c r="E8" s="263">
        <f t="shared" ref="E8:E32" si="0">C8-D8</f>
        <v>9200</v>
      </c>
      <c r="F8" s="261"/>
      <c r="G8" s="265">
        <f ca="1">DATA!$D$11/1000000</f>
        <v>1.6451142907999998</v>
      </c>
      <c r="H8" s="265">
        <f>C8*DATA!$D$5/1000000</f>
        <v>11.968740506587888</v>
      </c>
      <c r="I8" s="265">
        <f>(C8*DATA!$D$5*DATA!$D$7)/1000000</f>
        <v>0.2692966613982275</v>
      </c>
      <c r="J8" s="263">
        <f t="shared" ref="J8:J32" ca="1" si="1">SUM(F8:I8)</f>
        <v>13.883151458786116</v>
      </c>
      <c r="K8" s="268"/>
      <c r="L8" s="263">
        <f>((D8*DATA!$D$23)/1000000)+((E8*DATA!$D$24)/1000000)</f>
        <v>15.949488000000001</v>
      </c>
      <c r="M8" s="263">
        <f t="shared" ref="M8:M32" si="2">K8+L8</f>
        <v>15.949488000000001</v>
      </c>
      <c r="N8" s="263">
        <f ca="1">M8-J8</f>
        <v>2.0663365412138841</v>
      </c>
      <c r="O8" s="262">
        <f>1/(1+'[93]Asumsi I'!$C$3)^(KKF!A8)</f>
        <v>0.89285714285714279</v>
      </c>
      <c r="P8" s="263">
        <f ca="1">O8*N8</f>
        <v>1.8449433403695392</v>
      </c>
      <c r="Q8" s="263">
        <f ca="1">Q7+P8</f>
        <v>-58.531735213092482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11040</v>
      </c>
      <c r="D9" s="263">
        <f t="shared" ref="D9:D32" si="5">C9*4/24</f>
        <v>1840</v>
      </c>
      <c r="E9" s="263">
        <f t="shared" si="0"/>
        <v>9200</v>
      </c>
      <c r="F9" s="261"/>
      <c r="G9" s="265">
        <f ca="1">DATA!$D$11/1000000</f>
        <v>1.6451142907999998</v>
      </c>
      <c r="H9" s="265">
        <f>C9*DATA!$D$5/1000000</f>
        <v>11.968740506587888</v>
      </c>
      <c r="I9" s="265">
        <f>(C9*DATA!$D$5*DATA!$D$7)/1000000</f>
        <v>0.2692966613982275</v>
      </c>
      <c r="J9" s="263">
        <f t="shared" ca="1" si="1"/>
        <v>13.883151458786116</v>
      </c>
      <c r="K9" s="263"/>
      <c r="L9" s="263">
        <f>((D9*DATA!$D$23)/1000000)+((E9*DATA!$D$24)/1000000)</f>
        <v>15.949488000000001</v>
      </c>
      <c r="M9" s="263">
        <f t="shared" si="2"/>
        <v>15.949488000000001</v>
      </c>
      <c r="N9" s="263">
        <f t="shared" ref="N9:N32" ca="1" si="6">M9-J9</f>
        <v>2.0663365412138841</v>
      </c>
      <c r="O9" s="269">
        <f>1/(1+'[93]Asumsi I'!$C$3)^(KKF!A9)</f>
        <v>0.79719387755102034</v>
      </c>
      <c r="P9" s="263">
        <f t="shared" ref="P9:P32" ca="1" si="7">O9*N9</f>
        <v>1.6472708396156599</v>
      </c>
      <c r="Q9" s="263">
        <f ca="1">Q8+P9</f>
        <v>-56.884464373476824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11040</v>
      </c>
      <c r="D10" s="263">
        <f t="shared" si="5"/>
        <v>1840</v>
      </c>
      <c r="E10" s="263">
        <f t="shared" si="0"/>
        <v>9200</v>
      </c>
      <c r="F10" s="261"/>
      <c r="G10" s="265">
        <f ca="1">DATA!$D$11/1000000</f>
        <v>1.6451142907999998</v>
      </c>
      <c r="H10" s="265">
        <f>C10*DATA!$D$5/1000000</f>
        <v>11.968740506587888</v>
      </c>
      <c r="I10" s="265">
        <f>(C10*DATA!$D$5*DATA!$D$7)/1000000</f>
        <v>0.2692966613982275</v>
      </c>
      <c r="J10" s="263">
        <f t="shared" ca="1" si="1"/>
        <v>13.883151458786116</v>
      </c>
      <c r="K10" s="261"/>
      <c r="L10" s="263">
        <f>((D10*DATA!$D$23)/1000000)+((E10*DATA!$D$24)/1000000)</f>
        <v>15.949488000000001</v>
      </c>
      <c r="M10" s="263">
        <f t="shared" si="2"/>
        <v>15.949488000000001</v>
      </c>
      <c r="N10" s="263">
        <f t="shared" ca="1" si="6"/>
        <v>2.0663365412138841</v>
      </c>
      <c r="O10" s="262">
        <f>1/(1+'[93]Asumsi I'!$C$3)^(KKF!A10)</f>
        <v>0.71178024781341087</v>
      </c>
      <c r="P10" s="263">
        <f t="shared" ca="1" si="7"/>
        <v>1.4707775353711248</v>
      </c>
      <c r="Q10" s="263">
        <f t="shared" ref="Q10:Q30" ca="1" si="9">Q9+P10</f>
        <v>-55.413686838105697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11040</v>
      </c>
      <c r="D11" s="263">
        <f t="shared" si="5"/>
        <v>1840</v>
      </c>
      <c r="E11" s="263">
        <f t="shared" si="0"/>
        <v>9200</v>
      </c>
      <c r="F11" s="261"/>
      <c r="G11" s="265">
        <f ca="1">DATA!$D$11/1000000</f>
        <v>1.6451142907999998</v>
      </c>
      <c r="H11" s="265">
        <f>C11*DATA!$D$5/1000000</f>
        <v>11.968740506587888</v>
      </c>
      <c r="I11" s="265">
        <f>(C11*DATA!$D$5*DATA!$D$7)/1000000</f>
        <v>0.2692966613982275</v>
      </c>
      <c r="J11" s="263">
        <f t="shared" ca="1" si="1"/>
        <v>13.883151458786116</v>
      </c>
      <c r="K11" s="261"/>
      <c r="L11" s="263">
        <f>((D11*DATA!$D$23)/1000000)+((E11*DATA!$D$24)/1000000)</f>
        <v>15.949488000000001</v>
      </c>
      <c r="M11" s="263">
        <f t="shared" si="2"/>
        <v>15.949488000000001</v>
      </c>
      <c r="N11" s="263">
        <f t="shared" ca="1" si="6"/>
        <v>2.0663365412138841</v>
      </c>
      <c r="O11" s="262">
        <f>1/(1+'[93]Asumsi I'!$C$3)^(KKF!A11)</f>
        <v>0.63551807840483121</v>
      </c>
      <c r="P11" s="263">
        <f t="shared" ca="1" si="7"/>
        <v>1.3131942280099329</v>
      </c>
      <c r="Q11" s="263">
        <f t="shared" ca="1" si="9"/>
        <v>-54.100492610095763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11040</v>
      </c>
      <c r="D12" s="263">
        <f t="shared" si="5"/>
        <v>1840</v>
      </c>
      <c r="E12" s="263">
        <f t="shared" si="0"/>
        <v>9200</v>
      </c>
      <c r="F12" s="261"/>
      <c r="G12" s="265">
        <f ca="1">DATA!$D$11/1000000</f>
        <v>1.6451142907999998</v>
      </c>
      <c r="H12" s="265">
        <f>C12*DATA!$D$5/1000000</f>
        <v>11.968740506587888</v>
      </c>
      <c r="I12" s="265">
        <f>(C12*DATA!$D$5*DATA!$D$7)/1000000</f>
        <v>0.2692966613982275</v>
      </c>
      <c r="J12" s="263">
        <f t="shared" ca="1" si="1"/>
        <v>13.883151458786116</v>
      </c>
      <c r="K12" s="261"/>
      <c r="L12" s="263">
        <f>((D12*DATA!$D$23)/1000000)+((E12*DATA!$D$24)/1000000)</f>
        <v>15.949488000000001</v>
      </c>
      <c r="M12" s="263">
        <f t="shared" si="2"/>
        <v>15.949488000000001</v>
      </c>
      <c r="N12" s="263">
        <f t="shared" ca="1" si="6"/>
        <v>2.0663365412138841</v>
      </c>
      <c r="O12" s="262">
        <f>1/(1+'[93]Asumsi I'!$C$3)^(KKF!A12)</f>
        <v>0.56742685571859919</v>
      </c>
      <c r="P12" s="263">
        <f t="shared" ca="1" si="7"/>
        <v>1.1724948464374398</v>
      </c>
      <c r="Q12" s="263">
        <f t="shared" ca="1" si="9"/>
        <v>-52.927997763658325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11040</v>
      </c>
      <c r="D13" s="263">
        <f t="shared" si="5"/>
        <v>1840</v>
      </c>
      <c r="E13" s="263">
        <f t="shared" si="0"/>
        <v>9200</v>
      </c>
      <c r="F13" s="261"/>
      <c r="G13" s="265">
        <f ca="1">DATA!$D$11/1000000</f>
        <v>1.6451142907999998</v>
      </c>
      <c r="H13" s="265">
        <f>C13*DATA!$D$5/1000000</f>
        <v>11.968740506587888</v>
      </c>
      <c r="I13" s="265">
        <f>(C13*DATA!$D$5*DATA!$D$7)/1000000</f>
        <v>0.2692966613982275</v>
      </c>
      <c r="J13" s="263">
        <f t="shared" ca="1" si="1"/>
        <v>13.883151458786116</v>
      </c>
      <c r="K13" s="261"/>
      <c r="L13" s="263">
        <f>((D13*DATA!$D$23)/1000000)+((E13*DATA!$D$24)/1000000)</f>
        <v>15.949488000000001</v>
      </c>
      <c r="M13" s="263">
        <f t="shared" si="2"/>
        <v>15.949488000000001</v>
      </c>
      <c r="N13" s="263">
        <f t="shared" ca="1" si="6"/>
        <v>2.0663365412138841</v>
      </c>
      <c r="O13" s="262">
        <f>1/(1+'[93]Asumsi I'!$C$3)^(KKF!A13)</f>
        <v>0.50663112117732068</v>
      </c>
      <c r="P13" s="263">
        <f t="shared" ca="1" si="7"/>
        <v>1.0468703986048571</v>
      </c>
      <c r="Q13" s="263">
        <f t="shared" ca="1" si="9"/>
        <v>-51.881127365053466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11040</v>
      </c>
      <c r="D14" s="263">
        <f t="shared" si="5"/>
        <v>1840</v>
      </c>
      <c r="E14" s="263">
        <f t="shared" si="0"/>
        <v>9200</v>
      </c>
      <c r="F14" s="261"/>
      <c r="G14" s="265">
        <f ca="1">DATA!$D$11/1000000</f>
        <v>1.6451142907999998</v>
      </c>
      <c r="H14" s="265">
        <f>C14*DATA!$D$5/1000000</f>
        <v>11.968740506587888</v>
      </c>
      <c r="I14" s="265">
        <f>(C14*DATA!$D$5*DATA!$D$7)/1000000</f>
        <v>0.2692966613982275</v>
      </c>
      <c r="J14" s="263">
        <f t="shared" ca="1" si="1"/>
        <v>13.883151458786116</v>
      </c>
      <c r="K14" s="261"/>
      <c r="L14" s="263">
        <f>((D14*DATA!$D$23)/1000000)+((E14*DATA!$D$24)/1000000)</f>
        <v>15.949488000000001</v>
      </c>
      <c r="M14" s="263">
        <f t="shared" si="2"/>
        <v>15.949488000000001</v>
      </c>
      <c r="N14" s="263">
        <f t="shared" ca="1" si="6"/>
        <v>2.0663365412138841</v>
      </c>
      <c r="O14" s="262">
        <f>1/(1+'[93]Asumsi I'!$C$3)^(KKF!A14)</f>
        <v>0.45234921533689343</v>
      </c>
      <c r="P14" s="263">
        <f t="shared" ca="1" si="7"/>
        <v>0.93470571304005079</v>
      </c>
      <c r="Q14" s="263">
        <f t="shared" ca="1" si="9"/>
        <v>-50.946421652013413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11040</v>
      </c>
      <c r="D15" s="263">
        <f t="shared" si="5"/>
        <v>1840</v>
      </c>
      <c r="E15" s="263">
        <f t="shared" si="0"/>
        <v>9200</v>
      </c>
      <c r="F15" s="261"/>
      <c r="G15" s="265">
        <f ca="1">DATA!$D$11/1000000</f>
        <v>1.6451142907999998</v>
      </c>
      <c r="H15" s="265">
        <f>C15*DATA!$D$5/1000000</f>
        <v>11.968740506587888</v>
      </c>
      <c r="I15" s="265">
        <f>(C15*DATA!$D$5*DATA!$D$7)/1000000</f>
        <v>0.2692966613982275</v>
      </c>
      <c r="J15" s="263">
        <f t="shared" ca="1" si="1"/>
        <v>13.883151458786116</v>
      </c>
      <c r="K15" s="261"/>
      <c r="L15" s="263">
        <f>((D15*DATA!$D$23)/1000000)+((E15*DATA!$D$24)/1000000)</f>
        <v>15.949488000000001</v>
      </c>
      <c r="M15" s="263">
        <f t="shared" si="2"/>
        <v>15.949488000000001</v>
      </c>
      <c r="N15" s="263">
        <f t="shared" ca="1" si="6"/>
        <v>2.0663365412138841</v>
      </c>
      <c r="O15" s="262">
        <f>1/(1+'[93]Asumsi I'!$C$3)^(KKF!A15)</f>
        <v>0.4038832279793691</v>
      </c>
      <c r="P15" s="263">
        <f t="shared" ca="1" si="7"/>
        <v>0.83455867235718817</v>
      </c>
      <c r="Q15" s="263">
        <f t="shared" ca="1" si="9"/>
        <v>-50.111862979656223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11040</v>
      </c>
      <c r="D16" s="263">
        <f t="shared" si="5"/>
        <v>1840</v>
      </c>
      <c r="E16" s="263">
        <f t="shared" si="0"/>
        <v>9200</v>
      </c>
      <c r="F16" s="261"/>
      <c r="G16" s="265">
        <f ca="1">DATA!$D$11/1000000</f>
        <v>1.6451142907999998</v>
      </c>
      <c r="H16" s="265">
        <f>C16*DATA!$D$5/1000000</f>
        <v>11.968740506587888</v>
      </c>
      <c r="I16" s="265">
        <f>(C16*DATA!$D$5*DATA!$D$7)/1000000</f>
        <v>0.2692966613982275</v>
      </c>
      <c r="J16" s="263">
        <f t="shared" ca="1" si="1"/>
        <v>13.883151458786116</v>
      </c>
      <c r="K16" s="261"/>
      <c r="L16" s="263">
        <f>((D16*DATA!$D$23)/1000000)+((E16*DATA!$D$24)/1000000)</f>
        <v>15.949488000000001</v>
      </c>
      <c r="M16" s="263">
        <f t="shared" si="2"/>
        <v>15.949488000000001</v>
      </c>
      <c r="N16" s="263">
        <f t="shared" ca="1" si="6"/>
        <v>2.0663365412138841</v>
      </c>
      <c r="O16" s="262">
        <f>1/(1+'[93]Asumsi I'!$C$3)^(KKF!A16)</f>
        <v>0.36061002498157957</v>
      </c>
      <c r="P16" s="263">
        <f t="shared" ca="1" si="7"/>
        <v>0.74514167174748946</v>
      </c>
      <c r="Q16" s="263">
        <f t="shared" ca="1" si="9"/>
        <v>-49.366721307908733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11040</v>
      </c>
      <c r="D17" s="263">
        <f t="shared" si="5"/>
        <v>1840</v>
      </c>
      <c r="E17" s="263">
        <f t="shared" si="0"/>
        <v>9200</v>
      </c>
      <c r="F17" s="261"/>
      <c r="G17" s="265">
        <f ca="1">DATA!$D$11/1000000</f>
        <v>1.6451142907999998</v>
      </c>
      <c r="H17" s="265">
        <f>C17*DATA!$D$5/1000000</f>
        <v>11.968740506587888</v>
      </c>
      <c r="I17" s="265">
        <f>(C17*DATA!$D$5*DATA!$D$7)/1000000</f>
        <v>0.2692966613982275</v>
      </c>
      <c r="J17" s="263">
        <f t="shared" ca="1" si="1"/>
        <v>13.883151458786116</v>
      </c>
      <c r="K17" s="261"/>
      <c r="L17" s="263">
        <f>((D17*DATA!$D$23)/1000000)+((E17*DATA!$D$24)/1000000)</f>
        <v>15.949488000000001</v>
      </c>
      <c r="M17" s="263">
        <f t="shared" si="2"/>
        <v>15.949488000000001</v>
      </c>
      <c r="N17" s="263">
        <f t="shared" ca="1" si="6"/>
        <v>2.0663365412138841</v>
      </c>
      <c r="O17" s="262">
        <f>1/(1+'[93]Asumsi I'!$C$3)^(KKF!A17)</f>
        <v>0.32197323659069599</v>
      </c>
      <c r="P17" s="263">
        <f t="shared" ca="1" si="7"/>
        <v>0.66530506406025836</v>
      </c>
      <c r="Q17" s="263">
        <f t="shared" ca="1" si="9"/>
        <v>-48.701416243848477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11040</v>
      </c>
      <c r="D18" s="263">
        <f t="shared" si="5"/>
        <v>1840</v>
      </c>
      <c r="E18" s="263">
        <f t="shared" si="0"/>
        <v>9200</v>
      </c>
      <c r="F18" s="261"/>
      <c r="G18" s="265">
        <f ca="1">DATA!$D$11/1000000</f>
        <v>1.6451142907999998</v>
      </c>
      <c r="H18" s="265">
        <f>C18*DATA!$D$5/1000000</f>
        <v>11.968740506587888</v>
      </c>
      <c r="I18" s="265">
        <f>(C18*DATA!$D$5*DATA!$D$7)/1000000</f>
        <v>0.2692966613982275</v>
      </c>
      <c r="J18" s="263">
        <f t="shared" ca="1" si="1"/>
        <v>13.883151458786116</v>
      </c>
      <c r="K18" s="261"/>
      <c r="L18" s="263">
        <f>((D18*DATA!$D$23)/1000000)+((E18*DATA!$D$24)/1000000)</f>
        <v>15.949488000000001</v>
      </c>
      <c r="M18" s="263">
        <f t="shared" si="2"/>
        <v>15.949488000000001</v>
      </c>
      <c r="N18" s="263">
        <f t="shared" ca="1" si="6"/>
        <v>2.0663365412138841</v>
      </c>
      <c r="O18" s="262">
        <f>1/(1+'[93]Asumsi I'!$C$3)^(KKF!A18)</f>
        <v>0.28747610409883567</v>
      </c>
      <c r="P18" s="263">
        <f t="shared" ca="1" si="7"/>
        <v>0.59402237862523055</v>
      </c>
      <c r="Q18" s="263">
        <f t="shared" ca="1" si="9"/>
        <v>-48.107393865223244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11040</v>
      </c>
      <c r="D19" s="263">
        <f t="shared" si="5"/>
        <v>1840</v>
      </c>
      <c r="E19" s="263">
        <f t="shared" si="0"/>
        <v>9200</v>
      </c>
      <c r="F19" s="261"/>
      <c r="G19" s="265">
        <f ca="1">DATA!$D$11/1000000</f>
        <v>1.6451142907999998</v>
      </c>
      <c r="H19" s="265">
        <f>C19*DATA!$D$5/1000000</f>
        <v>11.968740506587888</v>
      </c>
      <c r="I19" s="265">
        <f>(C19*DATA!$D$5*DATA!$D$7)/1000000</f>
        <v>0.2692966613982275</v>
      </c>
      <c r="J19" s="263">
        <f t="shared" ca="1" si="1"/>
        <v>13.883151458786116</v>
      </c>
      <c r="K19" s="261"/>
      <c r="L19" s="263">
        <f>((D19*DATA!$D$23)/1000000)+((E19*DATA!$D$24)/1000000)</f>
        <v>15.949488000000001</v>
      </c>
      <c r="M19" s="263">
        <f t="shared" si="2"/>
        <v>15.949488000000001</v>
      </c>
      <c r="N19" s="263">
        <f t="shared" ca="1" si="6"/>
        <v>2.0663365412138841</v>
      </c>
      <c r="O19" s="262">
        <f>1/(1+'[93]Asumsi I'!$C$3)^(KKF!A19)</f>
        <v>0.25667509294538904</v>
      </c>
      <c r="P19" s="263">
        <f t="shared" ca="1" si="7"/>
        <v>0.53037712377252744</v>
      </c>
      <c r="Q19" s="263">
        <f t="shared" ca="1" si="9"/>
        <v>-47.57701674145072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11040</v>
      </c>
      <c r="D20" s="263">
        <f t="shared" si="5"/>
        <v>1840</v>
      </c>
      <c r="E20" s="263">
        <f t="shared" si="0"/>
        <v>9200</v>
      </c>
      <c r="F20" s="261"/>
      <c r="G20" s="265">
        <f ca="1">DATA!$D$11/1000000</f>
        <v>1.6451142907999998</v>
      </c>
      <c r="H20" s="265">
        <f>C20*DATA!$D$5/1000000</f>
        <v>11.968740506587888</v>
      </c>
      <c r="I20" s="265">
        <f>(C20*DATA!$D$5*DATA!$D$7)/1000000</f>
        <v>0.2692966613982275</v>
      </c>
      <c r="J20" s="263">
        <f t="shared" ca="1" si="1"/>
        <v>13.883151458786116</v>
      </c>
      <c r="K20" s="261"/>
      <c r="L20" s="263">
        <f>((D20*DATA!$D$23)/1000000)+((E20*DATA!$D$24)/1000000)</f>
        <v>15.949488000000001</v>
      </c>
      <c r="M20" s="263">
        <f t="shared" si="2"/>
        <v>15.949488000000001</v>
      </c>
      <c r="N20" s="263">
        <f t="shared" ca="1" si="6"/>
        <v>2.0663365412138841</v>
      </c>
      <c r="O20" s="262">
        <f>1/(1+'[93]Asumsi I'!$C$3)^(KKF!A20)</f>
        <v>0.22917419012981158</v>
      </c>
      <c r="P20" s="263">
        <f t="shared" ca="1" si="7"/>
        <v>0.47355100336832789</v>
      </c>
      <c r="Q20" s="263">
        <f t="shared" ca="1" si="9"/>
        <v>-47.103465738082392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11040</v>
      </c>
      <c r="D21" s="263">
        <f t="shared" si="5"/>
        <v>1840</v>
      </c>
      <c r="E21" s="263">
        <f t="shared" si="0"/>
        <v>9200</v>
      </c>
      <c r="F21" s="261"/>
      <c r="G21" s="265">
        <f ca="1">DATA!$D$11/1000000</f>
        <v>1.6451142907999998</v>
      </c>
      <c r="H21" s="265">
        <f>C21*DATA!$D$5/1000000</f>
        <v>11.968740506587888</v>
      </c>
      <c r="I21" s="265">
        <f>(C21*DATA!$D$5*DATA!$D$7)/1000000</f>
        <v>0.2692966613982275</v>
      </c>
      <c r="J21" s="263">
        <f t="shared" ca="1" si="1"/>
        <v>13.883151458786116</v>
      </c>
      <c r="K21" s="261"/>
      <c r="L21" s="263">
        <f>((D21*DATA!$D$23)/1000000)+((E21*DATA!$D$24)/1000000)</f>
        <v>15.949488000000001</v>
      </c>
      <c r="M21" s="263">
        <f t="shared" si="2"/>
        <v>15.949488000000001</v>
      </c>
      <c r="N21" s="263">
        <f t="shared" ca="1" si="6"/>
        <v>2.0663365412138841</v>
      </c>
      <c r="O21" s="262">
        <f>1/(1+'[93]Asumsi I'!$C$3)^(KKF!A21)</f>
        <v>0.20461981261590317</v>
      </c>
      <c r="P21" s="263">
        <f t="shared" ca="1" si="7"/>
        <v>0.42281339586457845</v>
      </c>
      <c r="Q21" s="263">
        <f t="shared" ca="1" si="9"/>
        <v>-46.680652342217812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11040</v>
      </c>
      <c r="D22" s="263">
        <f t="shared" si="5"/>
        <v>1840</v>
      </c>
      <c r="E22" s="263">
        <f t="shared" si="0"/>
        <v>9200</v>
      </c>
      <c r="F22" s="261"/>
      <c r="G22" s="265">
        <f ca="1">DATA!$D$11/1000000</f>
        <v>1.6451142907999998</v>
      </c>
      <c r="H22" s="265">
        <f>C22*DATA!$D$5/1000000</f>
        <v>11.968740506587888</v>
      </c>
      <c r="I22" s="265">
        <f>(C22*DATA!$D$5*DATA!$D$7)/1000000</f>
        <v>0.2692966613982275</v>
      </c>
      <c r="J22" s="263">
        <f t="shared" ca="1" si="1"/>
        <v>13.883151458786116</v>
      </c>
      <c r="K22" s="261"/>
      <c r="L22" s="263">
        <f>((D22*DATA!$D$23)/1000000)+((E22*DATA!$D$24)/1000000)</f>
        <v>15.949488000000001</v>
      </c>
      <c r="M22" s="263">
        <f t="shared" si="2"/>
        <v>15.949488000000001</v>
      </c>
      <c r="N22" s="263">
        <f t="shared" ca="1" si="6"/>
        <v>2.0663365412138841</v>
      </c>
      <c r="O22" s="262">
        <f>1/(1+'[93]Asumsi I'!$C$3)^(KKF!A22)</f>
        <v>0.18269626126419927</v>
      </c>
      <c r="P22" s="263">
        <f t="shared" ca="1" si="7"/>
        <v>0.37751196059337366</v>
      </c>
      <c r="Q22" s="263">
        <f t="shared" ca="1" si="9"/>
        <v>-46.303140381624438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11040</v>
      </c>
      <c r="D23" s="263">
        <f t="shared" si="5"/>
        <v>1840</v>
      </c>
      <c r="E23" s="263">
        <f t="shared" si="0"/>
        <v>9200</v>
      </c>
      <c r="F23" s="261"/>
      <c r="G23" s="265">
        <f ca="1">DATA!$D$11/1000000</f>
        <v>1.6451142907999998</v>
      </c>
      <c r="H23" s="265">
        <f>C23*DATA!$D$5/1000000</f>
        <v>11.968740506587888</v>
      </c>
      <c r="I23" s="265">
        <f>(C23*DATA!$D$5*DATA!$D$7)/1000000</f>
        <v>0.2692966613982275</v>
      </c>
      <c r="J23" s="263">
        <f t="shared" ca="1" si="1"/>
        <v>13.883151458786116</v>
      </c>
      <c r="K23" s="261"/>
      <c r="L23" s="263">
        <f>((D23*DATA!$D$23)/1000000)+((E23*DATA!$D$24)/1000000)</f>
        <v>15.949488000000001</v>
      </c>
      <c r="M23" s="263">
        <f t="shared" si="2"/>
        <v>15.949488000000001</v>
      </c>
      <c r="N23" s="263">
        <f t="shared" ca="1" si="6"/>
        <v>2.0663365412138841</v>
      </c>
      <c r="O23" s="262">
        <f>1/(1+'[93]Asumsi I'!$C$3)^(KKF!A23)</f>
        <v>0.16312166184303503</v>
      </c>
      <c r="P23" s="263">
        <f t="shared" ca="1" si="7"/>
        <v>0.33706425052979783</v>
      </c>
      <c r="Q23" s="263">
        <f t="shared" ca="1" si="9"/>
        <v>-45.966076131094638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11040</v>
      </c>
      <c r="D24" s="263">
        <f t="shared" si="5"/>
        <v>1840</v>
      </c>
      <c r="E24" s="263">
        <f t="shared" si="0"/>
        <v>9200</v>
      </c>
      <c r="F24" s="261"/>
      <c r="G24" s="265">
        <f ca="1">DATA!$D$11/1000000</f>
        <v>1.6451142907999998</v>
      </c>
      <c r="H24" s="265">
        <f>C24*DATA!$D$5/1000000</f>
        <v>11.968740506587888</v>
      </c>
      <c r="I24" s="265">
        <f>(C24*DATA!$D$5*DATA!$D$7)/1000000</f>
        <v>0.2692966613982275</v>
      </c>
      <c r="J24" s="263">
        <f t="shared" ca="1" si="1"/>
        <v>13.883151458786116</v>
      </c>
      <c r="K24" s="261"/>
      <c r="L24" s="263">
        <f>((D24*DATA!$D$23)/1000000)+((E24*DATA!$D$24)/1000000)</f>
        <v>15.949488000000001</v>
      </c>
      <c r="M24" s="263">
        <f t="shared" si="2"/>
        <v>15.949488000000001</v>
      </c>
      <c r="N24" s="263">
        <f t="shared" ca="1" si="6"/>
        <v>2.0663365412138841</v>
      </c>
      <c r="O24" s="262">
        <f>1/(1+'[93]Asumsi I'!$C$3)^(KKF!A24)</f>
        <v>0.14564434093128129</v>
      </c>
      <c r="P24" s="263">
        <f t="shared" ca="1" si="7"/>
        <v>0.3009502236873195</v>
      </c>
      <c r="Q24" s="263">
        <f t="shared" ca="1" si="9"/>
        <v>-45.665125907407322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11040</v>
      </c>
      <c r="D25" s="263">
        <f t="shared" si="5"/>
        <v>1840</v>
      </c>
      <c r="E25" s="263">
        <f t="shared" si="0"/>
        <v>9200</v>
      </c>
      <c r="F25" s="261"/>
      <c r="G25" s="265">
        <f ca="1">DATA!$D$11/1000000</f>
        <v>1.6451142907999998</v>
      </c>
      <c r="H25" s="265">
        <f>C25*DATA!$D$5/1000000</f>
        <v>11.968740506587888</v>
      </c>
      <c r="I25" s="265">
        <f>(C25*DATA!$D$5*DATA!$D$7)/1000000</f>
        <v>0.2692966613982275</v>
      </c>
      <c r="J25" s="263">
        <f t="shared" ca="1" si="1"/>
        <v>13.883151458786116</v>
      </c>
      <c r="K25" s="261"/>
      <c r="L25" s="263">
        <f>((D25*DATA!$D$23)/1000000)+((E25*DATA!$D$24)/1000000)</f>
        <v>15.949488000000001</v>
      </c>
      <c r="M25" s="263">
        <f t="shared" si="2"/>
        <v>15.949488000000001</v>
      </c>
      <c r="N25" s="263">
        <f t="shared" ca="1" si="6"/>
        <v>2.0663365412138841</v>
      </c>
      <c r="O25" s="262">
        <f>1/(1+'[93]Asumsi I'!$C$3)^(KKF!A25)</f>
        <v>0.13003959011721541</v>
      </c>
      <c r="P25" s="263">
        <f t="shared" ca="1" si="7"/>
        <v>0.26870555686367809</v>
      </c>
      <c r="Q25" s="263">
        <f t="shared" ca="1" si="9"/>
        <v>-45.396420350543643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11040</v>
      </c>
      <c r="D26" s="263">
        <f t="shared" si="5"/>
        <v>1840</v>
      </c>
      <c r="E26" s="263">
        <f t="shared" si="0"/>
        <v>9200</v>
      </c>
      <c r="F26" s="261"/>
      <c r="G26" s="265">
        <f ca="1">DATA!$D$11/1000000</f>
        <v>1.6451142907999998</v>
      </c>
      <c r="H26" s="265">
        <f>C26*DATA!$D$5/1000000</f>
        <v>11.968740506587888</v>
      </c>
      <c r="I26" s="265">
        <f>(C26*DATA!$D$5*DATA!$D$7)/1000000</f>
        <v>0.2692966613982275</v>
      </c>
      <c r="J26" s="263">
        <f t="shared" ca="1" si="1"/>
        <v>13.883151458786116</v>
      </c>
      <c r="K26" s="261"/>
      <c r="L26" s="263">
        <f>((D26*DATA!$D$23)/1000000)+((E26*DATA!$D$24)/1000000)</f>
        <v>15.949488000000001</v>
      </c>
      <c r="M26" s="263">
        <f t="shared" si="2"/>
        <v>15.949488000000001</v>
      </c>
      <c r="N26" s="263">
        <f t="shared" ca="1" si="6"/>
        <v>2.0663365412138841</v>
      </c>
      <c r="O26" s="262">
        <f>1/(1+'[93]Asumsi I'!$C$3)^(KKF!A26)</f>
        <v>0.1161067768903709</v>
      </c>
      <c r="P26" s="263">
        <f t="shared" ca="1" si="7"/>
        <v>0.23991567577114112</v>
      </c>
      <c r="Q26" s="263">
        <f t="shared" ca="1" si="9"/>
        <v>-45.156504674772499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11040</v>
      </c>
      <c r="D27" s="263">
        <f t="shared" si="5"/>
        <v>1840</v>
      </c>
      <c r="E27" s="263">
        <f t="shared" si="0"/>
        <v>9200</v>
      </c>
      <c r="F27" s="261"/>
      <c r="G27" s="265">
        <f ca="1">DATA!$D$11/1000000</f>
        <v>1.6451142907999998</v>
      </c>
      <c r="H27" s="265">
        <f>C27*DATA!$D$5/1000000</f>
        <v>11.968740506587888</v>
      </c>
      <c r="I27" s="265">
        <f>(C27*DATA!$D$5*DATA!$D$7)/1000000</f>
        <v>0.2692966613982275</v>
      </c>
      <c r="J27" s="263">
        <f t="shared" ca="1" si="1"/>
        <v>13.883151458786116</v>
      </c>
      <c r="K27" s="261"/>
      <c r="L27" s="263">
        <f>((D27*DATA!$D$23)/1000000)+((E27*DATA!$D$24)/1000000)</f>
        <v>15.949488000000001</v>
      </c>
      <c r="M27" s="263">
        <f t="shared" si="2"/>
        <v>15.949488000000001</v>
      </c>
      <c r="N27" s="263">
        <f t="shared" ca="1" si="6"/>
        <v>2.0663365412138841</v>
      </c>
      <c r="O27" s="262">
        <f>1/(1+'[93]Asumsi I'!$C$3)^(KKF!A27)</f>
        <v>0.1036667650806883</v>
      </c>
      <c r="P27" s="263">
        <f t="shared" ca="1" si="7"/>
        <v>0.21421042479566171</v>
      </c>
      <c r="Q27" s="263">
        <f t="shared" ca="1" si="9"/>
        <v>-44.94229424997684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11040</v>
      </c>
      <c r="D28" s="263">
        <f t="shared" si="5"/>
        <v>1840</v>
      </c>
      <c r="E28" s="263">
        <f t="shared" si="0"/>
        <v>9200</v>
      </c>
      <c r="F28" s="261"/>
      <c r="G28" s="265">
        <f ca="1">DATA!$D$11/1000000</f>
        <v>1.6451142907999998</v>
      </c>
      <c r="H28" s="265">
        <f>C28*DATA!$D$5/1000000</f>
        <v>11.968740506587888</v>
      </c>
      <c r="I28" s="265">
        <f>(C28*DATA!$D$5*DATA!$D$7)/1000000</f>
        <v>0.2692966613982275</v>
      </c>
      <c r="J28" s="263">
        <f t="shared" ca="1" si="1"/>
        <v>13.883151458786116</v>
      </c>
      <c r="K28" s="261"/>
      <c r="L28" s="263">
        <f>((D28*DATA!$D$23)/1000000)+((E28*DATA!$D$24)/1000000)</f>
        <v>15.949488000000001</v>
      </c>
      <c r="M28" s="263">
        <f t="shared" si="2"/>
        <v>15.949488000000001</v>
      </c>
      <c r="N28" s="263">
        <f t="shared" ca="1" si="6"/>
        <v>2.0663365412138841</v>
      </c>
      <c r="O28" s="262">
        <f>1/(1+'[93]Asumsi I'!$C$3)^(KKF!A28)</f>
        <v>9.2559611679185971E-2</v>
      </c>
      <c r="P28" s="263">
        <f t="shared" ca="1" si="7"/>
        <v>0.19125930785326936</v>
      </c>
      <c r="Q28" s="263">
        <f t="shared" ca="1" si="9"/>
        <v>-44.751034942123567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11040</v>
      </c>
      <c r="D29" s="263">
        <f t="shared" si="5"/>
        <v>1840</v>
      </c>
      <c r="E29" s="263">
        <f t="shared" si="0"/>
        <v>9200</v>
      </c>
      <c r="F29" s="261"/>
      <c r="G29" s="265">
        <f ca="1">DATA!$D$11/1000000</f>
        <v>1.6451142907999998</v>
      </c>
      <c r="H29" s="265">
        <f>C29*DATA!$D$5/1000000</f>
        <v>11.968740506587888</v>
      </c>
      <c r="I29" s="265">
        <f>(C29*DATA!$D$5*DATA!$D$7)/1000000</f>
        <v>0.2692966613982275</v>
      </c>
      <c r="J29" s="263">
        <f t="shared" ca="1" si="1"/>
        <v>13.883151458786116</v>
      </c>
      <c r="K29" s="261"/>
      <c r="L29" s="263">
        <f>((D29*DATA!$D$23)/1000000)+((E29*DATA!$D$24)/1000000)</f>
        <v>15.949488000000001</v>
      </c>
      <c r="M29" s="263">
        <f t="shared" si="2"/>
        <v>15.949488000000001</v>
      </c>
      <c r="N29" s="263">
        <f t="shared" ca="1" si="6"/>
        <v>2.0663365412138841</v>
      </c>
      <c r="O29" s="262">
        <f>1/(1+'[93]Asumsi I'!$C$3)^(KKF!A29)</f>
        <v>8.2642510427844609E-2</v>
      </c>
      <c r="P29" s="263">
        <f t="shared" ca="1" si="7"/>
        <v>0.17076723915470479</v>
      </c>
      <c r="Q29" s="263">
        <f t="shared" ca="1" si="9"/>
        <v>-44.580267702968861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11040</v>
      </c>
      <c r="D30" s="263">
        <f t="shared" si="5"/>
        <v>1840</v>
      </c>
      <c r="E30" s="263">
        <f t="shared" si="0"/>
        <v>9200</v>
      </c>
      <c r="F30" s="261"/>
      <c r="G30" s="265">
        <f ca="1">DATA!$D$11/1000000</f>
        <v>1.6451142907999998</v>
      </c>
      <c r="H30" s="265">
        <f>C30*DATA!$D$5/1000000</f>
        <v>11.968740506587888</v>
      </c>
      <c r="I30" s="265">
        <f>(C30*DATA!$D$5*DATA!$D$7)/1000000</f>
        <v>0.2692966613982275</v>
      </c>
      <c r="J30" s="263">
        <f t="shared" ca="1" si="1"/>
        <v>13.883151458786116</v>
      </c>
      <c r="K30" s="261"/>
      <c r="L30" s="263">
        <f>((D30*DATA!$D$23)/1000000)+((E30*DATA!$D$24)/1000000)</f>
        <v>15.949488000000001</v>
      </c>
      <c r="M30" s="263">
        <f t="shared" si="2"/>
        <v>15.949488000000001</v>
      </c>
      <c r="N30" s="263">
        <f t="shared" ca="1" si="6"/>
        <v>2.0663365412138841</v>
      </c>
      <c r="O30" s="262">
        <f>1/(1+'[93]Asumsi I'!$C$3)^(KKF!A30)</f>
        <v>7.3787955739146982E-2</v>
      </c>
      <c r="P30" s="263">
        <f t="shared" ca="1" si="7"/>
        <v>0.15247074924527215</v>
      </c>
      <c r="Q30" s="263">
        <f t="shared" ca="1" si="9"/>
        <v>-44.427796953723586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11040</v>
      </c>
      <c r="D31" s="263">
        <f t="shared" si="5"/>
        <v>1840</v>
      </c>
      <c r="E31" s="263">
        <f t="shared" si="0"/>
        <v>9200</v>
      </c>
      <c r="F31" s="261"/>
      <c r="G31" s="265">
        <f ca="1">DATA!$D$11/1000000</f>
        <v>1.6451142907999998</v>
      </c>
      <c r="H31" s="265">
        <f>C31*DATA!$D$5/1000000</f>
        <v>11.968740506587888</v>
      </c>
      <c r="I31" s="265">
        <f>(C31*DATA!$D$5*DATA!$D$7)/1000000</f>
        <v>0.2692966613982275</v>
      </c>
      <c r="J31" s="263">
        <f t="shared" ca="1" si="1"/>
        <v>13.883151458786116</v>
      </c>
      <c r="K31" s="261"/>
      <c r="L31" s="263">
        <f>((D31*DATA!$D$23)/1000000)+((E31*DATA!$D$24)/1000000)</f>
        <v>15.949488000000001</v>
      </c>
      <c r="M31" s="263">
        <f t="shared" si="2"/>
        <v>15.949488000000001</v>
      </c>
      <c r="N31" s="263">
        <f t="shared" ca="1" si="6"/>
        <v>2.0663365412138841</v>
      </c>
      <c r="O31" s="262">
        <f>1/(1+'[93]Asumsi I'!$C$3)^(KKF!A31)</f>
        <v>6.5882103338524081E-2</v>
      </c>
      <c r="P31" s="263">
        <f t="shared" ca="1" si="7"/>
        <v>0.13613459754042154</v>
      </c>
      <c r="Q31" s="263">
        <f ca="1">Q30+P31</f>
        <v>-44.291662356183167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11040</v>
      </c>
      <c r="D32" s="263">
        <f t="shared" si="5"/>
        <v>1840</v>
      </c>
      <c r="E32" s="263">
        <f t="shared" si="0"/>
        <v>9200</v>
      </c>
      <c r="F32" s="261"/>
      <c r="G32" s="265">
        <f ca="1">DATA!$D$11/1000000</f>
        <v>1.6451142907999998</v>
      </c>
      <c r="H32" s="265">
        <f>C32*DATA!$D$5/1000000</f>
        <v>11.968740506587888</v>
      </c>
      <c r="I32" s="265">
        <f>(C32*DATA!$D$5*DATA!$D$7)/1000000</f>
        <v>0.2692966613982275</v>
      </c>
      <c r="J32" s="263">
        <f t="shared" ca="1" si="1"/>
        <v>13.883151458786116</v>
      </c>
      <c r="K32" s="261"/>
      <c r="L32" s="263">
        <f>((D32*DATA!$D$23)/1000000)+((E32*DATA!$D$24)/1000000)</f>
        <v>15.949488000000001</v>
      </c>
      <c r="M32" s="263">
        <f t="shared" si="2"/>
        <v>15.949488000000001</v>
      </c>
      <c r="N32" s="263">
        <f t="shared" ca="1" si="6"/>
        <v>2.0663365412138841</v>
      </c>
      <c r="O32" s="262">
        <f>1/(1+'[93]Asumsi I'!$C$3)^(KKF!A32)</f>
        <v>5.8823306552253637E-2</v>
      </c>
      <c r="P32" s="263">
        <f t="shared" ca="1" si="7"/>
        <v>0.12154874780394778</v>
      </c>
      <c r="Q32" s="263">
        <f ca="1">Q31+P32</f>
        <v>-44.170113608379218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4" t="s">
        <v>1373</v>
      </c>
      <c r="G33" s="614"/>
      <c r="H33" s="614"/>
      <c r="I33" s="271"/>
      <c r="J33" s="272">
        <f ca="1">SUM(J7:J32)</f>
        <v>435.05896102311522</v>
      </c>
      <c r="K33" s="614" t="s">
        <v>1374</v>
      </c>
      <c r="L33" s="614"/>
      <c r="M33" s="272">
        <f>SUM(M7:M32)</f>
        <v>426.34069599999975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42.577853509659874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0.97996072761583175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-39.437601436052873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-1.1653118819342501E-2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6"/>
  <sheetViews>
    <sheetView showGridLines="0" tabSelected="1" zoomScale="70" zoomScaleNormal="70" zoomScaleSheetLayoutView="70" workbookViewId="0">
      <pane ySplit="13" topLeftCell="A58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8" t="s">
        <v>1036</v>
      </c>
      <c r="P3" s="638"/>
      <c r="Q3" s="293"/>
      <c r="T3" s="291"/>
      <c r="U3" s="292" t="s">
        <v>1041</v>
      </c>
      <c r="V3" s="291"/>
    </row>
    <row r="4" spans="1:22" ht="15.75" customHeight="1">
      <c r="B4" s="639" t="s">
        <v>1023</v>
      </c>
      <c r="C4" s="639"/>
      <c r="D4" s="639"/>
      <c r="E4" s="639"/>
      <c r="F4" s="639"/>
      <c r="G4" s="639"/>
      <c r="H4" s="639"/>
      <c r="I4" s="639"/>
      <c r="J4" s="639"/>
      <c r="K4" s="639"/>
      <c r="O4" s="638"/>
      <c r="P4" s="638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1" t="s">
        <v>1641</v>
      </c>
      <c r="H6" s="622"/>
      <c r="I6" s="622"/>
      <c r="J6" s="622"/>
      <c r="K6" s="622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1" t="s">
        <v>0</v>
      </c>
      <c r="C11" s="643" t="s">
        <v>1</v>
      </c>
      <c r="D11" s="632" t="s">
        <v>42</v>
      </c>
      <c r="E11" s="632" t="s">
        <v>43</v>
      </c>
      <c r="F11" s="632" t="s">
        <v>2</v>
      </c>
      <c r="G11" s="646" t="s">
        <v>41</v>
      </c>
      <c r="H11" s="632" t="s">
        <v>3</v>
      </c>
      <c r="I11" s="632"/>
      <c r="J11" s="632"/>
      <c r="K11" s="63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2"/>
      <c r="C12" s="644"/>
      <c r="D12" s="636"/>
      <c r="E12" s="636"/>
      <c r="F12" s="636"/>
      <c r="G12" s="647"/>
      <c r="H12" s="634" t="s">
        <v>46</v>
      </c>
      <c r="I12" s="634" t="s">
        <v>5</v>
      </c>
      <c r="J12" s="636" t="s">
        <v>47</v>
      </c>
      <c r="K12" s="637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2"/>
      <c r="C13" s="645"/>
      <c r="D13" s="636"/>
      <c r="E13" s="636"/>
      <c r="F13" s="636"/>
      <c r="G13" s="648"/>
      <c r="H13" s="635"/>
      <c r="I13" s="635"/>
      <c r="J13" s="636"/>
      <c r="K13" s="637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9" ca="1" si="4">IF(OR(D15="MDU",D15="MDU-KD"),(IF($O$3="RAB NON MDU","PLN KD",G15*F15)),0)</f>
        <v>0</v>
      </c>
      <c r="I15" s="308">
        <f t="shared" ref="I15:I19" ca="1" si="5">IF(D15="HDW",G15*F15,0)</f>
        <v>0</v>
      </c>
      <c r="J15" s="308">
        <f t="shared" ref="J15:J19" ca="1" si="6">IF(D15="JASA",G15*F15,0)</f>
        <v>0</v>
      </c>
      <c r="K15" s="309">
        <f t="shared" ref="K15:K19" ca="1" si="7">SUM(H15:J15)</f>
        <v>0</v>
      </c>
      <c r="L15" s="289"/>
      <c r="M15" s="289" t="str">
        <f t="shared" ref="M15:M22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103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1</v>
      </c>
      <c r="G17" s="307">
        <f ca="1">IF(ISERROR(OFFSET('HARGA SATUAN'!$I$6,MATCH(RAB!C17,'HARGA SATUAN'!$C$7:$C$1495,0),0)),0,OFFSET('HARGA SATUAN'!$I$6,MATCH(RAB!C17,'HARGA SATUAN'!$C$7:$C$1495,0),0))</f>
        <v>5800000</v>
      </c>
      <c r="H17" s="308">
        <f t="shared" ca="1" si="4"/>
        <v>0</v>
      </c>
      <c r="I17" s="308">
        <f t="shared" ca="1" si="5"/>
        <v>5800000</v>
      </c>
      <c r="J17" s="308">
        <f t="shared" ca="1" si="6"/>
        <v>0</v>
      </c>
      <c r="K17" s="309">
        <f t="shared" ca="1" si="7"/>
        <v>5800000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/>
      <c r="C19" s="418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 t="str">
        <f ca="1"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8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2" t="s">
        <v>1035</v>
      </c>
      <c r="C21" s="463" t="s">
        <v>1631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53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62">
        <v>1</v>
      </c>
      <c r="C22" s="463" t="s">
        <v>1145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53">
        <f>F21*1</f>
        <v>1</v>
      </c>
      <c r="G22" s="307">
        <f ca="1">IF(ISERROR(OFFSET('HARGA SATUAN'!$I$6,MATCH(RAB!C22,'HARGA SATUAN'!$C$7:$C$1495,0),0)),0,OFFSET('HARGA SATUAN'!$I$6,MATCH(RAB!C22,'HARGA SATUAN'!$C$7:$C$1495,0),0))</f>
        <v>42757200</v>
      </c>
      <c r="H22" s="308">
        <f t="shared" ref="H22:H53" ca="1" si="9">IF(OR(D22="MDU",D22="MDU-KD"),(IF($O$3="RAB NON MDU","PLN KD",G22*F22)),0)</f>
        <v>42757200</v>
      </c>
      <c r="I22" s="308">
        <f t="shared" ref="I22:I53" ca="1" si="10">IF(D22="HDW",G22*F22,0)</f>
        <v>0</v>
      </c>
      <c r="J22" s="308">
        <f t="shared" ref="J22:J53" ca="1" si="11">IF(D22="JASA",G22*F22,0)</f>
        <v>0</v>
      </c>
      <c r="K22" s="309">
        <f t="shared" ref="K22:K53" ca="1" si="12">SUM(H22:J22)</f>
        <v>42757200</v>
      </c>
      <c r="L22" s="316"/>
      <c r="M22" s="289" t="str">
        <f t="shared" ca="1" si="8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52">
        <v>2</v>
      </c>
      <c r="C23" s="464" t="s">
        <v>1615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5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ref="M23:M40" ca="1" si="13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2"/>
      <c r="C24" s="464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3">
        <f>F21*(3*3)</f>
        <v>9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9"/>
        <v>127800</v>
      </c>
      <c r="I24" s="308">
        <f t="shared" ca="1" si="10"/>
        <v>0</v>
      </c>
      <c r="J24" s="308">
        <f t="shared" ca="1" si="11"/>
        <v>0</v>
      </c>
      <c r="K24" s="309">
        <f t="shared" ca="1" si="12"/>
        <v>127800</v>
      </c>
      <c r="L24" s="316"/>
      <c r="M24" s="289" t="str">
        <f t="shared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2"/>
      <c r="C25" s="464" t="s">
        <v>1629</v>
      </c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3">
        <f>F21*3</f>
        <v>3</v>
      </c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9"/>
        <v>0</v>
      </c>
      <c r="I25" s="308">
        <f t="shared" ca="1" si="10"/>
        <v>0</v>
      </c>
      <c r="J25" s="308">
        <f t="shared" ca="1" si="11"/>
        <v>0</v>
      </c>
      <c r="K25" s="309">
        <f t="shared" ca="1" si="12"/>
        <v>0</v>
      </c>
      <c r="L25" s="316"/>
      <c r="M25" s="289" t="str">
        <f t="shared" ca="1" si="13"/>
        <v>WARNING</v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2">
        <v>3</v>
      </c>
      <c r="C26" s="109" t="s">
        <v>559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3">
        <f>F21*3</f>
        <v>3</v>
      </c>
      <c r="G26" s="307">
        <f ca="1">IF(ISERROR(OFFSET('HARGA SATUAN'!$I$6,MATCH(RAB!C26,'HARGA SATUAN'!$C$7:$C$1495,0),0)),0,OFFSET('HARGA SATUAN'!$I$6,MATCH(RAB!C26,'HARGA SATUAN'!$C$7:$C$1495,0),0))</f>
        <v>725900</v>
      </c>
      <c r="H26" s="308">
        <f t="shared" ca="1" si="9"/>
        <v>2177700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2177700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2">
        <v>4</v>
      </c>
      <c r="C27" s="463" t="s">
        <v>535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3">
        <f>F21*3</f>
        <v>3</v>
      </c>
      <c r="G27" s="307">
        <f ca="1">IF(ISERROR(OFFSET('HARGA SATUAN'!$I$6,MATCH(RAB!C27,'HARGA SATUAN'!$C$7:$C$1495,0),0)),0,OFFSET('HARGA SATUAN'!$I$6,MATCH(RAB!C27,'HARGA SATUAN'!$C$7:$C$1495,0),0))</f>
        <v>848250</v>
      </c>
      <c r="H27" s="308">
        <f t="shared" ca="1" si="9"/>
        <v>2544750</v>
      </c>
      <c r="I27" s="308">
        <f t="shared" ca="1" si="10"/>
        <v>0</v>
      </c>
      <c r="J27" s="308">
        <f t="shared" ca="1" si="11"/>
        <v>0</v>
      </c>
      <c r="K27" s="309">
        <f t="shared" ca="1" si="12"/>
        <v>2544750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2">
        <v>5</v>
      </c>
      <c r="C28" s="463" t="s">
        <v>537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3">
        <f>F21*3</f>
        <v>3</v>
      </c>
      <c r="G28" s="307">
        <f ca="1">IF(ISERROR(OFFSET('HARGA SATUAN'!$I$6,MATCH(RAB!C28,'HARGA SATUAN'!$C$7:$C$1495,0),0)),0,OFFSET('HARGA SATUAN'!$I$6,MATCH(RAB!C28,'HARGA SATUAN'!$C$7:$C$1495,0),0))</f>
        <v>17500</v>
      </c>
      <c r="H28" s="308">
        <f t="shared" ca="1" si="9"/>
        <v>0</v>
      </c>
      <c r="I28" s="308">
        <f t="shared" ca="1" si="10"/>
        <v>52500</v>
      </c>
      <c r="J28" s="308">
        <f t="shared" ca="1" si="11"/>
        <v>0</v>
      </c>
      <c r="K28" s="309">
        <f t="shared" ca="1" si="12"/>
        <v>52500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2">
        <v>6</v>
      </c>
      <c r="C29" s="463" t="s">
        <v>1617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3">
        <f>F21*13</f>
        <v>13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9"/>
        <v>0</v>
      </c>
      <c r="I29" s="308">
        <f t="shared" ca="1" si="10"/>
        <v>637000</v>
      </c>
      <c r="J29" s="308">
        <f t="shared" ca="1" si="11"/>
        <v>0</v>
      </c>
      <c r="K29" s="309">
        <f t="shared" ca="1" si="12"/>
        <v>637000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2">
        <v>7</v>
      </c>
      <c r="C30" s="463" t="s">
        <v>163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3">
        <f>F21*28</f>
        <v>28</v>
      </c>
      <c r="G30" s="307">
        <f ca="1">IF(ISERROR(OFFSET('HARGA SATUAN'!$I$6,MATCH(RAB!C30,'HARGA SATUAN'!$C$7:$C$1495,0),0)),0,OFFSET('HARGA SATUAN'!$I$6,MATCH(RAB!C30,'HARGA SATUAN'!$C$7:$C$1495,0),0))</f>
        <v>7938</v>
      </c>
      <c r="H30" s="308">
        <f t="shared" ca="1" si="9"/>
        <v>0</v>
      </c>
      <c r="I30" s="308">
        <f t="shared" ca="1" si="10"/>
        <v>222264</v>
      </c>
      <c r="J30" s="308">
        <f t="shared" ca="1" si="11"/>
        <v>0</v>
      </c>
      <c r="K30" s="309">
        <f t="shared" ca="1" si="12"/>
        <v>222264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2">
        <v>8</v>
      </c>
      <c r="C31" s="463" t="s">
        <v>176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3">
        <f>F21*2</f>
        <v>2</v>
      </c>
      <c r="G31" s="307">
        <f ca="1">IF(ISERROR(OFFSET('HARGA SATUAN'!$I$6,MATCH(RAB!C31,'HARGA SATUAN'!$C$7:$C$1495,0),0)),0,OFFSET('HARGA SATUAN'!$I$6,MATCH(RAB!C31,'HARGA SATUAN'!$C$7:$C$1495,0),0))</f>
        <v>404600</v>
      </c>
      <c r="H31" s="308">
        <f t="shared" ca="1" si="9"/>
        <v>0</v>
      </c>
      <c r="I31" s="308">
        <f t="shared" ca="1" si="10"/>
        <v>809200</v>
      </c>
      <c r="J31" s="308">
        <f t="shared" ca="1" si="11"/>
        <v>0</v>
      </c>
      <c r="K31" s="309">
        <f t="shared" ca="1" si="12"/>
        <v>809200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2">
        <v>9</v>
      </c>
      <c r="C32" s="463" t="s">
        <v>184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3">
        <f>F21*3</f>
        <v>3</v>
      </c>
      <c r="G32" s="307">
        <f ca="1">IF(ISERROR(OFFSET('HARGA SATUAN'!$I$6,MATCH(RAB!C32,'HARGA SATUAN'!$C$7:$C$1495,0),0)),0,OFFSET('HARGA SATUAN'!$I$6,MATCH(RAB!C32,'HARGA SATUAN'!$C$7:$C$1495,0),0))</f>
        <v>15900</v>
      </c>
      <c r="H32" s="308">
        <f t="shared" ca="1" si="9"/>
        <v>0</v>
      </c>
      <c r="I32" s="308">
        <f t="shared" ca="1" si="10"/>
        <v>47700</v>
      </c>
      <c r="J32" s="308">
        <f t="shared" ca="1" si="11"/>
        <v>0</v>
      </c>
      <c r="K32" s="309">
        <f t="shared" ca="1" si="12"/>
        <v>47700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2">
        <v>10</v>
      </c>
      <c r="C33" s="463" t="s">
        <v>592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3">
        <f>F21*5</f>
        <v>5</v>
      </c>
      <c r="G33" s="307">
        <f ca="1">IF(ISERROR(OFFSET('HARGA SATUAN'!$I$6,MATCH(RAB!C33,'HARGA SATUAN'!$C$7:$C$1495,0),0)),0,OFFSET('HARGA SATUAN'!$I$6,MATCH(RAB!C33,'HARGA SATUAN'!$C$7:$C$1495,0),0))</f>
        <v>283100</v>
      </c>
      <c r="H33" s="308">
        <f t="shared" ca="1" si="9"/>
        <v>0</v>
      </c>
      <c r="I33" s="308">
        <f t="shared" ca="1" si="10"/>
        <v>1415500</v>
      </c>
      <c r="J33" s="308">
        <f t="shared" ca="1" si="11"/>
        <v>0</v>
      </c>
      <c r="K33" s="309">
        <f t="shared" ca="1" si="12"/>
        <v>1415500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2">
        <v>11</v>
      </c>
      <c r="C34" s="463" t="s">
        <v>593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3">
        <f>F21*4</f>
        <v>4</v>
      </c>
      <c r="G34" s="307">
        <f ca="1">IF(ISERROR(OFFSET('HARGA SATUAN'!$I$6,MATCH(RAB!C34,'HARGA SATUAN'!$C$7:$C$1495,0),0)),0,OFFSET('HARGA SATUAN'!$I$6,MATCH(RAB!C34,'HARGA SATUAN'!$C$7:$C$1495,0),0))</f>
        <v>380500</v>
      </c>
      <c r="H34" s="308">
        <f t="shared" ca="1" si="9"/>
        <v>0</v>
      </c>
      <c r="I34" s="308">
        <f t="shared" ca="1" si="10"/>
        <v>1522000</v>
      </c>
      <c r="J34" s="308">
        <f t="shared" ca="1" si="11"/>
        <v>0</v>
      </c>
      <c r="K34" s="309">
        <f t="shared" ca="1" si="12"/>
        <v>1522000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2">
        <v>12</v>
      </c>
      <c r="C35" s="463" t="s">
        <v>208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3">
        <f>F21*3</f>
        <v>3</v>
      </c>
      <c r="G35" s="307">
        <f ca="1">IF(ISERROR(OFFSET('HARGA SATUAN'!$I$6,MATCH(RAB!C35,'HARGA SATUAN'!$C$7:$C$1495,0),0)),0,OFFSET('HARGA SATUAN'!$I$6,MATCH(RAB!C35,'HARGA SATUAN'!$C$7:$C$1495,0),0))</f>
        <v>173400</v>
      </c>
      <c r="H35" s="308">
        <f t="shared" ca="1" si="9"/>
        <v>0</v>
      </c>
      <c r="I35" s="308">
        <f t="shared" ca="1" si="10"/>
        <v>520200</v>
      </c>
      <c r="J35" s="308">
        <f t="shared" ca="1" si="11"/>
        <v>0</v>
      </c>
      <c r="K35" s="309">
        <f t="shared" ca="1" si="12"/>
        <v>520200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2">
        <v>13</v>
      </c>
      <c r="C36" s="463" t="s">
        <v>247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3">
        <f>F21*2</f>
        <v>2</v>
      </c>
      <c r="G36" s="307">
        <f ca="1">IF(ISERROR(OFFSET('HARGA SATUAN'!$I$6,MATCH(RAB!C36,'HARGA SATUAN'!$C$7:$C$1495,0),0)),0,OFFSET('HARGA SATUAN'!$I$6,MATCH(RAB!C36,'HARGA SATUAN'!$C$7:$C$1495,0),0))</f>
        <v>57690</v>
      </c>
      <c r="H36" s="308">
        <f t="shared" ca="1" si="9"/>
        <v>0</v>
      </c>
      <c r="I36" s="308">
        <f t="shared" ca="1" si="10"/>
        <v>115380</v>
      </c>
      <c r="J36" s="308">
        <f t="shared" ca="1" si="11"/>
        <v>0</v>
      </c>
      <c r="K36" s="309">
        <f t="shared" ca="1" si="12"/>
        <v>115380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2">
        <v>14</v>
      </c>
      <c r="C37" s="463" t="s">
        <v>234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3">
        <f>F21*2</f>
        <v>2</v>
      </c>
      <c r="G37" s="307">
        <f ca="1">IF(ISERROR(OFFSET('HARGA SATUAN'!$I$6,MATCH(RAB!C37,'HARGA SATUAN'!$C$7:$C$1495,0),0)),0,OFFSET('HARGA SATUAN'!$I$6,MATCH(RAB!C37,'HARGA SATUAN'!$C$7:$C$1495,0),0))</f>
        <v>67500</v>
      </c>
      <c r="H37" s="308">
        <f t="shared" ca="1" si="9"/>
        <v>0</v>
      </c>
      <c r="I37" s="308">
        <f t="shared" ca="1" si="10"/>
        <v>135000</v>
      </c>
      <c r="J37" s="308">
        <f t="shared" ca="1" si="11"/>
        <v>0</v>
      </c>
      <c r="K37" s="309">
        <f t="shared" ca="1" si="12"/>
        <v>135000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2">
        <v>15</v>
      </c>
      <c r="C38" s="463" t="s">
        <v>267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3">
        <f>F21*4</f>
        <v>4</v>
      </c>
      <c r="G38" s="307">
        <f ca="1">IF(ISERROR(OFFSET('HARGA SATUAN'!$I$6,MATCH(RAB!C38,'HARGA SATUAN'!$C$7:$C$1495,0),0)),0,OFFSET('HARGA SATUAN'!$I$6,MATCH(RAB!C38,'HARGA SATUAN'!$C$7:$C$1495,0),0))</f>
        <v>129000</v>
      </c>
      <c r="H38" s="308">
        <f t="shared" ca="1" si="9"/>
        <v>0</v>
      </c>
      <c r="I38" s="308">
        <f t="shared" ca="1" si="10"/>
        <v>516000</v>
      </c>
      <c r="J38" s="308">
        <f t="shared" ca="1" si="11"/>
        <v>0</v>
      </c>
      <c r="K38" s="309">
        <f t="shared" ca="1" si="12"/>
        <v>516000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2">
        <v>16</v>
      </c>
      <c r="C39" s="463" t="s">
        <v>607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3">
        <f>F21*1</f>
        <v>1</v>
      </c>
      <c r="G39" s="307">
        <f ca="1">IF(ISERROR(OFFSET('HARGA SATUAN'!$I$6,MATCH(RAB!C39,'HARGA SATUAN'!$C$7:$C$1495,0),0)),0,OFFSET('HARGA SATUAN'!$I$6,MATCH(RAB!C39,'HARGA SATUAN'!$C$7:$C$1495,0),0))</f>
        <v>250000</v>
      </c>
      <c r="H39" s="308">
        <f t="shared" ca="1" si="9"/>
        <v>0</v>
      </c>
      <c r="I39" s="308">
        <f t="shared" ca="1" si="10"/>
        <v>250000</v>
      </c>
      <c r="J39" s="308">
        <f t="shared" ca="1" si="11"/>
        <v>0</v>
      </c>
      <c r="K39" s="309">
        <f t="shared" ca="1" si="12"/>
        <v>250000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62">
        <v>17</v>
      </c>
      <c r="C40" s="463" t="s">
        <v>783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3"/>
      <c r="G40" s="307">
        <f ca="1">IF(ISERROR(OFFSET('HARGA SATUAN'!$I$6,MATCH(RAB!C40,'HARGA SATUAN'!$C$7:$C$1495,0),0)),0,OFFSET('HARGA SATUAN'!$I$6,MATCH(RAB!C40,'HARGA SATUAN'!$C$7:$C$1495,0),0))</f>
        <v>1182800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62"/>
      <c r="C41" s="463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9" t="s">
        <v>1035</v>
      </c>
      <c r="C42" s="520" t="s">
        <v>1635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>Unit</v>
      </c>
      <c r="F42" s="453">
        <v>2</v>
      </c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9">
        <v>1</v>
      </c>
      <c r="C43" s="520" t="s">
        <v>595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3">
        <f>F42*1</f>
        <v>2</v>
      </c>
      <c r="G43" s="307">
        <f ca="1">IF(ISERROR(OFFSET('HARGA SATUAN'!$I$6,MATCH(RAB!C43,'HARGA SATUAN'!$C$7:$C$1495,0),0)),0,OFFSET('HARGA SATUAN'!$I$6,MATCH(RAB!C43,'HARGA SATUAN'!$C$7:$C$1495,0),0))</f>
        <v>78500</v>
      </c>
      <c r="H43" s="308">
        <f t="shared" ca="1" si="9"/>
        <v>0</v>
      </c>
      <c r="I43" s="308">
        <f t="shared" ca="1" si="10"/>
        <v>157000</v>
      </c>
      <c r="J43" s="308">
        <f t="shared" ca="1" si="11"/>
        <v>0</v>
      </c>
      <c r="K43" s="309">
        <f t="shared" ca="1" si="12"/>
        <v>157000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9">
        <v>2</v>
      </c>
      <c r="C44" s="520" t="s">
        <v>229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3">
        <f>F42*1</f>
        <v>2</v>
      </c>
      <c r="G44" s="307">
        <f ca="1">IF(ISERROR(OFFSET('HARGA SATUAN'!$I$6,MATCH(RAB!C44,'HARGA SATUAN'!$C$7:$C$1495,0),0)),0,OFFSET('HARGA SATUAN'!$I$6,MATCH(RAB!C44,'HARGA SATUAN'!$C$7:$C$1495,0),0))</f>
        <v>4212</v>
      </c>
      <c r="H44" s="308">
        <f t="shared" ca="1" si="9"/>
        <v>0</v>
      </c>
      <c r="I44" s="308">
        <f t="shared" ca="1" si="10"/>
        <v>8424</v>
      </c>
      <c r="J44" s="308">
        <f t="shared" ca="1" si="11"/>
        <v>0</v>
      </c>
      <c r="K44" s="309">
        <f t="shared" ca="1" si="12"/>
        <v>8424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9">
        <v>3</v>
      </c>
      <c r="C45" s="520" t="s">
        <v>266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53">
        <f>F42*1</f>
        <v>2</v>
      </c>
      <c r="G45" s="307">
        <f ca="1">IF(ISERROR(OFFSET('HARGA SATUAN'!$I$6,MATCH(RAB!C45,'HARGA SATUAN'!$C$7:$C$1495,0),0)),0,OFFSET('HARGA SATUAN'!$I$6,MATCH(RAB!C45,'HARGA SATUAN'!$C$7:$C$1495,0),0))</f>
        <v>23310</v>
      </c>
      <c r="H45" s="308">
        <f t="shared" ca="1" si="9"/>
        <v>0</v>
      </c>
      <c r="I45" s="308">
        <f t="shared" ca="1" si="10"/>
        <v>46620</v>
      </c>
      <c r="J45" s="308">
        <f t="shared" ca="1" si="11"/>
        <v>0</v>
      </c>
      <c r="K45" s="309">
        <f t="shared" ca="1" si="12"/>
        <v>46620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9">
        <v>4</v>
      </c>
      <c r="C46" s="520" t="s">
        <v>35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3">
        <f>F42*1</f>
        <v>2</v>
      </c>
      <c r="G46" s="307">
        <f ca="1">IF(ISERROR(OFFSET('HARGA SATUAN'!$I$6,MATCH(RAB!C46,'HARGA SATUAN'!$C$7:$C$1495,0),0)),0,OFFSET('HARGA SATUAN'!$I$6,MATCH(RAB!C46,'HARGA SATUAN'!$C$7:$C$1495,0),0))</f>
        <v>2300</v>
      </c>
      <c r="H46" s="308">
        <f t="shared" ca="1" si="9"/>
        <v>0</v>
      </c>
      <c r="I46" s="308">
        <f t="shared" ca="1" si="10"/>
        <v>4600</v>
      </c>
      <c r="J46" s="308">
        <f t="shared" ca="1" si="11"/>
        <v>0</v>
      </c>
      <c r="K46" s="309">
        <f t="shared" ca="1" si="12"/>
        <v>4600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9">
        <v>5</v>
      </c>
      <c r="C47" s="520" t="s">
        <v>630</v>
      </c>
      <c r="D47" s="305" t="str">
        <f ca="1">IF(ISERROR(OFFSET('HARGA SATUAN'!$D$6,MATCH(RAB!C47,'HARGA SATUAN'!$C$7:$C$1495,0),0)),"",OFFSET('HARGA SATUAN'!$D$6,MATCH(RAB!C47,'HARGA SATUAN'!$C$7:$C$1495,0),0))</f>
        <v>JASA</v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453">
        <f>F42*1</f>
        <v>2</v>
      </c>
      <c r="G47" s="307">
        <f ca="1">IF(ISERROR(OFFSET('HARGA SATUAN'!$I$6,MATCH(RAB!C47,'HARGA SATUAN'!$C$7:$C$1495,0),0)),0,OFFSET('HARGA SATUAN'!$I$6,MATCH(RAB!C47,'HARGA SATUAN'!$C$7:$C$1495,0),0))</f>
        <v>35700</v>
      </c>
      <c r="H47" s="308">
        <f t="shared" ca="1" si="9"/>
        <v>0</v>
      </c>
      <c r="I47" s="308">
        <f t="shared" ca="1" si="10"/>
        <v>0</v>
      </c>
      <c r="J47" s="308">
        <f t="shared" ca="1" si="11"/>
        <v>71400</v>
      </c>
      <c r="K47" s="309">
        <f t="shared" ca="1" si="12"/>
        <v>71400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462"/>
      <c r="C48" s="463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3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9" t="s">
        <v>1035</v>
      </c>
      <c r="C49" s="520" t="s">
        <v>1636</v>
      </c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>Unit</v>
      </c>
      <c r="F49" s="453">
        <v>1</v>
      </c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9"/>
        <v>0</v>
      </c>
      <c r="I49" s="308">
        <f t="shared" ca="1" si="10"/>
        <v>0</v>
      </c>
      <c r="J49" s="308">
        <f t="shared" ca="1" si="11"/>
        <v>0</v>
      </c>
      <c r="K49" s="309">
        <f t="shared" ca="1" si="12"/>
        <v>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9">
        <v>1</v>
      </c>
      <c r="C50" s="520" t="s">
        <v>30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3">
        <f>F49*1</f>
        <v>1</v>
      </c>
      <c r="G50" s="307">
        <f ca="1">IF(ISERROR(OFFSET('HARGA SATUAN'!$I$6,MATCH(RAB!C50,'HARGA SATUAN'!$C$7:$C$1495,0),0)),0,OFFSET('HARGA SATUAN'!$I$6,MATCH(RAB!C50,'HARGA SATUAN'!$C$7:$C$1495,0),0))</f>
        <v>47459</v>
      </c>
      <c r="H50" s="308">
        <f t="shared" ca="1" si="9"/>
        <v>0</v>
      </c>
      <c r="I50" s="308">
        <f t="shared" ca="1" si="10"/>
        <v>47459</v>
      </c>
      <c r="J50" s="308">
        <f t="shared" ca="1" si="11"/>
        <v>0</v>
      </c>
      <c r="K50" s="309">
        <f t="shared" ca="1" si="12"/>
        <v>47459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9">
        <v>2</v>
      </c>
      <c r="C51" s="520" t="s">
        <v>32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53">
        <f>F49*0.8</f>
        <v>0.8</v>
      </c>
      <c r="G51" s="307">
        <f ca="1">IF(ISERROR(OFFSET('HARGA SATUAN'!$I$6,MATCH(RAB!C51,'HARGA SATUAN'!$C$7:$C$1495,0),0)),0,OFFSET('HARGA SATUAN'!$I$6,MATCH(RAB!C51,'HARGA SATUAN'!$C$7:$C$1495,0),0))</f>
        <v>30000</v>
      </c>
      <c r="H51" s="308">
        <f t="shared" ca="1" si="9"/>
        <v>0</v>
      </c>
      <c r="I51" s="308">
        <f t="shared" ca="1" si="10"/>
        <v>24000</v>
      </c>
      <c r="J51" s="308">
        <f t="shared" ca="1" si="11"/>
        <v>0</v>
      </c>
      <c r="K51" s="309">
        <f t="shared" ca="1" si="12"/>
        <v>24000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19">
        <v>3</v>
      </c>
      <c r="C52" s="520" t="s">
        <v>33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3">
        <f>F49*1</f>
        <v>1</v>
      </c>
      <c r="G52" s="307">
        <f ca="1">IF(ISERROR(OFFSET('HARGA SATUAN'!$I$6,MATCH(RAB!C52,'HARGA SATUAN'!$C$7:$C$1495,0),0)),0,OFFSET('HARGA SATUAN'!$I$6,MATCH(RAB!C52,'HARGA SATUAN'!$C$7:$C$1495,0),0))</f>
        <v>9500</v>
      </c>
      <c r="H52" s="308">
        <f t="shared" ca="1" si="9"/>
        <v>0</v>
      </c>
      <c r="I52" s="308">
        <f t="shared" ca="1" si="10"/>
        <v>9500</v>
      </c>
      <c r="J52" s="308">
        <f t="shared" ca="1" si="11"/>
        <v>0</v>
      </c>
      <c r="K52" s="309">
        <f t="shared" ca="1" si="12"/>
        <v>9500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19">
        <v>4</v>
      </c>
      <c r="C53" s="520" t="s">
        <v>737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3">
        <f>F49*1</f>
        <v>1</v>
      </c>
      <c r="G53" s="307">
        <f ca="1">IF(ISERROR(OFFSET('HARGA SATUAN'!$I$6,MATCH(RAB!C53,'HARGA SATUAN'!$C$7:$C$1495,0),0)),0,OFFSET('HARGA SATUAN'!$I$6,MATCH(RAB!C53,'HARGA SATUAN'!$C$7:$C$1495,0),0))</f>
        <v>16200</v>
      </c>
      <c r="H53" s="308">
        <f t="shared" ca="1" si="9"/>
        <v>0</v>
      </c>
      <c r="I53" s="308">
        <f t="shared" ca="1" si="10"/>
        <v>0</v>
      </c>
      <c r="J53" s="308">
        <f t="shared" ca="1" si="11"/>
        <v>16200</v>
      </c>
      <c r="K53" s="309">
        <f t="shared" ca="1" si="12"/>
        <v>16200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318"/>
      <c r="C54" s="319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20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ref="H54:H63" ca="1" si="14">IF(OR(D54="MDU",D54="MDU-KD"),(IF($O$3="RAB NON MDU","PLN KD",G54*F54)),0)</f>
        <v>0</v>
      </c>
      <c r="I54" s="308">
        <f t="shared" ref="I54:I63" ca="1" si="15">IF(D54="HDW",G54*F54,0)</f>
        <v>0</v>
      </c>
      <c r="J54" s="308">
        <f t="shared" ref="J54:J63" ca="1" si="16">IF(D54="JASA",G54*F54,0)</f>
        <v>0</v>
      </c>
      <c r="K54" s="309">
        <f t="shared" ref="K54:K63" ca="1" si="17">SUM(H54:J54)</f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318" t="s">
        <v>1035</v>
      </c>
      <c r="C55" s="319" t="s">
        <v>1613</v>
      </c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53">
        <v>2</v>
      </c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4"/>
        <v>0</v>
      </c>
      <c r="I55" s="308">
        <f t="shared" ca="1" si="15"/>
        <v>0</v>
      </c>
      <c r="J55" s="308">
        <f t="shared" ca="1" si="16"/>
        <v>0</v>
      </c>
      <c r="K55" s="309">
        <f t="shared" ca="1" si="17"/>
        <v>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>
        <v>1</v>
      </c>
      <c r="C56" s="319" t="s">
        <v>29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3">
        <f>F55*1</f>
        <v>2</v>
      </c>
      <c r="G56" s="307">
        <f ca="1">IF(ISERROR(OFFSET('HARGA SATUAN'!$I$6,MATCH(RAB!C56,'HARGA SATUAN'!$C$7:$C$1495,0),0)),0,OFFSET('HARGA SATUAN'!$I$6,MATCH(RAB!C56,'HARGA SATUAN'!$C$7:$C$1495,0),0))</f>
        <v>185200</v>
      </c>
      <c r="H56" s="308">
        <f t="shared" ca="1" si="14"/>
        <v>0</v>
      </c>
      <c r="I56" s="308">
        <f t="shared" ca="1" si="15"/>
        <v>370400</v>
      </c>
      <c r="J56" s="308">
        <f t="shared" ca="1" si="16"/>
        <v>0</v>
      </c>
      <c r="K56" s="309">
        <f t="shared" ca="1" si="17"/>
        <v>370400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>
        <v>2</v>
      </c>
      <c r="C57" s="319" t="s">
        <v>30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3">
        <f>F55*1</f>
        <v>2</v>
      </c>
      <c r="G57" s="307">
        <f ca="1">IF(ISERROR(OFFSET('HARGA SATUAN'!$I$6,MATCH(RAB!C57,'HARGA SATUAN'!$C$7:$C$1495,0),0)),0,OFFSET('HARGA SATUAN'!$I$6,MATCH(RAB!C57,'HARGA SATUAN'!$C$7:$C$1495,0),0))</f>
        <v>47459</v>
      </c>
      <c r="H57" s="308">
        <f t="shared" ca="1" si="14"/>
        <v>0</v>
      </c>
      <c r="I57" s="308">
        <f t="shared" ca="1" si="15"/>
        <v>94918</v>
      </c>
      <c r="J57" s="308">
        <f t="shared" ca="1" si="16"/>
        <v>0</v>
      </c>
      <c r="K57" s="309">
        <f t="shared" ca="1" si="17"/>
        <v>94918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>
        <v>3</v>
      </c>
      <c r="C58" s="319" t="s">
        <v>31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3">
        <f>F55*1</f>
        <v>2</v>
      </c>
      <c r="G58" s="307">
        <f ca="1">IF(ISERROR(OFFSET('HARGA SATUAN'!$I$6,MATCH(RAB!C58,'HARGA SATUAN'!$C$7:$C$1495,0),0)),0,OFFSET('HARGA SATUAN'!$I$6,MATCH(RAB!C58,'HARGA SATUAN'!$C$7:$C$1495,0),0))</f>
        <v>4880</v>
      </c>
      <c r="H58" s="308">
        <f t="shared" ca="1" si="14"/>
        <v>0</v>
      </c>
      <c r="I58" s="308">
        <f t="shared" ca="1" si="15"/>
        <v>9760</v>
      </c>
      <c r="J58" s="308">
        <f t="shared" ca="1" si="16"/>
        <v>0</v>
      </c>
      <c r="K58" s="309">
        <f t="shared" ca="1" si="17"/>
        <v>9760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>
        <v>4</v>
      </c>
      <c r="C59" s="319" t="s">
        <v>32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Mtr</v>
      </c>
      <c r="F59" s="453">
        <f>F55*10</f>
        <v>20</v>
      </c>
      <c r="G59" s="307">
        <f ca="1">IF(ISERROR(OFFSET('HARGA SATUAN'!$I$6,MATCH(RAB!C59,'HARGA SATUAN'!$C$7:$C$1495,0),0)),0,OFFSET('HARGA SATUAN'!$I$6,MATCH(RAB!C59,'HARGA SATUAN'!$C$7:$C$1495,0),0))</f>
        <v>30000</v>
      </c>
      <c r="H59" s="308">
        <f t="shared" ca="1" si="14"/>
        <v>0</v>
      </c>
      <c r="I59" s="308">
        <f t="shared" ca="1" si="15"/>
        <v>600000</v>
      </c>
      <c r="J59" s="308">
        <f t="shared" ca="1" si="16"/>
        <v>0</v>
      </c>
      <c r="K59" s="309">
        <f t="shared" ca="1" si="17"/>
        <v>600000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318">
        <v>5</v>
      </c>
      <c r="C60" s="319" t="s">
        <v>33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3">
        <f>F55*2</f>
        <v>4</v>
      </c>
      <c r="G60" s="307">
        <f ca="1">IF(ISERROR(OFFSET('HARGA SATUAN'!$I$6,MATCH(RAB!C60,'HARGA SATUAN'!$C$7:$C$1495,0),0)),0,OFFSET('HARGA SATUAN'!$I$6,MATCH(RAB!C60,'HARGA SATUAN'!$C$7:$C$1495,0),0))</f>
        <v>9500</v>
      </c>
      <c r="H60" s="308">
        <f t="shared" ca="1" si="14"/>
        <v>0</v>
      </c>
      <c r="I60" s="308">
        <f t="shared" ca="1" si="15"/>
        <v>38000</v>
      </c>
      <c r="J60" s="308">
        <f t="shared" ca="1" si="16"/>
        <v>0</v>
      </c>
      <c r="K60" s="309">
        <f t="shared" ca="1" si="17"/>
        <v>38000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318">
        <v>6</v>
      </c>
      <c r="C61" s="319" t="s">
        <v>34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3">
        <f>F55*5.5</f>
        <v>11</v>
      </c>
      <c r="G61" s="307">
        <f ca="1">IF(ISERROR(OFFSET('HARGA SATUAN'!$I$6,MATCH(RAB!C61,'HARGA SATUAN'!$C$7:$C$1495,0),0)),0,OFFSET('HARGA SATUAN'!$I$6,MATCH(RAB!C61,'HARGA SATUAN'!$C$7:$C$1495,0),0))</f>
        <v>6100</v>
      </c>
      <c r="H61" s="308">
        <f t="shared" ca="1" si="14"/>
        <v>0</v>
      </c>
      <c r="I61" s="308">
        <f t="shared" ca="1" si="15"/>
        <v>67100</v>
      </c>
      <c r="J61" s="308">
        <f t="shared" ca="1" si="16"/>
        <v>0</v>
      </c>
      <c r="K61" s="309">
        <f t="shared" ca="1" si="17"/>
        <v>67100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>
        <v>7</v>
      </c>
      <c r="C62" s="319" t="s">
        <v>35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3">
        <f>F55*6</f>
        <v>12</v>
      </c>
      <c r="G62" s="307">
        <f ca="1">IF(ISERROR(OFFSET('HARGA SATUAN'!$I$6,MATCH(RAB!C62,'HARGA SATUAN'!$C$7:$C$1495,0),0)),0,OFFSET('HARGA SATUAN'!$I$6,MATCH(RAB!C62,'HARGA SATUAN'!$C$7:$C$1495,0),0))</f>
        <v>2300</v>
      </c>
      <c r="H62" s="308">
        <f t="shared" ca="1" si="14"/>
        <v>0</v>
      </c>
      <c r="I62" s="308">
        <f t="shared" ca="1" si="15"/>
        <v>27600</v>
      </c>
      <c r="J62" s="308">
        <f t="shared" ca="1" si="16"/>
        <v>0</v>
      </c>
      <c r="K62" s="309">
        <f t="shared" ca="1" si="17"/>
        <v>27600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>
        <v>8</v>
      </c>
      <c r="C63" s="319" t="s">
        <v>1618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53">
        <f>F55*4.8</f>
        <v>9.6</v>
      </c>
      <c r="G63" s="307">
        <f ca="1">IF(ISERROR(OFFSET('HARGA SATUAN'!$I$6,MATCH(RAB!C63,'HARGA SATUAN'!$C$7:$C$1495,0),0)),0,OFFSET('HARGA SATUAN'!$I$6,MATCH(RAB!C63,'HARGA SATUAN'!$C$7:$C$1495,0),0))</f>
        <v>23310</v>
      </c>
      <c r="H63" s="308">
        <f t="shared" ca="1" si="14"/>
        <v>0</v>
      </c>
      <c r="I63" s="308">
        <f t="shared" ca="1" si="15"/>
        <v>223776</v>
      </c>
      <c r="J63" s="308">
        <f t="shared" ca="1" si="16"/>
        <v>0</v>
      </c>
      <c r="K63" s="309">
        <f t="shared" ca="1" si="17"/>
        <v>223776</v>
      </c>
      <c r="L63" s="316"/>
      <c r="M63" s="289" t="e">
        <f>IF(AND(F63&gt;0,#REF!=0),"",IF(AND(ISBLANK(F63)=FALSE,K63=0),"WARNING",""))</f>
        <v>#REF!</v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21">
        <v>9</v>
      </c>
      <c r="C64" s="418" t="s">
        <v>736</v>
      </c>
      <c r="D64" s="305" t="str">
        <f ca="1">IF(ISERROR(OFFSET('HARGA SATUAN'!$D$6,MATCH(RAB!C64,'HARGA SATUAN'!$C$7:$C$1495,0),0)),"",OFFSET('HARGA SATUAN'!$D$6,MATCH(RAB!C64,'HARGA SATUAN'!$C$7:$C$1495,0),0))</f>
        <v>JASA</v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453">
        <f>F55*1</f>
        <v>2</v>
      </c>
      <c r="G64" s="307">
        <f ca="1">IF(ISERROR(OFFSET('HARGA SATUAN'!$I$6,MATCH(RAB!C64,'HARGA SATUAN'!$C$7:$C$1495,0),0)),0,OFFSET('HARGA SATUAN'!$I$6,MATCH(RAB!C64,'HARGA SATUAN'!$C$7:$C$1495,0),0))</f>
        <v>65400</v>
      </c>
      <c r="H64" s="308">
        <f t="shared" ref="H64:H85" ca="1" si="18">IF(OR(D64="MDU",D64="MDU-KD"),(IF($O$3="RAB NON MDU","PLN KD",G64*F64)),0)</f>
        <v>0</v>
      </c>
      <c r="I64" s="308">
        <f t="shared" ref="I64:I85" ca="1" si="19">IF(D64="HDW",G64*F64,0)</f>
        <v>0</v>
      </c>
      <c r="J64" s="308">
        <f t="shared" ref="J64:J85" ca="1" si="20">IF(D64="JASA",G64*F64,0)</f>
        <v>130800</v>
      </c>
      <c r="K64" s="309">
        <f t="shared" ref="K64:K85" ca="1" si="21">SUM(H64:J64)</f>
        <v>130800</v>
      </c>
      <c r="L64" s="316"/>
      <c r="M64" s="289" t="e">
        <f>IF(AND(F64&gt;0,#REF!=0),"",IF(AND(ISBLANK(F64)=FALSE,K64=0),"WARNING",""))</f>
        <v>#REF!</v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21">
        <v>10</v>
      </c>
      <c r="C65" s="418" t="s">
        <v>1617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455"/>
      <c r="G65" s="307">
        <f ca="1">IF(ISERROR(OFFSET('HARGA SATUAN'!$I$6,MATCH(RAB!C65,'HARGA SATUAN'!$C$7:$C$1495,0),0)),0,OFFSET('HARGA SATUAN'!$I$6,MATCH(RAB!C65,'HARGA SATUAN'!$C$7:$C$1495,0),0))</f>
        <v>49000</v>
      </c>
      <c r="H65" s="308">
        <f t="shared" ca="1" si="18"/>
        <v>0</v>
      </c>
      <c r="I65" s="308">
        <f t="shared" ca="1" si="19"/>
        <v>0</v>
      </c>
      <c r="J65" s="308">
        <f t="shared" ca="1" si="20"/>
        <v>0</v>
      </c>
      <c r="K65" s="309">
        <f t="shared" ca="1" si="21"/>
        <v>0</v>
      </c>
      <c r="L65" s="316"/>
      <c r="M65" s="289" t="str">
        <f t="shared" ref="M65:M104" ca="1" si="22">IF(AND(F65&gt;0,F64=0),"",IF(AND(ISBLANK(F65)=FALSE,K65=0),"WARNING",""))</f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50"/>
      <c r="C66" s="451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5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8"/>
        <v>0</v>
      </c>
      <c r="I66" s="308">
        <f t="shared" ca="1" si="19"/>
        <v>0</v>
      </c>
      <c r="J66" s="308">
        <f t="shared" ca="1" si="20"/>
        <v>0</v>
      </c>
      <c r="K66" s="309">
        <f t="shared" ca="1" si="21"/>
        <v>0</v>
      </c>
      <c r="L66" s="316"/>
      <c r="M66" s="289" t="str">
        <f t="shared" ca="1" si="22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50"/>
      <c r="C67" s="451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5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8"/>
        <v>0</v>
      </c>
      <c r="I67" s="308">
        <f t="shared" ca="1" si="19"/>
        <v>0</v>
      </c>
      <c r="J67" s="308">
        <f t="shared" ca="1" si="20"/>
        <v>0</v>
      </c>
      <c r="K67" s="309">
        <f t="shared" ca="1" si="21"/>
        <v>0</v>
      </c>
      <c r="L67" s="316"/>
      <c r="M67" s="289" t="str">
        <f t="shared" ca="1" si="2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50"/>
      <c r="C68" s="451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5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8"/>
        <v>0</v>
      </c>
      <c r="I68" s="308">
        <f t="shared" ca="1" si="19"/>
        <v>0</v>
      </c>
      <c r="J68" s="308">
        <f t="shared" ca="1" si="20"/>
        <v>0</v>
      </c>
      <c r="K68" s="309">
        <f t="shared" ca="1" si="21"/>
        <v>0</v>
      </c>
      <c r="L68" s="316"/>
      <c r="M68" s="289" t="str">
        <f t="shared" ca="1" si="2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50"/>
      <c r="C69" s="451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5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8"/>
        <v>0</v>
      </c>
      <c r="I69" s="308">
        <f t="shared" ca="1" si="19"/>
        <v>0</v>
      </c>
      <c r="J69" s="308">
        <f t="shared" ca="1" si="20"/>
        <v>0</v>
      </c>
      <c r="K69" s="309">
        <f t="shared" ca="1" si="21"/>
        <v>0</v>
      </c>
      <c r="L69" s="316"/>
      <c r="M69" s="289" t="str">
        <f t="shared" ca="1" si="2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50"/>
      <c r="C70" s="451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5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8"/>
        <v>0</v>
      </c>
      <c r="I70" s="308">
        <f t="shared" ca="1" si="19"/>
        <v>0</v>
      </c>
      <c r="J70" s="308">
        <f t="shared" ca="1" si="20"/>
        <v>0</v>
      </c>
      <c r="K70" s="309">
        <f t="shared" ca="1" si="21"/>
        <v>0</v>
      </c>
      <c r="L70" s="316"/>
      <c r="M70" s="289" t="str">
        <f t="shared" ca="1" si="2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50"/>
      <c r="C71" s="451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5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8"/>
        <v>0</v>
      </c>
      <c r="I71" s="308">
        <f t="shared" ca="1" si="19"/>
        <v>0</v>
      </c>
      <c r="J71" s="308">
        <f t="shared" ca="1" si="20"/>
        <v>0</v>
      </c>
      <c r="K71" s="309">
        <f t="shared" ca="1" si="21"/>
        <v>0</v>
      </c>
      <c r="L71" s="316"/>
      <c r="M71" s="289" t="str">
        <f t="shared" ca="1" si="2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50"/>
      <c r="C72" s="451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5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8"/>
        <v>0</v>
      </c>
      <c r="I72" s="308">
        <f t="shared" ca="1" si="19"/>
        <v>0</v>
      </c>
      <c r="J72" s="308">
        <f t="shared" ca="1" si="20"/>
        <v>0</v>
      </c>
      <c r="K72" s="309">
        <f t="shared" ca="1" si="21"/>
        <v>0</v>
      </c>
      <c r="L72" s="316"/>
      <c r="M72" s="289" t="str">
        <f t="shared" ca="1" si="22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50"/>
      <c r="C73" s="451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5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8"/>
        <v>0</v>
      </c>
      <c r="I73" s="308">
        <f t="shared" ca="1" si="19"/>
        <v>0</v>
      </c>
      <c r="J73" s="308">
        <f t="shared" ca="1" si="20"/>
        <v>0</v>
      </c>
      <c r="K73" s="309">
        <f t="shared" ca="1" si="21"/>
        <v>0</v>
      </c>
      <c r="L73" s="316"/>
      <c r="M73" s="289" t="str">
        <f t="shared" ca="1" si="2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50"/>
      <c r="C74" s="451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5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8"/>
        <v>0</v>
      </c>
      <c r="I74" s="308">
        <f t="shared" ca="1" si="19"/>
        <v>0</v>
      </c>
      <c r="J74" s="308">
        <f t="shared" ca="1" si="20"/>
        <v>0</v>
      </c>
      <c r="K74" s="309">
        <f t="shared" ca="1" si="21"/>
        <v>0</v>
      </c>
      <c r="L74" s="316"/>
      <c r="M74" s="289" t="str">
        <f t="shared" ca="1" si="22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50"/>
      <c r="C75" s="451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5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8"/>
        <v>0</v>
      </c>
      <c r="I75" s="308">
        <f t="shared" ca="1" si="19"/>
        <v>0</v>
      </c>
      <c r="J75" s="308">
        <f t="shared" ca="1" si="20"/>
        <v>0</v>
      </c>
      <c r="K75" s="309">
        <f t="shared" ca="1" si="21"/>
        <v>0</v>
      </c>
      <c r="L75" s="316"/>
      <c r="M75" s="289" t="str">
        <f t="shared" ca="1" si="22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50"/>
      <c r="C76" s="451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18"/>
        <v>0</v>
      </c>
      <c r="I76" s="308">
        <f t="shared" ca="1" si="19"/>
        <v>0</v>
      </c>
      <c r="J76" s="308">
        <f t="shared" ca="1" si="20"/>
        <v>0</v>
      </c>
      <c r="K76" s="309">
        <f t="shared" ca="1" si="21"/>
        <v>0</v>
      </c>
      <c r="L76" s="316"/>
      <c r="M76" s="289" t="str">
        <f t="shared" ca="1" si="22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50"/>
      <c r="C77" s="451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18"/>
        <v>0</v>
      </c>
      <c r="I77" s="308">
        <f t="shared" ca="1" si="19"/>
        <v>0</v>
      </c>
      <c r="J77" s="308">
        <f t="shared" ca="1" si="20"/>
        <v>0</v>
      </c>
      <c r="K77" s="309">
        <f t="shared" ca="1" si="21"/>
        <v>0</v>
      </c>
      <c r="L77" s="316"/>
      <c r="M77" s="289" t="str">
        <f t="shared" ca="1" si="22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50"/>
      <c r="C78" s="451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18"/>
        <v>0</v>
      </c>
      <c r="I78" s="308">
        <f t="shared" ca="1" si="19"/>
        <v>0</v>
      </c>
      <c r="J78" s="308">
        <f t="shared" ca="1" si="20"/>
        <v>0</v>
      </c>
      <c r="K78" s="309">
        <f t="shared" ca="1" si="21"/>
        <v>0</v>
      </c>
      <c r="L78" s="316"/>
      <c r="M78" s="289" t="str">
        <f t="shared" ca="1" si="22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50"/>
      <c r="C79" s="451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8"/>
        <v>0</v>
      </c>
      <c r="I79" s="308">
        <f t="shared" ca="1" si="19"/>
        <v>0</v>
      </c>
      <c r="J79" s="308">
        <f t="shared" ca="1" si="20"/>
        <v>0</v>
      </c>
      <c r="K79" s="309">
        <f t="shared" ca="1" si="21"/>
        <v>0</v>
      </c>
      <c r="L79" s="316"/>
      <c r="M79" s="289" t="str">
        <f t="shared" ca="1" si="22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50"/>
      <c r="C80" s="451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18"/>
        <v>0</v>
      </c>
      <c r="I80" s="308">
        <f t="shared" ca="1" si="19"/>
        <v>0</v>
      </c>
      <c r="J80" s="308">
        <f t="shared" ca="1" si="20"/>
        <v>0</v>
      </c>
      <c r="K80" s="309">
        <f t="shared" ca="1" si="21"/>
        <v>0</v>
      </c>
      <c r="L80" s="316"/>
      <c r="M80" s="289" t="str">
        <f t="shared" ca="1" si="22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50"/>
      <c r="C81" s="451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5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8"/>
        <v>0</v>
      </c>
      <c r="I81" s="308">
        <f t="shared" ca="1" si="19"/>
        <v>0</v>
      </c>
      <c r="J81" s="308">
        <f t="shared" ca="1" si="20"/>
        <v>0</v>
      </c>
      <c r="K81" s="309">
        <f t="shared" ca="1" si="21"/>
        <v>0</v>
      </c>
      <c r="L81" s="316"/>
      <c r="M81" s="289" t="str">
        <f t="shared" ca="1" si="22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50"/>
      <c r="C82" s="451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55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8"/>
        <v>0</v>
      </c>
      <c r="I82" s="308">
        <f t="shared" ca="1" si="19"/>
        <v>0</v>
      </c>
      <c r="J82" s="308">
        <f t="shared" ca="1" si="20"/>
        <v>0</v>
      </c>
      <c r="K82" s="309">
        <f t="shared" ca="1" si="21"/>
        <v>0</v>
      </c>
      <c r="L82" s="316"/>
      <c r="M82" s="289" t="str">
        <f t="shared" ca="1" si="22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50"/>
      <c r="C83" s="451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5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18"/>
        <v>0</v>
      </c>
      <c r="I83" s="308">
        <f t="shared" ca="1" si="19"/>
        <v>0</v>
      </c>
      <c r="J83" s="308">
        <f t="shared" ca="1" si="20"/>
        <v>0</v>
      </c>
      <c r="K83" s="309">
        <f t="shared" ca="1" si="21"/>
        <v>0</v>
      </c>
      <c r="L83" s="316"/>
      <c r="M83" s="289" t="str">
        <f t="shared" ca="1" si="22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50"/>
      <c r="C84" s="451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5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18"/>
        <v>0</v>
      </c>
      <c r="I84" s="308">
        <f t="shared" ca="1" si="19"/>
        <v>0</v>
      </c>
      <c r="J84" s="308">
        <f t="shared" ca="1" si="20"/>
        <v>0</v>
      </c>
      <c r="K84" s="309">
        <f t="shared" ca="1" si="21"/>
        <v>0</v>
      </c>
      <c r="L84" s="316"/>
      <c r="M84" s="289" t="str">
        <f t="shared" ca="1" si="22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50"/>
      <c r="C85" s="451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5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18"/>
        <v>0</v>
      </c>
      <c r="I85" s="308">
        <f t="shared" ca="1" si="19"/>
        <v>0</v>
      </c>
      <c r="J85" s="308">
        <f t="shared" ca="1" si="20"/>
        <v>0</v>
      </c>
      <c r="K85" s="309">
        <f t="shared" ca="1" si="21"/>
        <v>0</v>
      </c>
      <c r="L85" s="316"/>
      <c r="M85" s="289" t="str">
        <f t="shared" ca="1" si="22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419" t="s">
        <v>1602</v>
      </c>
      <c r="C86" s="422" t="s">
        <v>1604</v>
      </c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6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ref="H86:H87" ca="1" si="23">IF(OR(D86="MDU",D86="MDU-KD"),(IF($O$3="RAB NON MDU","PLN KD",G86*F86)),0)</f>
        <v>0</v>
      </c>
      <c r="I86" s="308">
        <f t="shared" ref="I86:I87" ca="1" si="24">IF(D86="HDW",G86*F86,0)</f>
        <v>0</v>
      </c>
      <c r="J86" s="308">
        <f t="shared" ref="J86:J87" ca="1" si="25">IF(D86="JASA",G86*F86,0)</f>
        <v>0</v>
      </c>
      <c r="K86" s="309">
        <f t="shared" ref="K86:K87" ca="1" si="26">SUM(H86:J86)</f>
        <v>0</v>
      </c>
      <c r="L86" s="316"/>
      <c r="M86" s="289" t="str">
        <f t="shared" ca="1" si="22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>
        <v>1</v>
      </c>
      <c r="C87" s="109" t="s">
        <v>1457</v>
      </c>
      <c r="D87" s="305" t="str">
        <f ca="1">IF(ISERROR(OFFSET('HARGA SATUAN'!$D$6,MATCH(RAB!C87,'HARGA SATUAN'!$C$7:$C$1495,0),0)),"",OFFSET('HARGA SATUAN'!$D$6,MATCH(RAB!C87,'HARGA SATUAN'!$C$7:$C$1495,0),0))</f>
        <v>MDU-KD</v>
      </c>
      <c r="E87" s="306" t="str">
        <f ca="1">IF(B87="+","Unit",IF(ISERROR(OFFSET('HARGA SATUAN'!$E$6,MATCH(RAB!C87,'HARGA SATUAN'!$C$7:$C$1495,0),0)),"",OFFSET('HARGA SATUAN'!$E$6,MATCH(RAB!C87,'HARGA SATUAN'!$C$7:$C$1495,0),0)))</f>
        <v>Mtr</v>
      </c>
      <c r="F87" s="420">
        <v>60</v>
      </c>
      <c r="G87" s="307">
        <f ca="1">IF(ISERROR(OFFSET('HARGA SATUAN'!$I$6,MATCH(RAB!C87,'HARGA SATUAN'!$C$7:$C$1495,0),0)),0,OFFSET('HARGA SATUAN'!$I$6,MATCH(RAB!C87,'HARGA SATUAN'!$C$7:$C$1495,0),0))</f>
        <v>54500</v>
      </c>
      <c r="H87" s="308">
        <f t="shared" ca="1" si="23"/>
        <v>3270000</v>
      </c>
      <c r="I87" s="308">
        <f t="shared" ca="1" si="24"/>
        <v>0</v>
      </c>
      <c r="J87" s="308">
        <f t="shared" ca="1" si="25"/>
        <v>0</v>
      </c>
      <c r="K87" s="309">
        <f t="shared" ca="1" si="26"/>
        <v>3270000</v>
      </c>
      <c r="L87" s="316"/>
      <c r="M87" s="289" t="str">
        <f t="shared" si="22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2</v>
      </c>
      <c r="C88" s="109" t="s">
        <v>346</v>
      </c>
      <c r="D88" s="305" t="str">
        <f ca="1">IF(ISERROR(OFFSET('HARGA SATUAN'!$D$6,MATCH(RAB!C88,'HARGA SATUAN'!$C$7:$C$1495,0),0)),"",OFFSET('HARGA SATUAN'!$D$6,MATCH(RAB!C88,'HARGA SATUAN'!$C$7:$C$1495,0),0))</f>
        <v>JASA</v>
      </c>
      <c r="E88" s="306" t="str">
        <f ca="1">IF(B88="+","Unit",IF(ISERROR(OFFSET('HARGA SATUAN'!$E$6,MATCH(RAB!C88,'HARGA SATUAN'!$C$7:$C$1495,0),0)),"",OFFSET('HARGA SATUAN'!$E$6,MATCH(RAB!C88,'HARGA SATUAN'!$C$7:$C$1495,0),0)))</f>
        <v>Per 50 m</v>
      </c>
      <c r="F88" s="420">
        <v>1.1000000000000001</v>
      </c>
      <c r="G88" s="307">
        <f ca="1">IF(ISERROR(OFFSET('HARGA SATUAN'!$I$6,MATCH(RAB!C88,'HARGA SATUAN'!$C$7:$C$1495,0),0)),0,OFFSET('HARGA SATUAN'!$I$6,MATCH(RAB!C88,'HARGA SATUAN'!$C$7:$C$1495,0),0))</f>
        <v>223500</v>
      </c>
      <c r="H88" s="308">
        <f t="shared" ref="H88" ca="1" si="27">IF(OR(D88="MDU",D88="MDU-KD"),(IF($O$3="RAB NON MDU","PLN KD",G88*F88)),0)</f>
        <v>0</v>
      </c>
      <c r="I88" s="308">
        <f t="shared" ref="I88" ca="1" si="28">IF(D88="HDW",G88*F88,0)</f>
        <v>0</v>
      </c>
      <c r="J88" s="308">
        <f t="shared" ref="J88" ca="1" si="29">IF(D88="JASA",G88*F88,0)</f>
        <v>245850.00000000003</v>
      </c>
      <c r="K88" s="309">
        <f t="shared" ref="K88" ca="1" si="30">SUM(H88:J88)</f>
        <v>245850.00000000003</v>
      </c>
      <c r="L88" s="316"/>
      <c r="M88" s="289" t="str">
        <f t="shared" ca="1" si="22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/>
      <c r="C89" s="319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20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ref="H89:H105" ca="1" si="31">IF(OR(D89="MDU",D89="MDU-KD"),(IF($O$3="RAB NON MDU","PLN KD",G89*F89)),0)</f>
        <v>0</v>
      </c>
      <c r="I89" s="308">
        <f t="shared" ref="I89:I105" ca="1" si="32">IF(D89="HDW",G89*F89,0)</f>
        <v>0</v>
      </c>
      <c r="J89" s="308">
        <f t="shared" ref="J89:J105" ca="1" si="33">IF(D89="JASA",G89*F89,0)</f>
        <v>0</v>
      </c>
      <c r="K89" s="309">
        <f t="shared" ref="K89:K105" ca="1" si="34">SUM(H89:J89)</f>
        <v>0</v>
      </c>
      <c r="L89" s="316"/>
      <c r="M89" s="289" t="e">
        <f>IF(AND(F89&gt;0,#REF!=0),"",IF(AND(ISBLANK(F89)=FALSE,K89=0),"WARNING",""))</f>
        <v>#REF!</v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419" t="s">
        <v>1610</v>
      </c>
      <c r="C90" s="422" t="s">
        <v>1606</v>
      </c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7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ref="H90:H104" ca="1" si="35">IF(OR(D90="MDU",D90="MDU-KD"),(IF($O$3="RAB NON MDU","PLN KD",G90*F90)),0)</f>
        <v>0</v>
      </c>
      <c r="I90" s="308">
        <f t="shared" ref="I90:I104" ca="1" si="36">IF(D90="HDW",G90*F90,0)</f>
        <v>0</v>
      </c>
      <c r="J90" s="308">
        <f t="shared" ref="J90:J104" ca="1" si="37">IF(D90="JASA",G90*F90,0)</f>
        <v>0</v>
      </c>
      <c r="K90" s="309">
        <f t="shared" ref="K90:K104" ca="1" si="38">SUM(H90:J90)</f>
        <v>0</v>
      </c>
      <c r="L90" s="316"/>
      <c r="M90" s="289" t="str">
        <f t="shared" ca="1" si="22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66" t="s">
        <v>1035</v>
      </c>
      <c r="C91" s="467" t="s">
        <v>1632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>Unit</v>
      </c>
      <c r="F91" s="465">
        <v>1</v>
      </c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35"/>
        <v>0</v>
      </c>
      <c r="I91" s="308">
        <f t="shared" ca="1" si="36"/>
        <v>0</v>
      </c>
      <c r="J91" s="308">
        <f t="shared" ca="1" si="37"/>
        <v>0</v>
      </c>
      <c r="K91" s="309">
        <f t="shared" ca="1" si="38"/>
        <v>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t="30">
      <c r="A92" s="283"/>
      <c r="B92" s="462">
        <v>1</v>
      </c>
      <c r="C92" s="109" t="s">
        <v>1196</v>
      </c>
      <c r="D92" s="305" t="str">
        <f ca="1">IF(ISERROR(OFFSET('HARGA SATUAN'!$D$6,MATCH(RAB!C92,'HARGA SATUAN'!$C$7:$C$1495,0),0)),"",OFFSET('HARGA SATUAN'!$D$6,MATCH(RAB!C92,'HARGA SATUAN'!$C$7:$C$1495,0),0))</f>
        <v>MDU-KD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65">
        <f>F91*1</f>
        <v>1</v>
      </c>
      <c r="G92" s="307">
        <f ca="1">IF(ISERROR(OFFSET('HARGA SATUAN'!$I$6,MATCH(RAB!C92,'HARGA SATUAN'!$C$7:$C$1495,0),0)),0,OFFSET('HARGA SATUAN'!$I$6,MATCH(RAB!C92,'HARGA SATUAN'!$C$7:$C$1495,0),0))</f>
        <v>1427400</v>
      </c>
      <c r="H92" s="308">
        <f t="shared" ca="1" si="35"/>
        <v>1427400</v>
      </c>
      <c r="I92" s="308">
        <f t="shared" ca="1" si="36"/>
        <v>0</v>
      </c>
      <c r="J92" s="308">
        <f t="shared" ca="1" si="37"/>
        <v>0</v>
      </c>
      <c r="K92" s="309">
        <f t="shared" ca="1" si="38"/>
        <v>1427400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462">
        <v>2</v>
      </c>
      <c r="C93" s="468" t="s">
        <v>512</v>
      </c>
      <c r="D93" s="305" t="str">
        <f ca="1">IF(ISERROR(OFFSET('HARGA SATUAN'!$D$6,MATCH(RAB!C93,'HARGA SATUAN'!$C$7:$C$1495,0),0)),"",OFFSET('HARGA SATUAN'!$D$6,MATCH(RAB!C93,'HARGA SATUAN'!$C$7:$C$1495,0),0))</f>
        <v>MDU-KD</v>
      </c>
      <c r="E93" s="306" t="str">
        <f ca="1">IF(B93="+","Unit",IF(ISERROR(OFFSET('HARGA SATUAN'!$E$6,MATCH(RAB!C93,'HARGA SATUAN'!$C$7:$C$1495,0),0)),"",OFFSET('HARGA SATUAN'!$E$6,MATCH(RAB!C93,'HARGA SATUAN'!$C$7:$C$1495,0),0)))</f>
        <v>Unit</v>
      </c>
      <c r="F93" s="465">
        <f>F91*1</f>
        <v>1</v>
      </c>
      <c r="G93" s="307">
        <f ca="1">IF(ISERROR(OFFSET('HARGA SATUAN'!$I$6,MATCH(RAB!C93,'HARGA SATUAN'!$C$7:$C$1495,0),0)),0,OFFSET('HARGA SATUAN'!$I$6,MATCH(RAB!C93,'HARGA SATUAN'!$C$7:$C$1495,0),0))</f>
        <v>3564900</v>
      </c>
      <c r="H93" s="308">
        <f t="shared" ca="1" si="35"/>
        <v>3564900</v>
      </c>
      <c r="I93" s="308">
        <f t="shared" ca="1" si="36"/>
        <v>0</v>
      </c>
      <c r="J93" s="308">
        <f t="shared" ca="1" si="37"/>
        <v>0</v>
      </c>
      <c r="K93" s="309">
        <f t="shared" ca="1" si="38"/>
        <v>3564900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62">
        <v>3</v>
      </c>
      <c r="C94" s="468" t="s">
        <v>1141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Unit</v>
      </c>
      <c r="F94" s="465">
        <f>F91*1</f>
        <v>1</v>
      </c>
      <c r="G94" s="307">
        <f ca="1">IF(ISERROR(OFFSET('HARGA SATUAN'!$I$6,MATCH(RAB!C94,'HARGA SATUAN'!$C$7:$C$1495,0),0)),0,OFFSET('HARGA SATUAN'!$I$6,MATCH(RAB!C94,'HARGA SATUAN'!$C$7:$C$1495,0),0))</f>
        <v>1113900</v>
      </c>
      <c r="H94" s="308">
        <f t="shared" ca="1" si="35"/>
        <v>0</v>
      </c>
      <c r="I94" s="308">
        <f t="shared" ca="1" si="36"/>
        <v>1113900</v>
      </c>
      <c r="J94" s="308">
        <f t="shared" ca="1" si="37"/>
        <v>0</v>
      </c>
      <c r="K94" s="309">
        <f t="shared" ca="1" si="38"/>
        <v>1113900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462">
        <v>4</v>
      </c>
      <c r="C95" s="468" t="s">
        <v>77</v>
      </c>
      <c r="D95" s="305" t="str">
        <f ca="1">IF(ISERROR(OFFSET('HARGA SATUAN'!$D$6,MATCH(RAB!C95,'HARGA SATUAN'!$C$7:$C$1495,0),0)),"",OFFSET('HARGA SATUAN'!$D$6,MATCH(RAB!C95,'HARGA SATUAN'!$C$7:$C$1495,0),0))</f>
        <v>MDU-KD</v>
      </c>
      <c r="E95" s="306" t="str">
        <f ca="1">IF(B95="+","Unit",IF(ISERROR(OFFSET('HARGA SATUAN'!$E$6,MATCH(RAB!C95,'HARGA SATUAN'!$C$7:$C$1495,0),0)),"",OFFSET('HARGA SATUAN'!$E$6,MATCH(RAB!C95,'HARGA SATUAN'!$C$7:$C$1495,0),0)))</f>
        <v>Mtr</v>
      </c>
      <c r="F95" s="465">
        <v>45</v>
      </c>
      <c r="G95" s="307">
        <f ca="1">IF(ISERROR(OFFSET('HARGA SATUAN'!$I$6,MATCH(RAB!C95,'HARGA SATUAN'!$C$7:$C$1495,0),0)),0,OFFSET('HARGA SATUAN'!$I$6,MATCH(RAB!C95,'HARGA SATUAN'!$C$7:$C$1495,0),0))</f>
        <v>13500</v>
      </c>
      <c r="H95" s="308">
        <f t="shared" ca="1" si="35"/>
        <v>607500</v>
      </c>
      <c r="I95" s="308">
        <f t="shared" ca="1" si="36"/>
        <v>0</v>
      </c>
      <c r="J95" s="308">
        <f t="shared" ca="1" si="37"/>
        <v>0</v>
      </c>
      <c r="K95" s="309">
        <f t="shared" ca="1" si="38"/>
        <v>607500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462">
        <v>5</v>
      </c>
      <c r="C96" s="468" t="s">
        <v>799</v>
      </c>
      <c r="D96" s="305" t="str">
        <f ca="1">IF(ISERROR(OFFSET('HARGA SATUAN'!$D$6,MATCH(RAB!C96,'HARGA SATUAN'!$C$7:$C$1495,0),0)),"",OFFSET('HARGA SATUAN'!$D$6,MATCH(RAB!C96,'HARGA SATUAN'!$C$7:$C$1495,0),0))</f>
        <v>JASA</v>
      </c>
      <c r="E96" s="306" t="str">
        <f ca="1">IF(B96="+","Unit",IF(ISERROR(OFFSET('HARGA SATUAN'!$E$6,MATCH(RAB!C96,'HARGA SATUAN'!$C$7:$C$1495,0),0)),"",OFFSET('HARGA SATUAN'!$E$6,MATCH(RAB!C96,'HARGA SATUAN'!$C$7:$C$1495,0),0)))</f>
        <v>Unit</v>
      </c>
      <c r="F96" s="465">
        <f>F91*1</f>
        <v>1</v>
      </c>
      <c r="G96" s="307">
        <f ca="1">IF(ISERROR(OFFSET('HARGA SATUAN'!$I$6,MATCH(RAB!C96,'HARGA SATUAN'!$C$7:$C$1495,0),0)),0,OFFSET('HARGA SATUAN'!$I$6,MATCH(RAB!C96,'HARGA SATUAN'!$C$7:$C$1495,0),0))</f>
        <v>106400</v>
      </c>
      <c r="H96" s="308">
        <f t="shared" ref="H96" ca="1" si="39">IF(OR(D96="MDU",D96="MDU-KD"),(IF($O$3="RAB NON MDU","PLN KD",G96*F96)),0)</f>
        <v>0</v>
      </c>
      <c r="I96" s="308">
        <f t="shared" ref="I96" ca="1" si="40">IF(D96="HDW",G96*F96,0)</f>
        <v>0</v>
      </c>
      <c r="J96" s="308">
        <f t="shared" ref="J96" ca="1" si="41">IF(D96="JASA",G96*F96,0)</f>
        <v>106400</v>
      </c>
      <c r="K96" s="309">
        <f t="shared" ref="K96" ca="1" si="42">SUM(H96:J96)</f>
        <v>106400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318"/>
      <c r="C97" s="319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54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35"/>
        <v>0</v>
      </c>
      <c r="I97" s="308">
        <f t="shared" ca="1" si="36"/>
        <v>0</v>
      </c>
      <c r="J97" s="308">
        <f t="shared" ca="1" si="37"/>
        <v>0</v>
      </c>
      <c r="K97" s="309">
        <f t="shared" ca="1" si="38"/>
        <v>0</v>
      </c>
      <c r="L97" s="316"/>
      <c r="M97" s="289" t="str">
        <f ca="1">IF(AND(F97&gt;0,F90=0),"",IF(AND(ISBLANK(F97)=FALSE,K97=0),"WARNING",""))</f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318" t="s">
        <v>1035</v>
      </c>
      <c r="C98" s="319" t="s">
        <v>1621</v>
      </c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>Unit</v>
      </c>
      <c r="F98" s="453">
        <v>1</v>
      </c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35"/>
        <v>0</v>
      </c>
      <c r="I98" s="308">
        <f t="shared" ca="1" si="36"/>
        <v>0</v>
      </c>
      <c r="J98" s="308">
        <f t="shared" ca="1" si="37"/>
        <v>0</v>
      </c>
      <c r="K98" s="309">
        <f t="shared" ca="1" si="38"/>
        <v>0</v>
      </c>
      <c r="L98" s="316"/>
      <c r="M98" s="289" t="str">
        <f t="shared" si="22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318">
        <v>1</v>
      </c>
      <c r="C99" s="319" t="s">
        <v>29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453">
        <f>F98*1</f>
        <v>1</v>
      </c>
      <c r="G99" s="307">
        <f ca="1">IF(ISERROR(OFFSET('HARGA SATUAN'!$I$6,MATCH(RAB!C99,'HARGA SATUAN'!$C$7:$C$1495,0),0)),0,OFFSET('HARGA SATUAN'!$I$6,MATCH(RAB!C99,'HARGA SATUAN'!$C$7:$C$1495,0),0))</f>
        <v>185200</v>
      </c>
      <c r="H99" s="308">
        <f t="shared" ca="1" si="35"/>
        <v>0</v>
      </c>
      <c r="I99" s="308">
        <f t="shared" ca="1" si="36"/>
        <v>185200</v>
      </c>
      <c r="J99" s="308">
        <f t="shared" ca="1" si="37"/>
        <v>0</v>
      </c>
      <c r="K99" s="309">
        <f t="shared" ca="1" si="38"/>
        <v>185200</v>
      </c>
      <c r="L99" s="316"/>
      <c r="M99" s="289" t="str">
        <f t="shared" ca="1" si="22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318">
        <v>2</v>
      </c>
      <c r="C100" s="319" t="s">
        <v>30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453">
        <f>F98*1</f>
        <v>1</v>
      </c>
      <c r="G100" s="307">
        <f ca="1">IF(ISERROR(OFFSET('HARGA SATUAN'!$I$6,MATCH(RAB!C100,'HARGA SATUAN'!$C$7:$C$1495,0),0)),0,OFFSET('HARGA SATUAN'!$I$6,MATCH(RAB!C100,'HARGA SATUAN'!$C$7:$C$1495,0),0))</f>
        <v>47459</v>
      </c>
      <c r="H100" s="308">
        <f t="shared" ca="1" si="35"/>
        <v>0</v>
      </c>
      <c r="I100" s="308">
        <f t="shared" ca="1" si="36"/>
        <v>47459</v>
      </c>
      <c r="J100" s="308">
        <f t="shared" ca="1" si="37"/>
        <v>0</v>
      </c>
      <c r="K100" s="309">
        <f t="shared" ca="1" si="38"/>
        <v>47459</v>
      </c>
      <c r="L100" s="316"/>
      <c r="M100" s="289" t="str">
        <f t="shared" ca="1" si="22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318">
        <v>3</v>
      </c>
      <c r="C101" s="319" t="s">
        <v>32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Mtr</v>
      </c>
      <c r="F101" s="453">
        <f>F98*1.5</f>
        <v>1.5</v>
      </c>
      <c r="G101" s="307">
        <f ca="1">IF(ISERROR(OFFSET('HARGA SATUAN'!$I$6,MATCH(RAB!C101,'HARGA SATUAN'!$C$7:$C$1495,0),0)),0,OFFSET('HARGA SATUAN'!$I$6,MATCH(RAB!C101,'HARGA SATUAN'!$C$7:$C$1495,0),0))</f>
        <v>30000</v>
      </c>
      <c r="H101" s="308">
        <f t="shared" ca="1" si="35"/>
        <v>0</v>
      </c>
      <c r="I101" s="308">
        <f t="shared" ca="1" si="36"/>
        <v>45000</v>
      </c>
      <c r="J101" s="308">
        <f t="shared" ca="1" si="37"/>
        <v>0</v>
      </c>
      <c r="K101" s="309">
        <f t="shared" ca="1" si="38"/>
        <v>45000</v>
      </c>
      <c r="L101" s="316"/>
      <c r="M101" s="289" t="str">
        <f t="shared" ca="1" si="22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318">
        <v>4</v>
      </c>
      <c r="C102" s="319" t="s">
        <v>33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453">
        <f>F98*2</f>
        <v>2</v>
      </c>
      <c r="G102" s="307">
        <f ca="1">IF(ISERROR(OFFSET('HARGA SATUAN'!$I$6,MATCH(RAB!C102,'HARGA SATUAN'!$C$7:$C$1495,0),0)),0,OFFSET('HARGA SATUAN'!$I$6,MATCH(RAB!C102,'HARGA SATUAN'!$C$7:$C$1495,0),0))</f>
        <v>9500</v>
      </c>
      <c r="H102" s="308">
        <f t="shared" ca="1" si="35"/>
        <v>0</v>
      </c>
      <c r="I102" s="308">
        <f t="shared" ca="1" si="36"/>
        <v>19000</v>
      </c>
      <c r="J102" s="308">
        <f t="shared" ca="1" si="37"/>
        <v>0</v>
      </c>
      <c r="K102" s="309">
        <f t="shared" ca="1" si="38"/>
        <v>19000</v>
      </c>
      <c r="L102" s="316"/>
      <c r="M102" s="289" t="str">
        <f t="shared" ca="1" si="22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318">
        <v>5</v>
      </c>
      <c r="C103" s="319" t="s">
        <v>735</v>
      </c>
      <c r="D103" s="305" t="str">
        <f ca="1">IF(ISERROR(OFFSET('HARGA SATUAN'!$D$6,MATCH(RAB!C103,'HARGA SATUAN'!$C$7:$C$1495,0),0)),"",OFFSET('HARGA SATUAN'!$D$6,MATCH(RAB!C103,'HARGA SATUAN'!$C$7:$C$1495,0),0))</f>
        <v>JASA</v>
      </c>
      <c r="E103" s="306" t="str">
        <f ca="1">IF(B103="+","Unit",IF(ISERROR(OFFSET('HARGA SATUAN'!$E$6,MATCH(RAB!C103,'HARGA SATUAN'!$C$7:$C$1495,0),0)),"",OFFSET('HARGA SATUAN'!$E$6,MATCH(RAB!C103,'HARGA SATUAN'!$C$7:$C$1495,0),0)))</f>
        <v>Unit</v>
      </c>
      <c r="F103" s="453">
        <f>F98*1</f>
        <v>1</v>
      </c>
      <c r="G103" s="307">
        <f ca="1">IF(ISERROR(OFFSET('HARGA SATUAN'!$I$6,MATCH(RAB!C103,'HARGA SATUAN'!$C$7:$C$1495,0),0)),0,OFFSET('HARGA SATUAN'!$I$6,MATCH(RAB!C103,'HARGA SATUAN'!$C$7:$C$1495,0),0))</f>
        <v>56400</v>
      </c>
      <c r="H103" s="308">
        <f t="shared" ca="1" si="35"/>
        <v>0</v>
      </c>
      <c r="I103" s="308">
        <f t="shared" ca="1" si="36"/>
        <v>0</v>
      </c>
      <c r="J103" s="308">
        <f t="shared" ca="1" si="37"/>
        <v>56400</v>
      </c>
      <c r="K103" s="309">
        <f t="shared" ca="1" si="38"/>
        <v>56400</v>
      </c>
      <c r="L103" s="316"/>
      <c r="M103" s="289" t="str">
        <f t="shared" ca="1" si="22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>
      <c r="B104" s="321"/>
      <c r="C104" s="320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315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35"/>
        <v>0</v>
      </c>
      <c r="I104" s="308">
        <f t="shared" ca="1" si="36"/>
        <v>0</v>
      </c>
      <c r="J104" s="308">
        <f t="shared" ca="1" si="37"/>
        <v>0</v>
      </c>
      <c r="K104" s="309">
        <f t="shared" ca="1" si="38"/>
        <v>0</v>
      </c>
      <c r="M104" s="289" t="str">
        <f t="shared" ca="1" si="22"/>
        <v/>
      </c>
    </row>
    <row r="105" spans="1:22">
      <c r="B105" s="322"/>
      <c r="C105" s="323" t="s">
        <v>475</v>
      </c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315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31"/>
        <v>0</v>
      </c>
      <c r="I105" s="308">
        <f t="shared" ca="1" si="32"/>
        <v>0</v>
      </c>
      <c r="J105" s="308">
        <f t="shared" ca="1" si="33"/>
        <v>0</v>
      </c>
      <c r="K105" s="309">
        <f t="shared" ca="1" si="34"/>
        <v>0</v>
      </c>
      <c r="M105" s="289" t="e">
        <f>IF(AND(F105&gt;0,#REF!=0),"",IF(AND(ISBLANK(F105)=FALSE,K105=0),"WARNING",""))</f>
        <v>#REF!</v>
      </c>
    </row>
    <row r="106" spans="1:22">
      <c r="B106" s="325">
        <v>1</v>
      </c>
      <c r="C106" s="326" t="s">
        <v>1091</v>
      </c>
      <c r="D106" s="327" t="str">
        <f ca="1">IF(ISERROR(OFFSET('HARGA SATUAN'!$D$6,MATCH(RAB!C106,'HARGA SATUAN'!$C$7:$C$1495,0),0)),"",OFFSET('HARGA SATUAN'!$D$6,MATCH(RAB!C106,'HARGA SATUAN'!$C$7:$C$1495,0),0))</f>
        <v>JASA</v>
      </c>
      <c r="E106" s="328" t="str">
        <f ca="1">IF(ISERROR(OFFSET('HARGA SATUAN'!$E$6,MATCH(RAB!C106,'HARGA SATUAN'!$C$7:$C$1495,0),0)),"",OFFSET('HARGA SATUAN'!$E$6,MATCH(RAB!C106,'HARGA SATUAN'!$C$7:$C$1495,0),0))</f>
        <v>Lot</v>
      </c>
      <c r="F106" s="329">
        <v>1</v>
      </c>
      <c r="G106" s="330">
        <f ca="1">IF(ISERROR(OFFSET('HARGA SATUAN'!$I$6,MATCH(RAB!C106,'HARGA SATUAN'!$C$7:$C$1495,0),0)),0,OFFSET('HARGA SATUAN'!$I$6,MATCH(RAB!C106,'HARGA SATUAN'!$C$7:$C$1495,0),0))</f>
        <v>2.5000000000000001E-2</v>
      </c>
      <c r="H106" s="331">
        <f ca="1">SUM(H14:H105)*G106</f>
        <v>1411931.25</v>
      </c>
      <c r="I106" s="331">
        <f ca="1">SUM(I14:I105)*G106</f>
        <v>379561.5</v>
      </c>
      <c r="J106" s="331">
        <f ca="1">SUM(J14:J105)*G106</f>
        <v>15927.91666666667</v>
      </c>
      <c r="K106" s="331">
        <f ca="1">SUM(K14:K105)*G106</f>
        <v>1807420.6666666665</v>
      </c>
      <c r="M106" s="289" t="str">
        <f t="shared" ref="M106" si="43">IF(AND(F106&gt;0,F105=0),"",IF(AND(ISBLANK(F106)=FALSE,K106=0),"WARNING",""))</f>
        <v/>
      </c>
    </row>
    <row r="107" spans="1:22">
      <c r="B107" s="332"/>
      <c r="C107" s="333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IF(ISERROR(OFFSET('HARGA SATUAN'!$E$6,MATCH(RAB!C107,'HARGA SATUAN'!$C$7:$C$1495,0),0)),"",OFFSET('HARGA SATUAN'!$E$6,MATCH(RAB!C107,'HARGA SATUAN'!$C$7:$C$1495,0),0))</f>
        <v/>
      </c>
      <c r="F107" s="324"/>
      <c r="G107" s="307" t="str">
        <f ca="1">IF(ISERROR(OFFSET('HARGA SATUAN'!$I$6,MATCH(RAB!C107,'HARGA SATUAN'!$C$7:$C$1495,0),0)),"",OFFSET('HARGA SATUAN'!$I$6,MATCH(RAB!C107,'HARGA SATUAN'!$C$7:$C$1495,0),0))</f>
        <v/>
      </c>
      <c r="H107" s="308">
        <f ca="1">IF(OR(D107="MDU",D107="MDU-KD"),IF(G107="PLN",0,G107*F107),0)</f>
        <v>0</v>
      </c>
      <c r="I107" s="308">
        <f ca="1">IF(D107="HDW",IF(G107="PLN",0,G107*F107),0)</f>
        <v>0</v>
      </c>
      <c r="J107" s="308">
        <f ca="1">IF(D107="JASA",IF(G107="PLN",0,G107*F107),0)</f>
        <v>0</v>
      </c>
      <c r="K107" s="309">
        <f ca="1">SUM(H107:J107)</f>
        <v>0</v>
      </c>
    </row>
    <row r="108" spans="1:22" ht="15.75" thickBot="1">
      <c r="B108" s="334"/>
      <c r="C108" s="335"/>
      <c r="D108" s="336"/>
      <c r="E108" s="337"/>
      <c r="F108" s="337"/>
      <c r="G108" s="337"/>
      <c r="H108" s="338"/>
      <c r="I108" s="338"/>
      <c r="J108" s="338"/>
      <c r="K108" s="339"/>
    </row>
    <row r="109" spans="1:22">
      <c r="B109" s="340"/>
      <c r="C109" s="640" t="s">
        <v>1008</v>
      </c>
      <c r="D109" s="640"/>
      <c r="E109" s="640"/>
      <c r="F109" s="640"/>
      <c r="G109" s="341" t="s">
        <v>9</v>
      </c>
      <c r="H109" s="342">
        <f ca="1">SUM(H14:H107)</f>
        <v>57889181.25</v>
      </c>
      <c r="I109" s="342">
        <f ca="1">SUM(I14:I107)</f>
        <v>15562021.5</v>
      </c>
      <c r="J109" s="342">
        <f ca="1">SUM(J14:J107)</f>
        <v>653044.58333333337</v>
      </c>
      <c r="K109" s="342">
        <f ca="1">SUM(K14:K107)</f>
        <v>74104247.333333328</v>
      </c>
    </row>
    <row r="110" spans="1:22">
      <c r="B110" s="343"/>
      <c r="C110" s="623" t="s">
        <v>1455</v>
      </c>
      <c r="D110" s="623"/>
      <c r="E110" s="623"/>
      <c r="F110" s="623"/>
      <c r="G110" s="344" t="s">
        <v>9</v>
      </c>
      <c r="H110" s="345">
        <f ca="1">H109*0.11</f>
        <v>6367809.9375</v>
      </c>
      <c r="I110" s="345">
        <f ca="1">I109*0.11</f>
        <v>1711822.365</v>
      </c>
      <c r="J110" s="345">
        <f ca="1">J109*0.11</f>
        <v>71834.904166666674</v>
      </c>
      <c r="K110" s="345">
        <f ca="1">K109*0.11</f>
        <v>8151467.2066666661</v>
      </c>
    </row>
    <row r="111" spans="1:22" ht="15.75" thickBot="1">
      <c r="B111" s="343"/>
      <c r="C111" s="620" t="s">
        <v>463</v>
      </c>
      <c r="D111" s="620"/>
      <c r="E111" s="620"/>
      <c r="F111" s="620"/>
      <c r="G111" s="346" t="s">
        <v>9</v>
      </c>
      <c r="H111" s="347">
        <f ca="1">SUM(H109:H110)</f>
        <v>64256991.1875</v>
      </c>
      <c r="I111" s="347">
        <f ca="1">SUM(I109:I110)</f>
        <v>17273843.864999998</v>
      </c>
      <c r="J111" s="346">
        <f ca="1">SUM(J109:J110)</f>
        <v>724879.48750000005</v>
      </c>
      <c r="K111" s="346">
        <f ca="1">SUM(K109:K110)</f>
        <v>82255714.539999992</v>
      </c>
      <c r="M111" s="411">
        <v>201265205.30690998</v>
      </c>
    </row>
    <row r="112" spans="1:22">
      <c r="B112" s="624" t="str">
        <f ca="1">"Terbilang : "&amp;PROPER(IF(K111=0,"nol",IF(K111&lt;0,"minus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IF(--MID(TEXT(ABS(K111),"000000000000000"),1,3)=0,"",MID(TEXT(ABS(K111),"000000000000000"),1,1)&amp;" ratus "&amp;MID(TEXT(ABS(K111),"000000000000000"),2,1)&amp;" puluh "&amp;MID(TEXT(ABS(K111),"000000000000000"),3,1)&amp;" trilyun ")&amp; IF(--MID(TEXT(ABS(K111),"000000000000000"),4,3)=0,"",MID(TEXT(ABS(K111),"000000000000000"),4,1)&amp;" ratus "&amp;MID(TEXT(ABS(K111),"000000000000000"),5,1)&amp;" puluh "&amp;MID(TEXT(ABS(K111),"000000000000000"),6,1)&amp;" milyar ")&amp; IF(--MID(TEXT(ABS(K111),"000000000000000"),7,3)=0,"",MID(TEXT(ABS(K111),"000000000000000"),7,1)&amp;" ratus "&amp;MID(TEXT(ABS(K111),"000000000000000"),8,1)&amp;" puluh "&amp;MID(TEXT(ABS(K111),"000000000000000"),9,1)&amp;" juta ")&amp; IF(--MID(TEXT(ABS(K111),"000000000000000"),10,3)=0,"",IF(--MID(TEXT(ABS(K111),"000000000000000"),10,3)=1,"*",MID(TEXT(ABS(K111),"000000000000000"),10,1)&amp;" ratus "&amp;MID(TEXT(ABS(K111),"000000000000000"),11,1)&amp;" puluh ")&amp;MID(TEXT(ABS(K111),"000000000000000"),12,1)&amp;" ribu ")&amp; IF(--MID(TEXT(ABS(K111),"000000000000000"),13,3)=0,"",MID(TEXT(ABS(K111),"000000000000000"),13,1)&amp;" ratus "&amp;MID(TEXT(ABS(K111),"000000000000000"),14,1)&amp;" puluh "&amp;MID(TEXT(ABS(K111),"000000000000000"),15,1)),1,"satu"),2,"dua"),3,"tiga"),4,"empat"),5,"lima"),6,"enam"),7,"tujuh"),8,"delapan"),9,"sembilan"),"0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Dua Juta Dua Ratus Lima Puluh Lima Ribu Tujuh Ratus Lima Belas Rupiah</v>
      </c>
      <c r="C112" s="625"/>
      <c r="D112" s="625"/>
      <c r="E112" s="625"/>
      <c r="F112" s="625"/>
      <c r="G112" s="625"/>
      <c r="H112" s="625"/>
      <c r="I112" s="625"/>
      <c r="J112" s="625"/>
      <c r="K112" s="626"/>
    </row>
    <row r="113" spans="2:11">
      <c r="B113" s="627"/>
      <c r="C113" s="628"/>
      <c r="D113" s="628"/>
      <c r="E113" s="628"/>
      <c r="F113" s="628"/>
      <c r="G113" s="628"/>
      <c r="H113" s="628"/>
      <c r="I113" s="628"/>
      <c r="J113" s="628"/>
      <c r="K113" s="629"/>
    </row>
    <row r="114" spans="2:11" ht="15.75" thickBot="1">
      <c r="B114" s="348" t="str">
        <f>"Harga yang dipakai adalah "&amp;'HARGA SATUAN'!I5&amp;""</f>
        <v>Harga yang dipakai adalah RAB HSS 2023</v>
      </c>
      <c r="C114" s="349"/>
      <c r="D114" s="350"/>
      <c r="E114" s="350"/>
      <c r="F114" s="350"/>
      <c r="G114" s="351"/>
      <c r="H114" s="351"/>
      <c r="I114" s="351"/>
      <c r="J114" s="351"/>
      <c r="K114" s="352"/>
    </row>
    <row r="115" spans="2:11">
      <c r="C115" s="353"/>
      <c r="E115" s="355"/>
      <c r="F115" s="355"/>
      <c r="G115" s="355"/>
    </row>
    <row r="116" spans="2:11">
      <c r="C116" s="284"/>
      <c r="E116" s="355"/>
      <c r="F116" s="355"/>
      <c r="G116" s="355"/>
      <c r="H116" s="630"/>
      <c r="I116" s="630"/>
      <c r="J116" s="631"/>
      <c r="K116" s="631"/>
    </row>
    <row r="117" spans="2:11">
      <c r="C117" s="284"/>
      <c r="E117" s="355"/>
      <c r="F117" s="355"/>
      <c r="G117" s="355"/>
      <c r="H117" s="356"/>
      <c r="I117" s="619" t="s">
        <v>1619</v>
      </c>
      <c r="J117" s="619"/>
      <c r="K117" s="619"/>
    </row>
    <row r="118" spans="2:11">
      <c r="C118" s="284"/>
      <c r="E118" s="355"/>
      <c r="F118" s="355"/>
      <c r="G118" s="355"/>
      <c r="H118" s="356"/>
      <c r="I118" s="619" t="s">
        <v>1611</v>
      </c>
      <c r="J118" s="619"/>
      <c r="K118" s="619"/>
    </row>
    <row r="119" spans="2:11">
      <c r="C119" s="284"/>
      <c r="E119" s="355"/>
      <c r="F119" s="355"/>
      <c r="G119" s="355"/>
      <c r="H119" s="357"/>
      <c r="I119" s="358"/>
      <c r="J119" s="358"/>
      <c r="K119" s="358"/>
    </row>
    <row r="120" spans="2:11">
      <c r="C120" s="284"/>
      <c r="E120" s="355"/>
      <c r="F120" s="355"/>
      <c r="G120" s="355"/>
      <c r="H120" s="357"/>
      <c r="I120" s="357"/>
      <c r="J120" s="357"/>
      <c r="K120" s="357"/>
    </row>
    <row r="121" spans="2:11">
      <c r="C121" s="284"/>
      <c r="E121" s="355"/>
      <c r="F121" s="355"/>
      <c r="G121" s="355"/>
      <c r="H121" s="357"/>
      <c r="I121" s="357"/>
      <c r="J121" s="357"/>
      <c r="K121" s="357"/>
    </row>
    <row r="122" spans="2:11">
      <c r="C122" s="284"/>
      <c r="E122" s="355"/>
      <c r="F122" s="355"/>
      <c r="G122" s="355"/>
      <c r="H122" s="357"/>
      <c r="I122" s="357"/>
      <c r="J122" s="357"/>
      <c r="K122" s="357"/>
    </row>
    <row r="123" spans="2:11">
      <c r="C123" s="284"/>
      <c r="E123" s="355"/>
      <c r="F123" s="355"/>
      <c r="G123" s="355"/>
      <c r="H123" s="359"/>
      <c r="I123" s="619" t="s">
        <v>1612</v>
      </c>
      <c r="J123" s="619"/>
      <c r="K123" s="619"/>
    </row>
    <row r="124" spans="2:11">
      <c r="C124" s="353"/>
      <c r="E124" s="355"/>
      <c r="F124" s="355"/>
      <c r="G124" s="355"/>
      <c r="H124" s="357"/>
      <c r="I124" s="357"/>
      <c r="J124" s="357"/>
      <c r="K124" s="357"/>
    </row>
    <row r="125" spans="2:11">
      <c r="C125" s="353"/>
      <c r="E125" s="355"/>
      <c r="F125" s="355"/>
      <c r="G125" s="355"/>
      <c r="H125" s="357"/>
      <c r="I125" s="357"/>
      <c r="J125" s="357"/>
      <c r="K125" s="357"/>
    </row>
    <row r="126" spans="2:11">
      <c r="C126" s="353"/>
      <c r="E126" s="355"/>
      <c r="F126" s="355"/>
      <c r="G126" s="355"/>
      <c r="H126" s="357"/>
      <c r="I126" s="357"/>
      <c r="J126" s="357"/>
      <c r="K126" s="357"/>
    </row>
  </sheetData>
  <sheetProtection sort="0" autoFilter="0"/>
  <protectedRanges>
    <protectedRange sqref="B90:C90 B15 B16:C16 B20:C31 B66:C86 B17:B19 B87:B89" name="Range1_6_1"/>
    <protectedRange sqref="B38:C53" name="Range1_6_1_1_1"/>
    <protectedRange sqref="B32:C37" name="Range1_6_1_2"/>
    <protectedRange sqref="C89" name="Range1_6_1_10"/>
    <protectedRange sqref="B97:C103 B91:B96" name="Range1_6_1_11"/>
    <protectedRange sqref="C19" name="Range1_6_1_9"/>
    <protectedRange sqref="B54:C65" name="Range1_6_1_15"/>
    <protectedRange sqref="C91:C94 C96" name="Range1_6_1_18"/>
    <protectedRange sqref="C95" name="Range1_1_3_2"/>
    <protectedRange sqref="C18" name="Range1_1_3_1"/>
    <protectedRange sqref="C87" name="Range1_1_3_3"/>
    <protectedRange sqref="C88" name="Range1_1_3_4"/>
    <protectedRange sqref="C17" name="Range1_1_3_5"/>
  </protectedRanges>
  <mergeCells count="22">
    <mergeCell ref="O3:P4"/>
    <mergeCell ref="B4:K4"/>
    <mergeCell ref="C109:F109"/>
    <mergeCell ref="B11:B13"/>
    <mergeCell ref="C11:C13"/>
    <mergeCell ref="D11:D13"/>
    <mergeCell ref="E11:E13"/>
    <mergeCell ref="F11:F13"/>
    <mergeCell ref="G11:G13"/>
    <mergeCell ref="I12:I13"/>
    <mergeCell ref="I118:K118"/>
    <mergeCell ref="I123:K123"/>
    <mergeCell ref="C111:F111"/>
    <mergeCell ref="G6:K6"/>
    <mergeCell ref="I117:K117"/>
    <mergeCell ref="C110:F110"/>
    <mergeCell ref="B112:K113"/>
    <mergeCell ref="H116:K116"/>
    <mergeCell ref="H11:K11"/>
    <mergeCell ref="H12:H13"/>
    <mergeCell ref="J12:J13"/>
    <mergeCell ref="K12:K13"/>
  </mergeCells>
  <phoneticPr fontId="133" type="noConversion"/>
  <conditionalFormatting sqref="C15">
    <cfRule type="cellIs" dxfId="9" priority="83" operator="equal">
      <formula>0</formula>
    </cfRule>
  </conditionalFormatting>
  <conditionalFormatting sqref="C18">
    <cfRule type="cellIs" dxfId="8" priority="4" operator="equal">
      <formula>0</formula>
    </cfRule>
  </conditionalFormatting>
  <conditionalFormatting sqref="C26">
    <cfRule type="cellIs" dxfId="7" priority="12" operator="equal">
      <formula>0</formula>
    </cfRule>
  </conditionalFormatting>
  <conditionalFormatting sqref="C87:C88">
    <cfRule type="cellIs" dxfId="6" priority="2" operator="equal">
      <formula>0</formula>
    </cfRule>
  </conditionalFormatting>
  <conditionalFormatting sqref="C92">
    <cfRule type="cellIs" dxfId="5" priority="8" operator="equal">
      <formula>0</formula>
    </cfRule>
  </conditionalFormatting>
  <conditionalFormatting sqref="E1:E3 E5:E13 H12:I12 O13 S14:V103 E106:G106 H106:K108 E107:H107 E108:F108">
    <cfRule type="cellIs" dxfId="4" priority="1127" stopIfTrue="1" operator="equal">
      <formula>0</formula>
    </cfRule>
  </conditionalFormatting>
  <conditionalFormatting sqref="E14:K105">
    <cfRule type="cellIs" dxfId="3" priority="6" stopIfTrue="1" operator="equal">
      <formula>0</formula>
    </cfRule>
  </conditionalFormatting>
  <conditionalFormatting sqref="G1:G13">
    <cfRule type="cellIs" dxfId="2" priority="52" stopIfTrue="1" operator="equal">
      <formula>0</formula>
    </cfRule>
  </conditionalFormatting>
  <conditionalFormatting sqref="G107:G65573 E112:E65573">
    <cfRule type="cellIs" dxfId="1" priority="261" stopIfTrue="1" operator="equal">
      <formula>0</formula>
    </cfRule>
  </conditionalFormatting>
  <conditionalFormatting sqref="C1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98:F103 C23:C25 F16:F85 H14:K108 F87:F8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7" max="10" man="1"/>
  </rowBreaks>
  <ignoredErrors>
    <ignoredError sqref="K10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0" zoomScaleNormal="100" zoomScaleSheetLayoutView="100" workbookViewId="0">
      <selection activeCell="D15" sqref="D15"/>
    </sheetView>
  </sheetViews>
  <sheetFormatPr defaultColWidth="9.140625" defaultRowHeight="12"/>
  <cols>
    <col min="1" max="2" width="1.42578125" style="469" customWidth="1"/>
    <col min="3" max="3" width="7.42578125" style="469" customWidth="1"/>
    <col min="4" max="23" width="5.7109375" style="469" customWidth="1"/>
    <col min="24" max="24" width="6.28515625" style="469" customWidth="1"/>
    <col min="25" max="26" width="5.7109375" style="469" customWidth="1"/>
    <col min="27" max="27" width="6.5703125" style="469" customWidth="1"/>
    <col min="28" max="118" width="5.7109375" style="469" customWidth="1"/>
    <col min="119" max="16384" width="9.140625" style="469"/>
  </cols>
  <sheetData>
    <row r="1" spans="3:30" ht="12.75" thickBot="1"/>
    <row r="2" spans="3:30" ht="12.75" customHeight="1">
      <c r="C2" s="470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471"/>
      <c r="S2" s="471"/>
      <c r="T2" s="471"/>
      <c r="U2" s="471"/>
      <c r="V2" s="471"/>
      <c r="W2" s="649" t="s">
        <v>1438</v>
      </c>
      <c r="X2" s="650"/>
      <c r="Y2" s="650"/>
      <c r="Z2" s="650"/>
      <c r="AA2" s="650"/>
      <c r="AB2" s="650"/>
      <c r="AC2" s="650"/>
      <c r="AD2" s="651"/>
    </row>
    <row r="3" spans="3:30">
      <c r="C3" s="472"/>
      <c r="W3" s="652"/>
      <c r="X3" s="653"/>
      <c r="Y3" s="653"/>
      <c r="Z3" s="653"/>
      <c r="AA3" s="653"/>
      <c r="AB3" s="653"/>
      <c r="AC3" s="653"/>
      <c r="AD3" s="654"/>
    </row>
    <row r="4" spans="3:30">
      <c r="C4" s="472"/>
      <c r="G4" s="473" t="s">
        <v>1638</v>
      </c>
      <c r="W4" s="474" t="s">
        <v>987</v>
      </c>
      <c r="AD4" s="475"/>
    </row>
    <row r="5" spans="3:30">
      <c r="C5" s="472"/>
      <c r="W5" s="476" t="s">
        <v>991</v>
      </c>
      <c r="X5" s="655" t="s">
        <v>990</v>
      </c>
      <c r="Y5" s="655"/>
      <c r="Z5" s="655"/>
      <c r="AA5" s="655" t="s">
        <v>988</v>
      </c>
      <c r="AB5" s="655"/>
      <c r="AC5" s="655" t="s">
        <v>989</v>
      </c>
      <c r="AD5" s="656"/>
    </row>
    <row r="6" spans="3:30">
      <c r="C6" s="472"/>
      <c r="W6" s="476">
        <v>1</v>
      </c>
      <c r="X6" s="655" t="s">
        <v>993</v>
      </c>
      <c r="Y6" s="655"/>
      <c r="Z6" s="655"/>
      <c r="AA6" s="655"/>
      <c r="AB6" s="655"/>
      <c r="AC6" s="655"/>
      <c r="AD6" s="656"/>
    </row>
    <row r="7" spans="3:30">
      <c r="C7" s="472"/>
      <c r="W7" s="476">
        <v>2</v>
      </c>
      <c r="X7" s="655" t="s">
        <v>994</v>
      </c>
      <c r="Y7" s="655"/>
      <c r="Z7" s="655"/>
      <c r="AA7" s="655"/>
      <c r="AB7" s="655"/>
      <c r="AC7" s="655"/>
      <c r="AD7" s="656"/>
    </row>
    <row r="8" spans="3:30">
      <c r="C8" s="472"/>
      <c r="W8" s="476">
        <v>3</v>
      </c>
      <c r="X8" s="655" t="s">
        <v>995</v>
      </c>
      <c r="Y8" s="655"/>
      <c r="Z8" s="655"/>
      <c r="AA8" s="655"/>
      <c r="AB8" s="655"/>
      <c r="AC8" s="655"/>
      <c r="AD8" s="656"/>
    </row>
    <row r="9" spans="3:30">
      <c r="C9" s="472"/>
      <c r="W9" s="476">
        <v>4</v>
      </c>
      <c r="X9" s="655" t="s">
        <v>996</v>
      </c>
      <c r="Y9" s="655"/>
      <c r="Z9" s="655"/>
      <c r="AA9" s="655"/>
      <c r="AB9" s="655"/>
      <c r="AC9" s="655"/>
      <c r="AD9" s="656"/>
    </row>
    <row r="10" spans="3:30">
      <c r="C10" s="472"/>
      <c r="W10" s="476">
        <v>5</v>
      </c>
      <c r="X10" s="655" t="s">
        <v>997</v>
      </c>
      <c r="Y10" s="655"/>
      <c r="Z10" s="655"/>
      <c r="AA10" s="655"/>
      <c r="AB10" s="655"/>
      <c r="AC10" s="655"/>
      <c r="AD10" s="656"/>
    </row>
    <row r="11" spans="3:30">
      <c r="C11" s="472"/>
      <c r="W11" s="476">
        <v>6</v>
      </c>
      <c r="X11" s="655" t="s">
        <v>998</v>
      </c>
      <c r="Y11" s="655"/>
      <c r="Z11" s="655"/>
      <c r="AA11" s="655"/>
      <c r="AB11" s="655"/>
      <c r="AC11" s="655"/>
      <c r="AD11" s="656"/>
    </row>
    <row r="12" spans="3:30" ht="14.25">
      <c r="C12" s="472"/>
      <c r="F12" s="722"/>
      <c r="W12" s="476">
        <v>7</v>
      </c>
      <c r="X12" s="655" t="s">
        <v>999</v>
      </c>
      <c r="Y12" s="655"/>
      <c r="Z12" s="655"/>
      <c r="AA12" s="655"/>
      <c r="AB12" s="655"/>
      <c r="AC12" s="655"/>
      <c r="AD12" s="656"/>
    </row>
    <row r="13" spans="3:30" ht="12.75" customHeight="1">
      <c r="C13" s="472"/>
      <c r="W13" s="476">
        <v>8</v>
      </c>
      <c r="X13" s="655" t="s">
        <v>1000</v>
      </c>
      <c r="Y13" s="655"/>
      <c r="Z13" s="655"/>
      <c r="AA13" s="655"/>
      <c r="AB13" s="655"/>
      <c r="AC13" s="655"/>
      <c r="AD13" s="656"/>
    </row>
    <row r="14" spans="3:30">
      <c r="C14" s="472"/>
      <c r="W14" s="476">
        <v>9</v>
      </c>
      <c r="X14" s="655" t="s">
        <v>1001</v>
      </c>
      <c r="Y14" s="655"/>
      <c r="Z14" s="655"/>
      <c r="AA14" s="655"/>
      <c r="AB14" s="655"/>
      <c r="AC14" s="655"/>
      <c r="AD14" s="656"/>
    </row>
    <row r="15" spans="3:30">
      <c r="C15" s="472"/>
      <c r="D15" s="723" t="s">
        <v>1637</v>
      </c>
      <c r="W15" s="476">
        <v>10</v>
      </c>
      <c r="X15" s="655" t="s">
        <v>1010</v>
      </c>
      <c r="Y15" s="655"/>
      <c r="Z15" s="655"/>
      <c r="AA15" s="655"/>
      <c r="AB15" s="655"/>
      <c r="AC15" s="655"/>
      <c r="AD15" s="656"/>
    </row>
    <row r="16" spans="3:30">
      <c r="C16" s="472"/>
      <c r="W16" s="476">
        <v>11</v>
      </c>
      <c r="X16" s="655" t="s">
        <v>1454</v>
      </c>
      <c r="Y16" s="655"/>
      <c r="Z16" s="655"/>
      <c r="AA16" s="655"/>
      <c r="AB16" s="655"/>
      <c r="AC16" s="655"/>
      <c r="AD16" s="656"/>
    </row>
    <row r="17" spans="3:30">
      <c r="C17" s="472"/>
      <c r="S17" s="478"/>
      <c r="W17" s="476">
        <v>12</v>
      </c>
      <c r="X17" s="655" t="s">
        <v>1011</v>
      </c>
      <c r="Y17" s="655"/>
      <c r="Z17" s="655"/>
      <c r="AA17" s="655"/>
      <c r="AB17" s="655"/>
      <c r="AC17" s="655"/>
      <c r="AD17" s="656"/>
    </row>
    <row r="18" spans="3:30">
      <c r="C18" s="479"/>
      <c r="D18" s="480"/>
      <c r="E18" s="480"/>
      <c r="W18" s="476">
        <v>13</v>
      </c>
      <c r="X18" s="655"/>
      <c r="Y18" s="655"/>
      <c r="Z18" s="655"/>
      <c r="AA18" s="655"/>
      <c r="AB18" s="655"/>
      <c r="AC18" s="655"/>
      <c r="AD18" s="656"/>
    </row>
    <row r="19" spans="3:30">
      <c r="C19" s="472"/>
      <c r="W19" s="481"/>
      <c r="X19" s="665"/>
      <c r="Y19" s="665"/>
      <c r="Z19" s="665"/>
      <c r="AA19" s="665"/>
      <c r="AB19" s="665"/>
      <c r="AC19" s="665"/>
      <c r="AD19" s="666"/>
    </row>
    <row r="20" spans="3:30">
      <c r="C20" s="472"/>
      <c r="Q20" s="482"/>
      <c r="W20" s="667" t="s">
        <v>992</v>
      </c>
      <c r="X20" s="668"/>
      <c r="Y20" s="668"/>
      <c r="Z20" s="668"/>
      <c r="AA20" s="668"/>
      <c r="AB20" s="668"/>
      <c r="AC20" s="668"/>
      <c r="AD20" s="669"/>
    </row>
    <row r="21" spans="3:30">
      <c r="C21" s="472"/>
      <c r="W21" s="670" t="s">
        <v>985</v>
      </c>
      <c r="X21" s="671"/>
      <c r="Y21" s="671"/>
      <c r="Z21" s="672"/>
      <c r="AA21" s="673" t="s">
        <v>986</v>
      </c>
      <c r="AB21" s="674"/>
      <c r="AC21" s="674"/>
      <c r="AD21" s="675"/>
    </row>
    <row r="22" spans="3:30">
      <c r="C22" s="472"/>
      <c r="S22" s="483"/>
      <c r="W22" s="657" t="s">
        <v>1630</v>
      </c>
      <c r="X22" s="658"/>
      <c r="Y22" s="484" t="s">
        <v>1620</v>
      </c>
      <c r="Z22" s="485">
        <v>1</v>
      </c>
      <c r="AA22" s="659"/>
      <c r="AB22" s="660"/>
      <c r="AC22" s="486"/>
      <c r="AD22" s="487"/>
    </row>
    <row r="23" spans="3:30">
      <c r="C23" s="472"/>
      <c r="W23" s="657" t="s">
        <v>1621</v>
      </c>
      <c r="X23" s="658"/>
      <c r="Y23" s="484" t="s">
        <v>1620</v>
      </c>
      <c r="Z23" s="485">
        <v>1</v>
      </c>
      <c r="AA23" s="661"/>
      <c r="AB23" s="662"/>
      <c r="AC23" s="486"/>
      <c r="AD23" s="487"/>
    </row>
    <row r="24" spans="3:30">
      <c r="C24" s="472"/>
      <c r="W24" s="657" t="s">
        <v>1635</v>
      </c>
      <c r="X24" s="658"/>
      <c r="Y24" s="484" t="s">
        <v>1620</v>
      </c>
      <c r="Z24" s="485">
        <v>2</v>
      </c>
      <c r="AA24" s="663"/>
      <c r="AB24" s="664"/>
      <c r="AC24" s="486"/>
      <c r="AD24" s="487"/>
    </row>
    <row r="25" spans="3:30">
      <c r="C25" s="472"/>
      <c r="W25" s="657" t="s">
        <v>1613</v>
      </c>
      <c r="X25" s="658"/>
      <c r="Y25" s="484" t="s">
        <v>1620</v>
      </c>
      <c r="Z25" s="485">
        <v>2</v>
      </c>
      <c r="AA25" s="661"/>
      <c r="AB25" s="662"/>
      <c r="AC25" s="486"/>
      <c r="AD25" s="487"/>
    </row>
    <row r="26" spans="3:30">
      <c r="C26" s="472"/>
      <c r="W26" s="678" t="s">
        <v>1633</v>
      </c>
      <c r="X26" s="679"/>
      <c r="Y26" s="484" t="s">
        <v>1620</v>
      </c>
      <c r="Z26" s="485">
        <v>1</v>
      </c>
      <c r="AA26" s="661"/>
      <c r="AB26" s="662"/>
      <c r="AC26" s="486"/>
      <c r="AD26" s="487"/>
    </row>
    <row r="27" spans="3:30">
      <c r="C27" s="472"/>
      <c r="W27" s="678" t="s">
        <v>1636</v>
      </c>
      <c r="X27" s="679"/>
      <c r="Y27" s="484" t="s">
        <v>1620</v>
      </c>
      <c r="Z27" s="485">
        <v>1</v>
      </c>
      <c r="AA27" s="661"/>
      <c r="AB27" s="662"/>
      <c r="AC27" s="486"/>
      <c r="AD27" s="487"/>
    </row>
    <row r="28" spans="3:30">
      <c r="C28" s="472"/>
      <c r="W28" s="676" t="s">
        <v>1639</v>
      </c>
      <c r="X28" s="677"/>
      <c r="Y28" s="484" t="s">
        <v>1640</v>
      </c>
      <c r="Z28" s="485">
        <v>60</v>
      </c>
      <c r="AA28" s="661"/>
      <c r="AB28" s="662"/>
      <c r="AC28" s="486"/>
      <c r="AD28" s="487"/>
    </row>
    <row r="29" spans="3:30">
      <c r="C29" s="472"/>
      <c r="W29" s="678"/>
      <c r="X29" s="679"/>
      <c r="Y29" s="484"/>
      <c r="Z29" s="485"/>
      <c r="AA29" s="661"/>
      <c r="AB29" s="662"/>
      <c r="AC29" s="486"/>
      <c r="AD29" s="487"/>
    </row>
    <row r="30" spans="3:30" ht="11.25" customHeight="1">
      <c r="C30" s="472"/>
      <c r="W30" s="676"/>
      <c r="X30" s="677"/>
      <c r="Y30" s="484"/>
      <c r="Z30" s="485"/>
      <c r="AA30" s="661"/>
      <c r="AB30" s="662"/>
      <c r="AC30" s="486"/>
      <c r="AD30" s="487"/>
    </row>
    <row r="31" spans="3:30">
      <c r="C31" s="472"/>
      <c r="U31" s="492"/>
      <c r="W31" s="490"/>
      <c r="X31" s="491"/>
      <c r="Y31" s="484"/>
      <c r="Z31" s="485"/>
      <c r="AA31" s="661"/>
      <c r="AB31" s="662"/>
      <c r="AC31" s="486"/>
      <c r="AD31" s="487"/>
    </row>
    <row r="32" spans="3:30">
      <c r="C32" s="472"/>
      <c r="U32" s="492"/>
      <c r="W32" s="488"/>
      <c r="X32" s="489"/>
      <c r="Y32" s="484"/>
      <c r="Z32" s="485"/>
      <c r="AA32" s="661"/>
      <c r="AB32" s="662"/>
      <c r="AC32" s="486"/>
      <c r="AD32" s="487"/>
    </row>
    <row r="33" spans="3:30">
      <c r="C33" s="472"/>
      <c r="W33" s="676"/>
      <c r="X33" s="677"/>
      <c r="Y33" s="484"/>
      <c r="Z33" s="485"/>
      <c r="AA33" s="661"/>
      <c r="AB33" s="662"/>
      <c r="AC33" s="486"/>
      <c r="AD33" s="487"/>
    </row>
    <row r="34" spans="3:30">
      <c r="C34" s="472"/>
      <c r="Q34" s="469" t="s">
        <v>1607</v>
      </c>
      <c r="W34" s="676"/>
      <c r="X34" s="677"/>
      <c r="Y34" s="484"/>
      <c r="Z34" s="485"/>
      <c r="AA34" s="661"/>
      <c r="AB34" s="662"/>
      <c r="AC34" s="486"/>
      <c r="AD34" s="487"/>
    </row>
    <row r="35" spans="3:30">
      <c r="C35" s="472"/>
      <c r="W35" s="676"/>
      <c r="X35" s="677"/>
      <c r="Y35" s="484"/>
      <c r="Z35" s="485"/>
      <c r="AA35" s="661"/>
      <c r="AB35" s="662"/>
      <c r="AC35" s="486"/>
      <c r="AD35" s="487"/>
    </row>
    <row r="36" spans="3:30">
      <c r="C36" s="472"/>
      <c r="W36" s="676"/>
      <c r="X36" s="677"/>
      <c r="Y36" s="484"/>
      <c r="Z36" s="485"/>
      <c r="AA36" s="661"/>
      <c r="AB36" s="662"/>
      <c r="AC36" s="486"/>
      <c r="AD36" s="487"/>
    </row>
    <row r="37" spans="3:30" ht="12.75" customHeight="1">
      <c r="C37" s="472"/>
      <c r="W37" s="490"/>
      <c r="X37" s="493"/>
      <c r="Y37" s="484"/>
      <c r="Z37" s="485"/>
      <c r="AA37" s="680"/>
      <c r="AB37" s="681"/>
      <c r="AC37" s="486"/>
      <c r="AD37" s="494"/>
    </row>
    <row r="38" spans="3:30" ht="12.75" customHeight="1">
      <c r="C38" s="472"/>
      <c r="W38" s="495"/>
      <c r="X38" s="496"/>
      <c r="Y38" s="484"/>
      <c r="Z38" s="497"/>
      <c r="AA38" s="682"/>
      <c r="AB38" s="683"/>
      <c r="AC38" s="486"/>
      <c r="AD38" s="494"/>
    </row>
    <row r="39" spans="3:30" ht="12" customHeight="1">
      <c r="C39" s="472"/>
      <c r="W39" s="495"/>
      <c r="X39" s="496"/>
      <c r="Y39" s="484"/>
      <c r="Z39" s="497"/>
      <c r="AA39" s="687"/>
      <c r="AB39" s="688"/>
      <c r="AC39" s="486"/>
      <c r="AD39" s="494"/>
    </row>
    <row r="40" spans="3:30" ht="12" customHeight="1">
      <c r="C40" s="472"/>
      <c r="W40" s="498"/>
      <c r="X40" s="499"/>
      <c r="Y40" s="500"/>
      <c r="Z40" s="497"/>
      <c r="AA40" s="501"/>
      <c r="AB40" s="502"/>
      <c r="AC40" s="503"/>
      <c r="AD40" s="504"/>
    </row>
    <row r="41" spans="3:30" ht="12" customHeight="1">
      <c r="C41" s="472"/>
      <c r="W41" s="689"/>
      <c r="X41" s="690"/>
      <c r="Y41" s="505"/>
      <c r="Z41" s="506"/>
      <c r="AA41" s="691"/>
      <c r="AB41" s="692"/>
      <c r="AC41" s="503"/>
      <c r="AD41" s="504"/>
    </row>
    <row r="42" spans="3:30" ht="12" customHeight="1">
      <c r="C42" s="472"/>
      <c r="W42" s="693" t="s">
        <v>1627</v>
      </c>
      <c r="X42" s="694"/>
      <c r="Y42" s="694"/>
      <c r="Z42" s="694"/>
      <c r="AA42" s="694"/>
      <c r="AB42" s="694"/>
      <c r="AC42" s="694"/>
      <c r="AD42" s="695"/>
    </row>
    <row r="43" spans="3:30" ht="12" customHeight="1">
      <c r="C43" s="472"/>
      <c r="V43" s="507"/>
      <c r="W43" s="696"/>
      <c r="X43" s="697"/>
      <c r="Y43" s="697"/>
      <c r="Z43" s="697"/>
      <c r="AA43" s="697"/>
      <c r="AB43" s="697"/>
      <c r="AC43" s="697"/>
      <c r="AD43" s="698"/>
    </row>
    <row r="44" spans="3:30">
      <c r="C44" s="508"/>
      <c r="D44" s="509"/>
      <c r="E44" s="509"/>
      <c r="F44" s="509"/>
      <c r="G44" s="509"/>
      <c r="H44" s="509"/>
      <c r="I44" s="509"/>
      <c r="N44" s="509"/>
      <c r="O44" s="509"/>
      <c r="P44" s="509"/>
      <c r="Q44" s="509"/>
      <c r="R44" s="509"/>
      <c r="S44" s="509"/>
      <c r="T44" s="509"/>
      <c r="U44" s="509"/>
      <c r="V44" s="507"/>
      <c r="W44" s="684" t="s">
        <v>11</v>
      </c>
      <c r="X44" s="685"/>
      <c r="Y44" s="655"/>
      <c r="Z44" s="655"/>
      <c r="AA44" s="655"/>
      <c r="AB44" s="655"/>
      <c r="AC44" s="655"/>
      <c r="AD44" s="656"/>
    </row>
    <row r="45" spans="3:30">
      <c r="C45" s="508"/>
      <c r="D45" s="509"/>
      <c r="E45" s="509"/>
      <c r="F45" s="509"/>
      <c r="G45" s="509"/>
      <c r="H45" s="509"/>
      <c r="I45" s="509"/>
      <c r="N45" s="509"/>
      <c r="O45" s="509"/>
      <c r="P45" s="509"/>
      <c r="Q45" s="509"/>
      <c r="R45" s="509"/>
      <c r="S45" s="509"/>
      <c r="T45" s="509"/>
      <c r="U45" s="509"/>
      <c r="V45" s="507"/>
      <c r="W45" s="684" t="s">
        <v>984</v>
      </c>
      <c r="X45" s="685"/>
      <c r="Y45" s="655">
        <v>1</v>
      </c>
      <c r="Z45" s="655"/>
      <c r="AA45" s="655"/>
      <c r="AB45" s="655" t="s">
        <v>12</v>
      </c>
      <c r="AC45" s="655"/>
      <c r="AD45" s="477" t="s">
        <v>13</v>
      </c>
    </row>
    <row r="46" spans="3:30">
      <c r="C46" s="508"/>
      <c r="D46" s="509"/>
      <c r="E46" s="509"/>
      <c r="F46" s="509"/>
      <c r="G46" s="509"/>
      <c r="H46" s="509"/>
      <c r="I46" s="509"/>
      <c r="J46" s="509"/>
      <c r="K46" s="509"/>
      <c r="L46" s="509"/>
      <c r="M46" s="509"/>
      <c r="N46" s="509"/>
      <c r="O46" s="509"/>
      <c r="P46" s="509"/>
      <c r="Q46" s="509"/>
      <c r="R46" s="509"/>
      <c r="S46" s="509"/>
      <c r="T46" s="509"/>
      <c r="U46" s="509"/>
      <c r="V46" s="507"/>
      <c r="W46" s="684" t="s">
        <v>15</v>
      </c>
      <c r="X46" s="685"/>
      <c r="Y46" s="686"/>
      <c r="Z46" s="686"/>
      <c r="AA46" s="686"/>
      <c r="AB46" s="655" t="s">
        <v>16</v>
      </c>
      <c r="AC46" s="655"/>
      <c r="AD46" s="510"/>
    </row>
    <row r="47" spans="3:30">
      <c r="C47" s="508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7"/>
      <c r="W47" s="704" t="s">
        <v>17</v>
      </c>
      <c r="X47" s="704"/>
      <c r="Y47" s="704"/>
      <c r="Z47" s="704"/>
      <c r="AA47" s="704"/>
      <c r="AB47" s="704"/>
      <c r="AC47" s="704"/>
      <c r="AD47" s="705"/>
    </row>
    <row r="48" spans="3:30" ht="12.75" customHeight="1">
      <c r="C48" s="508"/>
      <c r="D48" s="509"/>
      <c r="E48" s="509"/>
      <c r="F48" s="509"/>
      <c r="G48" s="509"/>
      <c r="H48" s="509"/>
      <c r="I48" s="509"/>
      <c r="J48" s="509"/>
      <c r="K48" s="509"/>
      <c r="L48" s="509"/>
      <c r="M48" s="509"/>
      <c r="R48" s="509"/>
      <c r="S48" s="509"/>
      <c r="T48" s="509"/>
      <c r="U48" s="509"/>
      <c r="V48" s="507"/>
      <c r="W48" s="706" t="s">
        <v>1634</v>
      </c>
      <c r="X48" s="706"/>
      <c r="Y48" s="706"/>
      <c r="Z48" s="706"/>
      <c r="AA48" s="706"/>
      <c r="AB48" s="706"/>
      <c r="AC48" s="706"/>
      <c r="AD48" s="707"/>
    </row>
    <row r="49" spans="3:30">
      <c r="C49" s="508"/>
      <c r="D49" s="511"/>
      <c r="E49" s="509"/>
      <c r="F49" s="509"/>
      <c r="G49" s="509"/>
      <c r="I49" s="509"/>
      <c r="J49" s="509"/>
      <c r="K49" s="509"/>
      <c r="L49" s="509"/>
      <c r="M49" s="509"/>
      <c r="R49" s="509"/>
      <c r="S49" s="509"/>
      <c r="T49" s="509"/>
      <c r="U49" s="509"/>
      <c r="V49" s="512"/>
      <c r="W49" s="706"/>
      <c r="X49" s="706"/>
      <c r="Y49" s="706"/>
      <c r="Z49" s="706"/>
      <c r="AA49" s="706"/>
      <c r="AB49" s="706"/>
      <c r="AC49" s="706"/>
      <c r="AD49" s="707"/>
    </row>
    <row r="50" spans="3:30">
      <c r="C50" s="508"/>
      <c r="D50" s="513"/>
      <c r="E50" s="513"/>
      <c r="F50" s="513"/>
      <c r="G50" s="513"/>
      <c r="I50" s="509"/>
      <c r="J50" s="509"/>
      <c r="K50" s="509"/>
      <c r="L50" s="509"/>
      <c r="M50" s="509"/>
      <c r="N50" s="509"/>
      <c r="O50" s="509"/>
      <c r="P50" s="509"/>
      <c r="Q50" s="509"/>
      <c r="R50" s="509"/>
      <c r="S50" s="509"/>
      <c r="T50" s="509"/>
      <c r="U50" s="509"/>
      <c r="V50" s="512"/>
      <c r="W50" s="706"/>
      <c r="X50" s="706"/>
      <c r="Y50" s="706"/>
      <c r="Z50" s="706"/>
      <c r="AA50" s="706"/>
      <c r="AB50" s="706"/>
      <c r="AC50" s="706"/>
      <c r="AD50" s="707"/>
    </row>
    <row r="51" spans="3:30" ht="19.5" customHeight="1">
      <c r="C51" s="508"/>
      <c r="D51" s="513"/>
      <c r="E51" s="513"/>
      <c r="F51" s="513"/>
      <c r="G51" s="513"/>
      <c r="I51" s="509"/>
      <c r="J51" s="509"/>
      <c r="K51" s="509"/>
      <c r="L51" s="509"/>
      <c r="M51" s="509"/>
      <c r="N51" s="509"/>
      <c r="O51" s="509"/>
      <c r="P51" s="509"/>
      <c r="Q51" s="509"/>
      <c r="R51" s="509"/>
      <c r="S51" s="509"/>
      <c r="T51" s="509"/>
      <c r="U51" s="509"/>
      <c r="V51" s="512"/>
      <c r="W51" s="708"/>
      <c r="X51" s="708"/>
      <c r="Y51" s="708"/>
      <c r="Z51" s="708"/>
      <c r="AA51" s="708"/>
      <c r="AB51" s="708"/>
      <c r="AC51" s="708"/>
      <c r="AD51" s="709"/>
    </row>
    <row r="52" spans="3:30">
      <c r="C52" s="508"/>
      <c r="D52" s="514"/>
      <c r="E52" s="514"/>
      <c r="F52" s="514"/>
      <c r="G52" s="514"/>
      <c r="I52" s="509"/>
      <c r="J52" s="509"/>
      <c r="K52" s="509"/>
      <c r="L52" s="423"/>
      <c r="M52" s="509"/>
      <c r="N52" s="509"/>
      <c r="O52" s="509"/>
      <c r="P52" s="509"/>
      <c r="Q52" s="509"/>
      <c r="R52" s="509"/>
      <c r="S52" s="509"/>
      <c r="T52" s="509"/>
      <c r="U52" s="509"/>
      <c r="V52" s="507"/>
      <c r="W52" s="699" t="s">
        <v>18</v>
      </c>
      <c r="X52" s="685"/>
      <c r="Y52" s="655" t="s">
        <v>1626</v>
      </c>
      <c r="Z52" s="655"/>
      <c r="AA52" s="655"/>
      <c r="AB52" s="655"/>
      <c r="AC52" s="655"/>
      <c r="AD52" s="656"/>
    </row>
    <row r="53" spans="3:30">
      <c r="C53" s="508"/>
      <c r="D53" s="513"/>
      <c r="E53" s="513"/>
      <c r="F53" s="513"/>
      <c r="G53" s="513"/>
      <c r="I53" s="509"/>
      <c r="J53" s="509"/>
      <c r="K53" s="509"/>
      <c r="L53" s="509"/>
      <c r="M53" s="509"/>
      <c r="N53" s="509"/>
      <c r="O53" s="509"/>
      <c r="P53" s="509"/>
      <c r="Q53" s="509"/>
      <c r="R53" s="509"/>
      <c r="S53" s="509"/>
      <c r="T53" s="509"/>
      <c r="V53" s="507"/>
      <c r="W53" s="699" t="s">
        <v>19</v>
      </c>
      <c r="X53" s="685"/>
      <c r="Y53" s="655" t="s">
        <v>1625</v>
      </c>
      <c r="Z53" s="655"/>
      <c r="AA53" s="655"/>
      <c r="AB53" s="655"/>
      <c r="AC53" s="655"/>
      <c r="AD53" s="656"/>
    </row>
    <row r="54" spans="3:30">
      <c r="C54" s="508"/>
      <c r="D54" s="424"/>
      <c r="E54" s="424"/>
      <c r="F54" s="424"/>
      <c r="G54" s="424"/>
      <c r="I54" s="509"/>
      <c r="J54" s="509"/>
      <c r="K54" s="509"/>
      <c r="L54" s="509"/>
      <c r="M54" s="509"/>
      <c r="N54" s="509"/>
      <c r="O54" s="509"/>
      <c r="P54" s="509"/>
      <c r="Q54" s="509"/>
      <c r="R54" s="509"/>
      <c r="S54" s="509"/>
      <c r="T54" s="509"/>
      <c r="V54" s="507"/>
      <c r="W54" s="699" t="s">
        <v>20</v>
      </c>
      <c r="X54" s="685"/>
      <c r="Y54" s="655" t="s">
        <v>1625</v>
      </c>
      <c r="Z54" s="655"/>
      <c r="AA54" s="655"/>
      <c r="AB54" s="655"/>
      <c r="AC54" s="655"/>
      <c r="AD54" s="656"/>
    </row>
    <row r="55" spans="3:30" ht="12.75" thickBot="1">
      <c r="C55" s="515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7"/>
      <c r="V55" s="518"/>
      <c r="W55" s="700" t="s">
        <v>21</v>
      </c>
      <c r="X55" s="701"/>
      <c r="Y55" s="702" t="s">
        <v>1624</v>
      </c>
      <c r="Z55" s="702"/>
      <c r="AA55" s="702"/>
      <c r="AB55" s="702"/>
      <c r="AC55" s="702"/>
      <c r="AD55" s="703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A2" zoomScale="47" zoomScaleNormal="40" zoomScaleSheetLayoutView="103" workbookViewId="0">
      <selection activeCell="C6" sqref="C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0" t="s">
        <v>1622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2"/>
      <c r="AC3" s="431"/>
      <c r="AD3" s="429"/>
      <c r="AE3" s="429"/>
    </row>
    <row r="4" spans="2:31" ht="13.5" customHeight="1" thickBot="1">
      <c r="B4" s="430"/>
      <c r="C4" s="713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5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D8" sqref="D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6" t="s">
        <v>1623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06"/>
      <c r="AE4" s="205"/>
      <c r="AF4" s="205"/>
    </row>
    <row r="5" spans="2:32" ht="13.5" customHeight="1" thickBot="1">
      <c r="B5" s="204"/>
      <c r="C5" s="204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0"/>
    </row>
    <row r="76" spans="2:32" ht="15" customHeight="1">
      <c r="F76" s="461"/>
      <c r="N76" s="460"/>
    </row>
    <row r="77" spans="2:32" ht="15" customHeight="1">
      <c r="F77" s="461"/>
      <c r="N77" s="460"/>
    </row>
    <row r="78" spans="2:32" ht="15" customHeight="1">
      <c r="F78" s="461"/>
      <c r="N78" s="460"/>
    </row>
    <row r="79" spans="2:32" ht="15" customHeight="1">
      <c r="F79" s="461"/>
      <c r="N79" s="460"/>
    </row>
    <row r="80" spans="2:32" ht="15" customHeight="1">
      <c r="F80" s="461"/>
      <c r="N80" s="460"/>
    </row>
    <row r="81" spans="6:14" ht="15" customHeight="1">
      <c r="F81" s="461"/>
      <c r="N81" s="460"/>
    </row>
    <row r="82" spans="6:14" ht="15" customHeight="1">
      <c r="F82" s="461"/>
      <c r="N82" s="460"/>
    </row>
    <row r="83" spans="6:14" ht="15" customHeight="1">
      <c r="F83" s="461"/>
      <c r="N83" s="460"/>
    </row>
    <row r="84" spans="6:14" ht="15" customHeight="1">
      <c r="F84" s="461"/>
      <c r="N84" s="460"/>
    </row>
    <row r="85" spans="6:14" ht="15" customHeight="1">
      <c r="F85" s="461"/>
      <c r="N85" s="460"/>
    </row>
    <row r="86" spans="6:14" ht="15" customHeight="1">
      <c r="F86" s="461"/>
      <c r="N86" s="460"/>
    </row>
    <row r="87" spans="6:14" ht="15" customHeight="1">
      <c r="F87" s="461"/>
      <c r="N87" s="460"/>
    </row>
    <row r="88" spans="6:14" ht="15" customHeight="1">
      <c r="F88" s="461"/>
      <c r="N88" s="460"/>
    </row>
    <row r="89" spans="6:14" ht="15" customHeight="1">
      <c r="F89" s="461"/>
      <c r="N89" s="460"/>
    </row>
    <row r="90" spans="6:14" ht="15" customHeight="1">
      <c r="F90" s="461"/>
      <c r="N90" s="460"/>
    </row>
    <row r="91" spans="6:14" ht="15" customHeight="1">
      <c r="F91" s="461"/>
      <c r="N91" s="460"/>
    </row>
    <row r="92" spans="6:14" ht="15" customHeight="1">
      <c r="F92" s="461"/>
      <c r="N92" s="460"/>
    </row>
    <row r="93" spans="6:14" ht="15" customHeight="1">
      <c r="F93" s="461"/>
      <c r="N93" s="460"/>
    </row>
    <row r="94" spans="6:14" ht="15" customHeight="1">
      <c r="F94" s="461"/>
      <c r="N94" s="460"/>
    </row>
    <row r="95" spans="6:14" ht="15" customHeight="1">
      <c r="F95" s="461"/>
      <c r="N95" s="460"/>
    </row>
    <row r="96" spans="6:14" ht="15" customHeight="1">
      <c r="F96" s="461"/>
      <c r="N96" s="460"/>
    </row>
    <row r="97" spans="6:14" ht="15" customHeight="1">
      <c r="F97" s="461"/>
      <c r="N97" s="460"/>
    </row>
    <row r="98" spans="6:14" ht="15" customHeight="1">
      <c r="F98" s="461"/>
    </row>
    <row r="99" spans="6:14" ht="15" customHeight="1">
      <c r="F99" s="461"/>
    </row>
    <row r="100" spans="6:14" ht="15" customHeight="1">
      <c r="F100" s="461"/>
    </row>
    <row r="101" spans="6:14" ht="15" customHeight="1">
      <c r="F101" s="461"/>
    </row>
    <row r="102" spans="6:14" ht="15" customHeight="1">
      <c r="F102" s="461"/>
    </row>
    <row r="103" spans="6:14" ht="15" customHeight="1">
      <c r="F103" s="461"/>
    </row>
    <row r="104" spans="6:14" ht="15" customHeight="1">
      <c r="F104" s="461"/>
    </row>
    <row r="105" spans="6:14" ht="15" customHeight="1">
      <c r="F105" s="461"/>
    </row>
    <row r="106" spans="6:14" ht="15" customHeight="1">
      <c r="F106" s="461"/>
    </row>
    <row r="107" spans="6:14" ht="15" customHeight="1">
      <c r="F107" s="461"/>
    </row>
    <row r="108" spans="6:14" ht="15" customHeight="1">
      <c r="F108" s="461"/>
    </row>
    <row r="109" spans="6:14" ht="15" customHeight="1">
      <c r="F109" s="461"/>
    </row>
    <row r="110" spans="6:14" ht="15" customHeight="1">
      <c r="F110" s="461"/>
    </row>
    <row r="111" spans="6:14" ht="15" customHeight="1">
      <c r="F111" s="461"/>
    </row>
    <row r="112" spans="6:14" ht="15" customHeight="1">
      <c r="F112" s="461"/>
    </row>
    <row r="113" spans="6:6" ht="15" customHeight="1">
      <c r="F113" s="461"/>
    </row>
    <row r="114" spans="6:6" ht="15" customHeight="1">
      <c r="F114" s="461"/>
    </row>
    <row r="115" spans="6:6" ht="15" customHeight="1">
      <c r="F115" s="461"/>
    </row>
    <row r="116" spans="6:6" ht="15" customHeight="1">
      <c r="F116" s="461"/>
    </row>
    <row r="117" spans="6:6" ht="15" customHeight="1">
      <c r="F117" s="461"/>
    </row>
    <row r="118" spans="6:6" ht="15" customHeight="1">
      <c r="F118" s="461"/>
    </row>
    <row r="119" spans="6:6" ht="15" customHeight="1">
      <c r="F119" s="461"/>
    </row>
    <row r="120" spans="6:6" ht="15" customHeight="1">
      <c r="F120" s="461"/>
    </row>
    <row r="121" spans="6:6" ht="15" customHeight="1">
      <c r="F121" s="461"/>
    </row>
    <row r="122" spans="6:6">
      <c r="F122" s="461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2024-03-27T07:18:22Z</dcterms:modified>
</cp:coreProperties>
</file>