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05453A9C-AC73-4E45-A5D3-2DD320107BFC}" xr6:coauthVersionLast="47" xr6:coauthVersionMax="47" xr10:uidLastSave="{00000000-0000-0000-0000-000000000000}"/>
  <bookViews>
    <workbookView xWindow="-120" yWindow="-120" windowWidth="20730" windowHeight="11160" tabRatio="859" firstSheet="2" activeTab="1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RAB!$A$1:$K$218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G18" i="11" l="1"/>
  <c r="G19" i="11"/>
  <c r="D18" i="11"/>
  <c r="H18" i="11" s="1"/>
  <c r="E18" i="11"/>
  <c r="D19" i="11"/>
  <c r="J19" i="11" s="1"/>
  <c r="E19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3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D52" i="11"/>
  <c r="E52" i="11"/>
  <c r="D53" i="11"/>
  <c r="E53" i="11"/>
  <c r="D54" i="11"/>
  <c r="E54" i="11"/>
  <c r="D55" i="11"/>
  <c r="E55" i="11"/>
  <c r="D56" i="11"/>
  <c r="E56" i="11"/>
  <c r="D57" i="11"/>
  <c r="E57" i="11"/>
  <c r="D58" i="11"/>
  <c r="E58" i="11"/>
  <c r="D59" i="11"/>
  <c r="E59" i="11"/>
  <c r="D60" i="11"/>
  <c r="E60" i="11"/>
  <c r="D61" i="11"/>
  <c r="E61" i="11"/>
  <c r="D62" i="11"/>
  <c r="E62" i="11"/>
  <c r="D63" i="11"/>
  <c r="E63" i="11"/>
  <c r="D64" i="11"/>
  <c r="E64" i="11"/>
  <c r="D65" i="11"/>
  <c r="E65" i="11"/>
  <c r="D66" i="11"/>
  <c r="E66" i="11"/>
  <c r="D67" i="11"/>
  <c r="E67" i="11"/>
  <c r="D68" i="11"/>
  <c r="E68" i="11"/>
  <c r="D69" i="11"/>
  <c r="E69" i="11"/>
  <c r="D70" i="11"/>
  <c r="E70" i="11"/>
  <c r="D71" i="11"/>
  <c r="E71" i="11"/>
  <c r="D72" i="11"/>
  <c r="E72" i="11"/>
  <c r="D73" i="11"/>
  <c r="E73" i="11"/>
  <c r="D74" i="11"/>
  <c r="E74" i="11"/>
  <c r="D75" i="11"/>
  <c r="E75" i="11"/>
  <c r="D76" i="11"/>
  <c r="E76" i="11"/>
  <c r="D77" i="11"/>
  <c r="E77" i="11"/>
  <c r="D78" i="11"/>
  <c r="E78" i="11"/>
  <c r="D79" i="11"/>
  <c r="E79" i="11"/>
  <c r="D80" i="11"/>
  <c r="E80" i="11"/>
  <c r="D81" i="11"/>
  <c r="E81" i="11"/>
  <c r="D82" i="11"/>
  <c r="E82" i="11"/>
  <c r="D83" i="11"/>
  <c r="E83" i="11"/>
  <c r="D84" i="11"/>
  <c r="E84" i="11"/>
  <c r="D85" i="11"/>
  <c r="E85" i="11"/>
  <c r="D86" i="11"/>
  <c r="E86" i="11"/>
  <c r="D88" i="11"/>
  <c r="E88" i="11"/>
  <c r="D89" i="11"/>
  <c r="E89" i="11"/>
  <c r="D90" i="11"/>
  <c r="E90" i="11"/>
  <c r="D91" i="11"/>
  <c r="E91" i="11"/>
  <c r="D92" i="11"/>
  <c r="E92" i="11"/>
  <c r="D93" i="11"/>
  <c r="E93" i="11"/>
  <c r="D94" i="11"/>
  <c r="E94" i="11"/>
  <c r="D95" i="11"/>
  <c r="E95" i="11"/>
  <c r="D96" i="11"/>
  <c r="E96" i="11"/>
  <c r="D97" i="11"/>
  <c r="E97" i="11"/>
  <c r="D98" i="11"/>
  <c r="E98" i="11"/>
  <c r="D99" i="11"/>
  <c r="E99" i="11"/>
  <c r="D100" i="11"/>
  <c r="E100" i="11"/>
  <c r="D101" i="11"/>
  <c r="E101" i="11"/>
  <c r="D102" i="11"/>
  <c r="E102" i="11"/>
  <c r="D103" i="11"/>
  <c r="E103" i="11"/>
  <c r="D104" i="11"/>
  <c r="E104" i="11"/>
  <c r="D105" i="11"/>
  <c r="E105" i="11"/>
  <c r="D106" i="11"/>
  <c r="E106" i="11"/>
  <c r="D107" i="11"/>
  <c r="E107" i="11"/>
  <c r="D108" i="11"/>
  <c r="E108" i="11"/>
  <c r="D110" i="11"/>
  <c r="E110" i="11"/>
  <c r="D111" i="11"/>
  <c r="E111" i="11"/>
  <c r="D112" i="11"/>
  <c r="E112" i="11"/>
  <c r="D113" i="11"/>
  <c r="E113" i="11"/>
  <c r="D114" i="11"/>
  <c r="E114" i="11"/>
  <c r="D115" i="11"/>
  <c r="H115" i="11" s="1"/>
  <c r="E115" i="11"/>
  <c r="D116" i="11"/>
  <c r="E116" i="11"/>
  <c r="D117" i="11"/>
  <c r="J117" i="11" s="1"/>
  <c r="E117" i="11"/>
  <c r="D118" i="11"/>
  <c r="E118" i="11"/>
  <c r="D119" i="11"/>
  <c r="H119" i="11" s="1"/>
  <c r="E119" i="11"/>
  <c r="D120" i="11"/>
  <c r="E120" i="11"/>
  <c r="D121" i="11"/>
  <c r="J121" i="11" s="1"/>
  <c r="E121" i="11"/>
  <c r="D122" i="11"/>
  <c r="E122" i="11"/>
  <c r="D123" i="11"/>
  <c r="H123" i="11" s="1"/>
  <c r="E123" i="11"/>
  <c r="D124" i="11"/>
  <c r="E124" i="11"/>
  <c r="D125" i="11"/>
  <c r="J125" i="11" s="1"/>
  <c r="E125" i="11"/>
  <c r="D126" i="11"/>
  <c r="E126" i="11"/>
  <c r="D127" i="11"/>
  <c r="H127" i="11" s="1"/>
  <c r="E127" i="11"/>
  <c r="D128" i="11"/>
  <c r="I128" i="11" s="1"/>
  <c r="E128" i="11"/>
  <c r="F187" i="11"/>
  <c r="F186" i="11"/>
  <c r="F185" i="11"/>
  <c r="F184" i="11"/>
  <c r="F183" i="11"/>
  <c r="H19" i="11" l="1"/>
  <c r="J18" i="11"/>
  <c r="I19" i="11"/>
  <c r="I18" i="11"/>
  <c r="I124" i="11"/>
  <c r="I120" i="11"/>
  <c r="I116" i="11"/>
  <c r="I126" i="11"/>
  <c r="I122" i="11"/>
  <c r="I118" i="11"/>
  <c r="H128" i="11"/>
  <c r="I127" i="11"/>
  <c r="H126" i="11"/>
  <c r="H125" i="11"/>
  <c r="H124" i="11"/>
  <c r="I123" i="11"/>
  <c r="H122" i="11"/>
  <c r="H121" i="11"/>
  <c r="H120" i="11"/>
  <c r="I119" i="11"/>
  <c r="H118" i="11"/>
  <c r="H117" i="11"/>
  <c r="H116" i="11"/>
  <c r="I115" i="11"/>
  <c r="J113" i="11"/>
  <c r="H113" i="11"/>
  <c r="I113" i="11"/>
  <c r="H111" i="11"/>
  <c r="I111" i="11"/>
  <c r="J111" i="11"/>
  <c r="J109" i="11"/>
  <c r="H109" i="11"/>
  <c r="I109" i="11"/>
  <c r="H107" i="11"/>
  <c r="I107" i="11"/>
  <c r="J107" i="11"/>
  <c r="J105" i="11"/>
  <c r="H105" i="11"/>
  <c r="I105" i="11"/>
  <c r="H103" i="11"/>
  <c r="I103" i="11"/>
  <c r="J103" i="11"/>
  <c r="J101" i="11"/>
  <c r="H101" i="11"/>
  <c r="I101" i="11"/>
  <c r="H99" i="11"/>
  <c r="I99" i="11"/>
  <c r="J99" i="11"/>
  <c r="J97" i="11"/>
  <c r="H97" i="11"/>
  <c r="I97" i="11"/>
  <c r="H95" i="11"/>
  <c r="I95" i="11"/>
  <c r="J95" i="11"/>
  <c r="J93" i="11"/>
  <c r="H93" i="11"/>
  <c r="I93" i="11"/>
  <c r="H91" i="11"/>
  <c r="I91" i="11"/>
  <c r="J91" i="11"/>
  <c r="J89" i="11"/>
  <c r="H89" i="11"/>
  <c r="I89" i="11"/>
  <c r="H87" i="11"/>
  <c r="I87" i="11"/>
  <c r="J87" i="11"/>
  <c r="J85" i="11"/>
  <c r="H85" i="11"/>
  <c r="I85" i="11"/>
  <c r="H83" i="11"/>
  <c r="I83" i="11"/>
  <c r="J83" i="11"/>
  <c r="J81" i="11"/>
  <c r="H81" i="11"/>
  <c r="I81" i="11"/>
  <c r="H79" i="11"/>
  <c r="I79" i="11"/>
  <c r="J79" i="11"/>
  <c r="J77" i="11"/>
  <c r="H77" i="11"/>
  <c r="I77" i="11"/>
  <c r="H75" i="11"/>
  <c r="I75" i="11"/>
  <c r="J75" i="11"/>
  <c r="J73" i="11"/>
  <c r="H73" i="11"/>
  <c r="I73" i="11"/>
  <c r="H71" i="11"/>
  <c r="I71" i="11"/>
  <c r="J71" i="11"/>
  <c r="J69" i="11"/>
  <c r="H69" i="11"/>
  <c r="I69" i="11"/>
  <c r="H67" i="11"/>
  <c r="I67" i="11"/>
  <c r="J67" i="11"/>
  <c r="J65" i="11"/>
  <c r="H65" i="11"/>
  <c r="I65" i="11"/>
  <c r="H63" i="11"/>
  <c r="I63" i="11"/>
  <c r="J63" i="11"/>
  <c r="J61" i="11"/>
  <c r="H61" i="11"/>
  <c r="I61" i="11"/>
  <c r="H59" i="11"/>
  <c r="I59" i="11"/>
  <c r="J59" i="11"/>
  <c r="J57" i="11"/>
  <c r="H57" i="11"/>
  <c r="I57" i="11"/>
  <c r="H55" i="11"/>
  <c r="I55" i="11"/>
  <c r="J55" i="11"/>
  <c r="J53" i="11"/>
  <c r="H53" i="11"/>
  <c r="I53" i="11"/>
  <c r="J128" i="11"/>
  <c r="J124" i="11"/>
  <c r="J120" i="11"/>
  <c r="J116" i="11"/>
  <c r="I114" i="11"/>
  <c r="H114" i="11"/>
  <c r="H112" i="11"/>
  <c r="I112" i="11"/>
  <c r="J112" i="11"/>
  <c r="I110" i="11"/>
  <c r="J110" i="11"/>
  <c r="H110" i="11"/>
  <c r="H108" i="11"/>
  <c r="I108" i="11"/>
  <c r="J108" i="11"/>
  <c r="I106" i="11"/>
  <c r="J106" i="11"/>
  <c r="H106" i="11"/>
  <c r="H104" i="11"/>
  <c r="I104" i="11"/>
  <c r="J104" i="11"/>
  <c r="I102" i="11"/>
  <c r="J102" i="11"/>
  <c r="H102" i="11"/>
  <c r="H100" i="11"/>
  <c r="I100" i="11"/>
  <c r="J100" i="11"/>
  <c r="I98" i="11"/>
  <c r="J98" i="11"/>
  <c r="H98" i="11"/>
  <c r="H96" i="11"/>
  <c r="I96" i="11"/>
  <c r="J96" i="11"/>
  <c r="I94" i="11"/>
  <c r="J94" i="11"/>
  <c r="H94" i="11"/>
  <c r="H92" i="11"/>
  <c r="I92" i="11"/>
  <c r="J92" i="11"/>
  <c r="I90" i="11"/>
  <c r="J90" i="11"/>
  <c r="H90" i="11"/>
  <c r="H88" i="11"/>
  <c r="I88" i="11"/>
  <c r="J88" i="11"/>
  <c r="I86" i="11"/>
  <c r="J86" i="11"/>
  <c r="H86" i="11"/>
  <c r="H84" i="11"/>
  <c r="I84" i="11"/>
  <c r="J84" i="11"/>
  <c r="I82" i="11"/>
  <c r="J82" i="11"/>
  <c r="H82" i="11"/>
  <c r="H80" i="11"/>
  <c r="I80" i="11"/>
  <c r="J80" i="11"/>
  <c r="I78" i="11"/>
  <c r="J78" i="11"/>
  <c r="H78" i="11"/>
  <c r="H76" i="11"/>
  <c r="I76" i="11"/>
  <c r="J76" i="11"/>
  <c r="I74" i="11"/>
  <c r="J74" i="11"/>
  <c r="H74" i="11"/>
  <c r="H72" i="11"/>
  <c r="I72" i="11"/>
  <c r="J72" i="11"/>
  <c r="I70" i="11"/>
  <c r="J70" i="11"/>
  <c r="H70" i="11"/>
  <c r="H68" i="11"/>
  <c r="I68" i="11"/>
  <c r="J68" i="11"/>
  <c r="I66" i="11"/>
  <c r="J66" i="11"/>
  <c r="H66" i="11"/>
  <c r="H64" i="11"/>
  <c r="I64" i="11"/>
  <c r="J64" i="11"/>
  <c r="I62" i="11"/>
  <c r="J62" i="11"/>
  <c r="H62" i="11"/>
  <c r="H60" i="11"/>
  <c r="I60" i="11"/>
  <c r="J60" i="11"/>
  <c r="I58" i="11"/>
  <c r="J58" i="11"/>
  <c r="H58" i="11"/>
  <c r="H56" i="11"/>
  <c r="I56" i="11"/>
  <c r="J56" i="11"/>
  <c r="I54" i="11"/>
  <c r="J54" i="11"/>
  <c r="H54" i="11"/>
  <c r="H52" i="11"/>
  <c r="I52" i="11"/>
  <c r="J52" i="11"/>
  <c r="J127" i="11"/>
  <c r="J126" i="11"/>
  <c r="I125" i="11"/>
  <c r="J123" i="11"/>
  <c r="J122" i="11"/>
  <c r="I121" i="11"/>
  <c r="J119" i="11"/>
  <c r="J118" i="11"/>
  <c r="I117" i="11"/>
  <c r="J115" i="11"/>
  <c r="J114" i="11"/>
  <c r="K19" i="11" l="1"/>
  <c r="K18" i="11"/>
  <c r="K57" i="11"/>
  <c r="K65" i="11"/>
  <c r="K73" i="11"/>
  <c r="K81" i="11"/>
  <c r="K89" i="11"/>
  <c r="K97" i="11"/>
  <c r="K105" i="11"/>
  <c r="K113" i="11"/>
  <c r="K54" i="11"/>
  <c r="K53" i="11"/>
  <c r="K61" i="11"/>
  <c r="K69" i="11"/>
  <c r="K77" i="11"/>
  <c r="K85" i="11"/>
  <c r="K93" i="11"/>
  <c r="K58" i="11"/>
  <c r="K74" i="11"/>
  <c r="K82" i="11"/>
  <c r="K90" i="11"/>
  <c r="K98" i="11"/>
  <c r="K106" i="11"/>
  <c r="K59" i="11"/>
  <c r="K67" i="11"/>
  <c r="K75" i="11"/>
  <c r="K83" i="11"/>
  <c r="K91" i="11"/>
  <c r="K99" i="11"/>
  <c r="K107" i="11"/>
  <c r="K115" i="11"/>
  <c r="K119" i="11"/>
  <c r="K123" i="11"/>
  <c r="K127" i="11"/>
  <c r="K62" i="11"/>
  <c r="K70" i="11"/>
  <c r="K78" i="11"/>
  <c r="K86" i="11"/>
  <c r="K94" i="11"/>
  <c r="K102" i="11"/>
  <c r="K110" i="11"/>
  <c r="K55" i="11"/>
  <c r="K63" i="11"/>
  <c r="K71" i="11"/>
  <c r="K79" i="11"/>
  <c r="K87" i="11"/>
  <c r="K95" i="11"/>
  <c r="K101" i="11"/>
  <c r="K103" i="11"/>
  <c r="K109" i="11"/>
  <c r="K111" i="11"/>
  <c r="K56" i="11"/>
  <c r="K64" i="11"/>
  <c r="K72" i="11"/>
  <c r="K80" i="11"/>
  <c r="K88" i="11"/>
  <c r="K96" i="11"/>
  <c r="K104" i="11"/>
  <c r="K112" i="11"/>
  <c r="K116" i="11"/>
  <c r="K120" i="11"/>
  <c r="K124" i="11"/>
  <c r="K128" i="11"/>
  <c r="K66" i="11"/>
  <c r="K114" i="11"/>
  <c r="K117" i="11"/>
  <c r="K121" i="11"/>
  <c r="K125" i="11"/>
  <c r="K52" i="11"/>
  <c r="K60" i="11"/>
  <c r="K68" i="11"/>
  <c r="K76" i="11"/>
  <c r="K84" i="11"/>
  <c r="K92" i="11"/>
  <c r="K100" i="11"/>
  <c r="K108" i="11"/>
  <c r="K118" i="11"/>
  <c r="K122" i="11"/>
  <c r="K126" i="11"/>
  <c r="G195" i="11" l="1"/>
  <c r="G196" i="11"/>
  <c r="G197" i="11"/>
  <c r="D195" i="11"/>
  <c r="I195" i="11" s="1"/>
  <c r="E195" i="11"/>
  <c r="D196" i="11"/>
  <c r="H196" i="11" s="1"/>
  <c r="E196" i="11"/>
  <c r="D197" i="11"/>
  <c r="I197" i="11" s="1"/>
  <c r="E197" i="11"/>
  <c r="F154" i="11"/>
  <c r="F153" i="11"/>
  <c r="F152" i="11"/>
  <c r="F151" i="11"/>
  <c r="F150" i="11"/>
  <c r="F149" i="11"/>
  <c r="F146" i="11"/>
  <c r="F145" i="11"/>
  <c r="F144" i="11"/>
  <c r="F143" i="11"/>
  <c r="F140" i="11"/>
  <c r="F139" i="11"/>
  <c r="F138" i="11"/>
  <c r="F137" i="11"/>
  <c r="F134" i="11"/>
  <c r="F133" i="11"/>
  <c r="F132" i="11"/>
  <c r="F131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D129" i="11"/>
  <c r="E129" i="11"/>
  <c r="D130" i="11"/>
  <c r="E130" i="11"/>
  <c r="D131" i="11"/>
  <c r="E131" i="11"/>
  <c r="D132" i="11"/>
  <c r="E132" i="11"/>
  <c r="D133" i="11"/>
  <c r="E133" i="11"/>
  <c r="D134" i="11"/>
  <c r="E134" i="11"/>
  <c r="D135" i="11"/>
  <c r="E135" i="11"/>
  <c r="D136" i="11"/>
  <c r="E136" i="11"/>
  <c r="D137" i="11"/>
  <c r="E137" i="11"/>
  <c r="D138" i="11"/>
  <c r="E138" i="11"/>
  <c r="D139" i="11"/>
  <c r="E139" i="11"/>
  <c r="D140" i="11"/>
  <c r="E140" i="11"/>
  <c r="D141" i="11"/>
  <c r="E141" i="11"/>
  <c r="D142" i="11"/>
  <c r="E142" i="11"/>
  <c r="D143" i="11"/>
  <c r="E143" i="11"/>
  <c r="D144" i="11"/>
  <c r="E144" i="11"/>
  <c r="D145" i="11"/>
  <c r="E145" i="11"/>
  <c r="D146" i="11"/>
  <c r="E146" i="11"/>
  <c r="D147" i="11"/>
  <c r="E147" i="11"/>
  <c r="D148" i="11"/>
  <c r="E148" i="11"/>
  <c r="D149" i="11"/>
  <c r="E149" i="11"/>
  <c r="D150" i="11"/>
  <c r="E150" i="11"/>
  <c r="D151" i="11"/>
  <c r="E151" i="11"/>
  <c r="D152" i="11"/>
  <c r="E152" i="11"/>
  <c r="D153" i="11"/>
  <c r="E153" i="11"/>
  <c r="D154" i="11"/>
  <c r="I154" i="11" s="1"/>
  <c r="E154" i="11"/>
  <c r="D155" i="11"/>
  <c r="I155" i="11" s="1"/>
  <c r="E155" i="11"/>
  <c r="D156" i="11"/>
  <c r="H156" i="11" s="1"/>
  <c r="E156" i="11"/>
  <c r="D157" i="11"/>
  <c r="I157" i="11" s="1"/>
  <c r="E157" i="11"/>
  <c r="D158" i="11"/>
  <c r="H158" i="11" s="1"/>
  <c r="E158" i="11"/>
  <c r="D159" i="11"/>
  <c r="I159" i="11" s="1"/>
  <c r="E159" i="11"/>
  <c r="D160" i="11"/>
  <c r="H160" i="11" s="1"/>
  <c r="E160" i="11"/>
  <c r="D161" i="11"/>
  <c r="I161" i="11" s="1"/>
  <c r="E161" i="11"/>
  <c r="D162" i="11"/>
  <c r="H162" i="11" s="1"/>
  <c r="E162" i="11"/>
  <c r="D163" i="11"/>
  <c r="I163" i="11" s="1"/>
  <c r="E163" i="11"/>
  <c r="D164" i="11"/>
  <c r="H164" i="11" s="1"/>
  <c r="E164" i="11"/>
  <c r="D165" i="11"/>
  <c r="I165" i="11" s="1"/>
  <c r="E165" i="11"/>
  <c r="D166" i="11"/>
  <c r="H166" i="11" s="1"/>
  <c r="E166" i="11"/>
  <c r="D167" i="11"/>
  <c r="I167" i="11" s="1"/>
  <c r="E167" i="11"/>
  <c r="D168" i="11"/>
  <c r="H168" i="11" s="1"/>
  <c r="E168" i="11"/>
  <c r="D169" i="11"/>
  <c r="I169" i="11" s="1"/>
  <c r="E169" i="11"/>
  <c r="D170" i="11"/>
  <c r="H170" i="11" s="1"/>
  <c r="E170" i="11"/>
  <c r="D171" i="11"/>
  <c r="I171" i="11" s="1"/>
  <c r="E171" i="11"/>
  <c r="D172" i="11"/>
  <c r="H172" i="11" s="1"/>
  <c r="E172" i="11"/>
  <c r="D173" i="11"/>
  <c r="I173" i="11" s="1"/>
  <c r="E173" i="11"/>
  <c r="D174" i="11"/>
  <c r="H174" i="11" s="1"/>
  <c r="E174" i="11"/>
  <c r="D175" i="11"/>
  <c r="I175" i="11" s="1"/>
  <c r="E175" i="11"/>
  <c r="D176" i="11"/>
  <c r="H176" i="11" s="1"/>
  <c r="E176" i="11"/>
  <c r="D177" i="11"/>
  <c r="I177" i="11" s="1"/>
  <c r="E177" i="11"/>
  <c r="G16" i="11"/>
  <c r="G17" i="11"/>
  <c r="G20" i="11"/>
  <c r="G21" i="11"/>
  <c r="D16" i="11"/>
  <c r="I16" i="11" s="1"/>
  <c r="E16" i="11"/>
  <c r="D17" i="11"/>
  <c r="H17" i="11" s="1"/>
  <c r="E17" i="11"/>
  <c r="F51" i="11"/>
  <c r="F50" i="11"/>
  <c r="F49" i="11"/>
  <c r="F48" i="11"/>
  <c r="F47" i="11"/>
  <c r="F46" i="11"/>
  <c r="F45" i="11"/>
  <c r="F44" i="11"/>
  <c r="F43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D22" i="11"/>
  <c r="J22" i="11" s="1"/>
  <c r="E22" i="11"/>
  <c r="D23" i="11"/>
  <c r="I23" i="11" s="1"/>
  <c r="E23" i="11"/>
  <c r="D24" i="11"/>
  <c r="H24" i="11" s="1"/>
  <c r="E24" i="11"/>
  <c r="D25" i="11"/>
  <c r="E25" i="11"/>
  <c r="D26" i="11"/>
  <c r="J26" i="11" s="1"/>
  <c r="E26" i="11"/>
  <c r="D27" i="11"/>
  <c r="I27" i="11" s="1"/>
  <c r="E27" i="11"/>
  <c r="D28" i="11"/>
  <c r="E28" i="11"/>
  <c r="D29" i="11"/>
  <c r="H29" i="11" s="1"/>
  <c r="E29" i="11"/>
  <c r="D30" i="11"/>
  <c r="J30" i="11" s="1"/>
  <c r="E30" i="11"/>
  <c r="D31" i="11"/>
  <c r="E31" i="11"/>
  <c r="D32" i="11"/>
  <c r="H32" i="11" s="1"/>
  <c r="E32" i="11"/>
  <c r="D33" i="11"/>
  <c r="H33" i="11" s="1"/>
  <c r="E33" i="11"/>
  <c r="D34" i="11"/>
  <c r="J34" i="11" s="1"/>
  <c r="E34" i="11"/>
  <c r="D35" i="11"/>
  <c r="E35" i="11"/>
  <c r="D36" i="11"/>
  <c r="H36" i="11" s="1"/>
  <c r="E36" i="11"/>
  <c r="D37" i="11"/>
  <c r="H37" i="11" s="1"/>
  <c r="E37" i="11"/>
  <c r="D38" i="11"/>
  <c r="J38" i="11" s="1"/>
  <c r="E38" i="11"/>
  <c r="D39" i="11"/>
  <c r="E39" i="11"/>
  <c r="D40" i="11"/>
  <c r="H40" i="11" s="1"/>
  <c r="E40" i="11"/>
  <c r="D41" i="11"/>
  <c r="J41" i="11" s="1"/>
  <c r="E41" i="11"/>
  <c r="D42" i="11"/>
  <c r="I42" i="11" s="1"/>
  <c r="E42" i="11"/>
  <c r="D43" i="11"/>
  <c r="H43" i="11" s="1"/>
  <c r="E43" i="11"/>
  <c r="D44" i="11"/>
  <c r="H44" i="11" s="1"/>
  <c r="E44" i="11"/>
  <c r="D45" i="11"/>
  <c r="J45" i="11" s="1"/>
  <c r="E45" i="11"/>
  <c r="D46" i="11"/>
  <c r="E46" i="11"/>
  <c r="D47" i="11"/>
  <c r="H47" i="11" s="1"/>
  <c r="E47" i="11"/>
  <c r="D48" i="11"/>
  <c r="H48" i="11" s="1"/>
  <c r="E48" i="11"/>
  <c r="D49" i="11"/>
  <c r="J49" i="11" s="1"/>
  <c r="E49" i="11"/>
  <c r="D50" i="11"/>
  <c r="E50" i="11"/>
  <c r="D51" i="11"/>
  <c r="H51" i="11" s="1"/>
  <c r="E51" i="11"/>
  <c r="H25" i="11" l="1"/>
  <c r="I50" i="11"/>
  <c r="I46" i="11"/>
  <c r="I39" i="11"/>
  <c r="I35" i="11"/>
  <c r="J197" i="11"/>
  <c r="H197" i="11"/>
  <c r="I196" i="11"/>
  <c r="J195" i="11"/>
  <c r="H195" i="11"/>
  <c r="J196" i="11"/>
  <c r="H153" i="11"/>
  <c r="J153" i="11"/>
  <c r="I152" i="11"/>
  <c r="H152" i="11"/>
  <c r="J152" i="11"/>
  <c r="H151" i="11"/>
  <c r="J151" i="11"/>
  <c r="I151" i="11"/>
  <c r="I150" i="11"/>
  <c r="H150" i="11"/>
  <c r="J150" i="11"/>
  <c r="H149" i="11"/>
  <c r="J149" i="11"/>
  <c r="I149" i="11"/>
  <c r="I148" i="11"/>
  <c r="H148" i="11"/>
  <c r="J148" i="11"/>
  <c r="H147" i="11"/>
  <c r="J147" i="11"/>
  <c r="I147" i="11"/>
  <c r="I146" i="11"/>
  <c r="H146" i="11"/>
  <c r="J146" i="11"/>
  <c r="H145" i="11"/>
  <c r="J145" i="11"/>
  <c r="I145" i="11"/>
  <c r="I144" i="11"/>
  <c r="H144" i="11"/>
  <c r="J144" i="11"/>
  <c r="H143" i="11"/>
  <c r="J143" i="11"/>
  <c r="I143" i="11"/>
  <c r="I142" i="11"/>
  <c r="H142" i="11"/>
  <c r="J142" i="11"/>
  <c r="H141" i="11"/>
  <c r="J141" i="11"/>
  <c r="I141" i="11"/>
  <c r="I140" i="11"/>
  <c r="H140" i="11"/>
  <c r="J140" i="11"/>
  <c r="H139" i="11"/>
  <c r="J139" i="11"/>
  <c r="I139" i="11"/>
  <c r="I138" i="11"/>
  <c r="H138" i="11"/>
  <c r="J138" i="11"/>
  <c r="H137" i="11"/>
  <c r="J137" i="11"/>
  <c r="I137" i="11"/>
  <c r="I136" i="11"/>
  <c r="H136" i="11"/>
  <c r="J136" i="11"/>
  <c r="H135" i="11"/>
  <c r="J135" i="11"/>
  <c r="I135" i="11"/>
  <c r="I134" i="11"/>
  <c r="H134" i="11"/>
  <c r="J134" i="11"/>
  <c r="H133" i="11"/>
  <c r="J133" i="11"/>
  <c r="I133" i="11"/>
  <c r="I132" i="11"/>
  <c r="H132" i="11"/>
  <c r="J132" i="11"/>
  <c r="H131" i="11"/>
  <c r="J131" i="11"/>
  <c r="I131" i="11"/>
  <c r="I130" i="11"/>
  <c r="H130" i="11"/>
  <c r="J130" i="11"/>
  <c r="H129" i="11"/>
  <c r="J129" i="11"/>
  <c r="I129" i="11"/>
  <c r="J177" i="11"/>
  <c r="H177" i="11"/>
  <c r="I176" i="11"/>
  <c r="J175" i="11"/>
  <c r="H175" i="11"/>
  <c r="I174" i="11"/>
  <c r="J173" i="11"/>
  <c r="H173" i="11"/>
  <c r="I172" i="11"/>
  <c r="J171" i="11"/>
  <c r="H171" i="11"/>
  <c r="I170" i="11"/>
  <c r="J169" i="11"/>
  <c r="H169" i="11"/>
  <c r="I168" i="11"/>
  <c r="J167" i="11"/>
  <c r="H167" i="11"/>
  <c r="I166" i="11"/>
  <c r="J165" i="11"/>
  <c r="H165" i="11"/>
  <c r="I164" i="11"/>
  <c r="J163" i="11"/>
  <c r="H163" i="11"/>
  <c r="I162" i="11"/>
  <c r="J161" i="11"/>
  <c r="H161" i="11"/>
  <c r="I160" i="11"/>
  <c r="J159" i="11"/>
  <c r="H159" i="11"/>
  <c r="I158" i="11"/>
  <c r="J157" i="11"/>
  <c r="H157" i="11"/>
  <c r="I156" i="11"/>
  <c r="J155" i="11"/>
  <c r="H155" i="11"/>
  <c r="H154" i="11"/>
  <c r="J176" i="11"/>
  <c r="J174" i="11"/>
  <c r="J172" i="11"/>
  <c r="J170" i="11"/>
  <c r="J168" i="11"/>
  <c r="J166" i="11"/>
  <c r="J164" i="11"/>
  <c r="J162" i="11"/>
  <c r="J160" i="11"/>
  <c r="J158" i="11"/>
  <c r="J156" i="11"/>
  <c r="J154" i="11"/>
  <c r="I153" i="11"/>
  <c r="I31" i="11"/>
  <c r="H16" i="11"/>
  <c r="I17" i="11"/>
  <c r="J16" i="11"/>
  <c r="J17" i="11"/>
  <c r="H28" i="11"/>
  <c r="H50" i="11"/>
  <c r="I49" i="11"/>
  <c r="J48" i="11"/>
  <c r="H46" i="11"/>
  <c r="I45" i="11"/>
  <c r="J44" i="11"/>
  <c r="H42" i="11"/>
  <c r="I41" i="11"/>
  <c r="H39" i="11"/>
  <c r="I38" i="11"/>
  <c r="J37" i="11"/>
  <c r="H35" i="11"/>
  <c r="I34" i="11"/>
  <c r="J33" i="11"/>
  <c r="H31" i="11"/>
  <c r="I30" i="11"/>
  <c r="J29" i="11"/>
  <c r="H27" i="11"/>
  <c r="I26" i="11"/>
  <c r="J25" i="11"/>
  <c r="H23" i="11"/>
  <c r="I22" i="11"/>
  <c r="J51" i="11"/>
  <c r="H49" i="11"/>
  <c r="I48" i="11"/>
  <c r="J47" i="11"/>
  <c r="H45" i="11"/>
  <c r="I44" i="11"/>
  <c r="J43" i="11"/>
  <c r="H41" i="11"/>
  <c r="J40" i="11"/>
  <c r="H38" i="11"/>
  <c r="I37" i="11"/>
  <c r="J36" i="11"/>
  <c r="H34" i="11"/>
  <c r="I33" i="11"/>
  <c r="J32" i="11"/>
  <c r="H30" i="11"/>
  <c r="I29" i="11"/>
  <c r="J28" i="11"/>
  <c r="H26" i="11"/>
  <c r="I25" i="11"/>
  <c r="J24" i="11"/>
  <c r="H22" i="11"/>
  <c r="I51" i="11"/>
  <c r="J50" i="11"/>
  <c r="I47" i="11"/>
  <c r="J46" i="11"/>
  <c r="I43" i="11"/>
  <c r="J42" i="11"/>
  <c r="I40" i="11"/>
  <c r="J39" i="11"/>
  <c r="I36" i="11"/>
  <c r="J35" i="11"/>
  <c r="I32" i="11"/>
  <c r="J31" i="11"/>
  <c r="I28" i="11"/>
  <c r="J27" i="11"/>
  <c r="I24" i="11"/>
  <c r="J23" i="11"/>
  <c r="K29" i="11" l="1"/>
  <c r="K34" i="11"/>
  <c r="K44" i="11"/>
  <c r="K49" i="11"/>
  <c r="K25" i="11"/>
  <c r="K197" i="11"/>
  <c r="K196" i="11"/>
  <c r="K195" i="11"/>
  <c r="K157" i="11"/>
  <c r="K161" i="11"/>
  <c r="K165" i="11"/>
  <c r="K169" i="11"/>
  <c r="K177" i="11"/>
  <c r="K156" i="11"/>
  <c r="K160" i="11"/>
  <c r="K164" i="11"/>
  <c r="K168" i="11"/>
  <c r="K172" i="11"/>
  <c r="K176" i="11"/>
  <c r="K158" i="11"/>
  <c r="K162" i="11"/>
  <c r="K166" i="11"/>
  <c r="K170" i="11"/>
  <c r="K173" i="11"/>
  <c r="K174" i="11"/>
  <c r="K16" i="11"/>
  <c r="K153" i="11"/>
  <c r="K154" i="11"/>
  <c r="K155" i="11"/>
  <c r="K159" i="11"/>
  <c r="K163" i="11"/>
  <c r="K167" i="11"/>
  <c r="K171" i="11"/>
  <c r="K175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7" i="11"/>
  <c r="K24" i="11"/>
  <c r="K40" i="11"/>
  <c r="K28" i="11"/>
  <c r="K43" i="11"/>
  <c r="K36" i="11"/>
  <c r="K51" i="11"/>
  <c r="K37" i="11"/>
  <c r="K22" i="11"/>
  <c r="K33" i="11"/>
  <c r="K38" i="11"/>
  <c r="K48" i="11"/>
  <c r="K32" i="11"/>
  <c r="K47" i="11"/>
  <c r="K35" i="11"/>
  <c r="K50" i="11"/>
  <c r="K31" i="11"/>
  <c r="K46" i="11"/>
  <c r="K45" i="11"/>
  <c r="K26" i="11"/>
  <c r="K41" i="11"/>
  <c r="K27" i="11"/>
  <c r="K42" i="11"/>
  <c r="K30" i="11"/>
  <c r="K23" i="11"/>
  <c r="K39" i="11"/>
  <c r="D21" i="11" l="1"/>
  <c r="E21" i="11"/>
  <c r="G183" i="11"/>
  <c r="G184" i="11"/>
  <c r="G185" i="11"/>
  <c r="G186" i="11"/>
  <c r="G187" i="11"/>
  <c r="H21" i="11" l="1"/>
  <c r="J21" i="11"/>
  <c r="I21" i="11"/>
  <c r="F194" i="11"/>
  <c r="F193" i="11"/>
  <c r="F192" i="11"/>
  <c r="F191" i="11"/>
  <c r="F190" i="11"/>
  <c r="D187" i="11"/>
  <c r="H187" i="11" s="1"/>
  <c r="E187" i="11"/>
  <c r="G181" i="11"/>
  <c r="G182" i="11"/>
  <c r="G188" i="11"/>
  <c r="G189" i="11"/>
  <c r="G190" i="11"/>
  <c r="G191" i="11"/>
  <c r="G192" i="11"/>
  <c r="G193" i="11"/>
  <c r="G194" i="11"/>
  <c r="D181" i="11"/>
  <c r="H181" i="11" s="1"/>
  <c r="E181" i="11"/>
  <c r="D182" i="11"/>
  <c r="J182" i="11" s="1"/>
  <c r="E182" i="11"/>
  <c r="D183" i="11"/>
  <c r="I183" i="11" s="1"/>
  <c r="E183" i="11"/>
  <c r="D184" i="11"/>
  <c r="E184" i="11"/>
  <c r="D185" i="11"/>
  <c r="E185" i="11"/>
  <c r="D186" i="11"/>
  <c r="E186" i="11"/>
  <c r="D188" i="11"/>
  <c r="I188" i="11" s="1"/>
  <c r="E188" i="11"/>
  <c r="D189" i="11"/>
  <c r="H189" i="11" s="1"/>
  <c r="E189" i="11"/>
  <c r="D190" i="11"/>
  <c r="H190" i="11" s="1"/>
  <c r="E190" i="11"/>
  <c r="D191" i="11"/>
  <c r="J191" i="11" s="1"/>
  <c r="E191" i="11"/>
  <c r="D192" i="11"/>
  <c r="E192" i="11"/>
  <c r="D193" i="11"/>
  <c r="H193" i="11" s="1"/>
  <c r="E193" i="11"/>
  <c r="D194" i="11"/>
  <c r="H194" i="11" s="1"/>
  <c r="E194" i="11"/>
  <c r="G15" i="11"/>
  <c r="K21" i="11" l="1"/>
  <c r="I192" i="11"/>
  <c r="J187" i="11"/>
  <c r="I187" i="11"/>
  <c r="H185" i="11"/>
  <c r="J186" i="11"/>
  <c r="H184" i="11"/>
  <c r="J190" i="11"/>
  <c r="H188" i="11"/>
  <c r="H182" i="11"/>
  <c r="I191" i="11"/>
  <c r="J185" i="11"/>
  <c r="H183" i="11"/>
  <c r="H191" i="11"/>
  <c r="J189" i="11"/>
  <c r="I186" i="11"/>
  <c r="J181" i="11"/>
  <c r="H192" i="11"/>
  <c r="H186" i="11"/>
  <c r="J184" i="11"/>
  <c r="I182" i="11"/>
  <c r="J194" i="11"/>
  <c r="I194" i="11"/>
  <c r="J193" i="11"/>
  <c r="I190" i="11"/>
  <c r="I185" i="11"/>
  <c r="I181" i="11"/>
  <c r="I193" i="11"/>
  <c r="J192" i="11"/>
  <c r="I189" i="11"/>
  <c r="J188" i="11"/>
  <c r="I184" i="11"/>
  <c r="J183" i="11"/>
  <c r="K193" i="11" l="1"/>
  <c r="K190" i="11"/>
  <c r="K187" i="11"/>
  <c r="K186" i="11"/>
  <c r="K184" i="11"/>
  <c r="K194" i="11"/>
  <c r="K192" i="11"/>
  <c r="K191" i="11"/>
  <c r="K189" i="11"/>
  <c r="K185" i="11"/>
  <c r="K183" i="11"/>
  <c r="K188" i="11"/>
  <c r="K181" i="11"/>
  <c r="K182" i="11"/>
  <c r="D8" i="59" l="1"/>
  <c r="E20" i="11"/>
  <c r="D180" i="11" l="1"/>
  <c r="H180" i="11" s="1"/>
  <c r="D198" i="11"/>
  <c r="J198" i="11" s="1"/>
  <c r="G180" i="11"/>
  <c r="D15" i="11"/>
  <c r="D20" i="11"/>
  <c r="K6" i="60"/>
  <c r="M199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M155" i="11"/>
  <c r="D14" i="59"/>
  <c r="D5" i="60" s="1"/>
  <c r="K5" i="60" s="1"/>
  <c r="E15" i="11"/>
  <c r="A15" i="11"/>
  <c r="D19" i="59"/>
  <c r="D18" i="59"/>
  <c r="M16" i="11"/>
  <c r="E180" i="11"/>
  <c r="D178" i="11"/>
  <c r="E178" i="11"/>
  <c r="M180" i="11"/>
  <c r="D179" i="11"/>
  <c r="E179" i="11"/>
  <c r="E198" i="11"/>
  <c r="G198" i="11"/>
  <c r="D14" i="11"/>
  <c r="H14" i="11" s="1"/>
  <c r="E14" i="11"/>
  <c r="G14" i="11"/>
  <c r="K19" i="60"/>
  <c r="D19" i="60"/>
  <c r="M198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199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99" i="11"/>
  <c r="D200" i="11"/>
  <c r="E200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200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179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178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99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207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189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20" i="11" l="1"/>
  <c r="H20" i="11"/>
  <c r="J20" i="11"/>
  <c r="D9" i="60"/>
  <c r="H15" i="11"/>
  <c r="I15" i="11"/>
  <c r="J15" i="11"/>
  <c r="H179" i="11"/>
  <c r="D312" i="29"/>
  <c r="E312" i="29" s="1"/>
  <c r="D802" i="41"/>
  <c r="E802" i="41" s="1"/>
  <c r="D22" i="59"/>
  <c r="K8" i="60" s="1"/>
  <c r="D21" i="59"/>
  <c r="M190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91" i="11"/>
  <c r="M192" i="11"/>
  <c r="M194" i="11"/>
  <c r="M193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22" i="29"/>
  <c r="F250" i="29"/>
  <c r="E273" i="29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179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F806" i="41"/>
  <c r="E1081" i="41"/>
  <c r="E1027" i="41"/>
  <c r="F861" i="41"/>
  <c r="E861" i="41"/>
  <c r="E230" i="29"/>
  <c r="E346" i="29"/>
  <c r="E274" i="29"/>
  <c r="F274" i="29"/>
  <c r="H200" i="11"/>
  <c r="J200" i="11"/>
  <c r="J179" i="11"/>
  <c r="E340" i="29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J178" i="11"/>
  <c r="I178" i="11"/>
  <c r="E348" i="29"/>
  <c r="E59" i="39"/>
  <c r="E290" i="29"/>
  <c r="F323" i="29"/>
  <c r="E260" i="29"/>
  <c r="E236" i="29"/>
  <c r="E73" i="39"/>
  <c r="E341" i="29"/>
  <c r="F341" i="29"/>
  <c r="F299" i="29"/>
  <c r="F300" i="29"/>
  <c r="E284" i="29"/>
  <c r="F233" i="29"/>
  <c r="E58" i="39"/>
  <c r="F319" i="29"/>
  <c r="F310" i="29"/>
  <c r="H178" i="11"/>
  <c r="M188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I200" i="11"/>
  <c r="I198" i="11"/>
  <c r="J180" i="11"/>
  <c r="H198" i="11"/>
  <c r="I180" i="11"/>
  <c r="F805" i="41" l="1"/>
  <c r="F315" i="29"/>
  <c r="F830" i="41"/>
  <c r="F340" i="29"/>
  <c r="F787" i="41"/>
  <c r="F297" i="29"/>
  <c r="K20" i="11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181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F817" i="41"/>
  <c r="F822" i="41"/>
  <c r="F332" i="29"/>
  <c r="F804" i="41"/>
  <c r="F314" i="29"/>
  <c r="M20" i="1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K180" i="11"/>
  <c r="M170" i="11"/>
  <c r="M160" i="11"/>
  <c r="K179" i="11"/>
  <c r="M179" i="11" s="1"/>
  <c r="M21" i="11"/>
  <c r="M197" i="11"/>
  <c r="K200" i="11"/>
  <c r="M176" i="11"/>
  <c r="M177" i="11"/>
  <c r="F350" i="29"/>
  <c r="M173" i="11"/>
  <c r="M175" i="11"/>
  <c r="M156" i="11"/>
  <c r="M166" i="11"/>
  <c r="M159" i="11"/>
  <c r="M164" i="11"/>
  <c r="K178" i="11"/>
  <c r="M178" i="11" s="1"/>
  <c r="K198" i="11"/>
  <c r="M161" i="11"/>
  <c r="H199" i="11"/>
  <c r="H202" i="11" s="1"/>
  <c r="F312" i="29"/>
  <c r="F339" i="29"/>
  <c r="F226" i="29"/>
  <c r="F345" i="29"/>
  <c r="F239" i="29"/>
  <c r="I199" i="11"/>
  <c r="I202" i="11" s="1"/>
  <c r="J199" i="11"/>
  <c r="J202" i="11" s="1"/>
  <c r="M165" i="11"/>
  <c r="M174" i="11"/>
  <c r="M167" i="11"/>
  <c r="M168" i="11"/>
  <c r="M171" i="11"/>
  <c r="M172" i="11"/>
  <c r="M169" i="11"/>
  <c r="M157" i="11"/>
  <c r="M162" i="11"/>
  <c r="M158" i="11"/>
  <c r="M163" i="1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D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203" i="11"/>
  <c r="J204" i="11" s="1"/>
  <c r="H203" i="11"/>
  <c r="H204" i="11" s="1"/>
  <c r="I203" i="11"/>
  <c r="I204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B23" i="39"/>
  <c r="E23" i="39" s="1"/>
  <c r="G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7" i="29"/>
  <c r="D106" i="29"/>
  <c r="D92" i="29"/>
  <c r="B21" i="39"/>
  <c r="E21" i="39" s="1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99" i="11"/>
  <c r="K202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28" i="39" l="1"/>
  <c r="G21" i="39"/>
  <c r="D26" i="39"/>
  <c r="G23" i="39"/>
  <c r="D68" i="29"/>
  <c r="J68" i="29" s="1"/>
  <c r="B124" i="29"/>
  <c r="E124" i="29" s="1"/>
  <c r="D148" i="29"/>
  <c r="I148" i="29" s="1"/>
  <c r="D90" i="29"/>
  <c r="J90" i="29" s="1"/>
  <c r="G18" i="39"/>
  <c r="G77" i="29"/>
  <c r="I30" i="39"/>
  <c r="G133" i="29"/>
  <c r="G29" i="39"/>
  <c r="G24" i="29"/>
  <c r="D124" i="29"/>
  <c r="H124" i="29" s="1"/>
  <c r="D33" i="39"/>
  <c r="H33" i="39" s="1"/>
  <c r="B112" i="29"/>
  <c r="E112" i="29" s="1"/>
  <c r="B149" i="29"/>
  <c r="E149" i="29" s="1"/>
  <c r="D85" i="29"/>
  <c r="H85" i="29" s="1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J29" i="39" s="1"/>
  <c r="B28" i="39"/>
  <c r="E28" i="39" s="1"/>
  <c r="D20" i="39"/>
  <c r="J20" i="39" s="1"/>
  <c r="B38" i="29"/>
  <c r="E38" i="29" s="1"/>
  <c r="G85" i="29"/>
  <c r="G115" i="29"/>
  <c r="G58" i="29"/>
  <c r="D122" i="29"/>
  <c r="H122" i="29" s="1"/>
  <c r="D143" i="29"/>
  <c r="I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J132" i="29" s="1"/>
  <c r="G32" i="39"/>
  <c r="D18" i="29"/>
  <c r="J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203" i="11"/>
  <c r="K204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92" i="29"/>
  <c r="I92" i="29"/>
  <c r="J92" i="29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I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J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60" i="29"/>
  <c r="H160" i="29"/>
  <c r="J160" i="29"/>
  <c r="H58" i="29"/>
  <c r="J58" i="29"/>
  <c r="I58" i="29"/>
  <c r="H113" i="29"/>
  <c r="J113" i="29"/>
  <c r="I33" i="29"/>
  <c r="H33" i="29"/>
  <c r="J33" i="29"/>
  <c r="I122" i="29"/>
  <c r="H67" i="29"/>
  <c r="J67" i="29"/>
  <c r="I67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I68" i="29" l="1"/>
  <c r="H68" i="29"/>
  <c r="H132" i="29"/>
  <c r="I132" i="29"/>
  <c r="H90" i="29"/>
  <c r="J33" i="39"/>
  <c r="I90" i="29"/>
  <c r="H148" i="29"/>
  <c r="H143" i="29"/>
  <c r="K143" i="29" s="1"/>
  <c r="J124" i="29"/>
  <c r="K124" i="29" s="1"/>
  <c r="J148" i="29"/>
  <c r="H29" i="39"/>
  <c r="K29" i="39" s="1"/>
  <c r="I85" i="29"/>
  <c r="K85" i="29" s="1"/>
  <c r="I22" i="39"/>
  <c r="K30" i="39"/>
  <c r="I33" i="39"/>
  <c r="K33" i="39" s="1"/>
  <c r="I81" i="29"/>
  <c r="J122" i="29"/>
  <c r="K122" i="29" s="1"/>
  <c r="I18" i="29"/>
  <c r="I20" i="29"/>
  <c r="I86" i="29"/>
  <c r="I17" i="39"/>
  <c r="J20" i="29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63" i="29"/>
  <c r="K112" i="29"/>
  <c r="K24" i="29"/>
  <c r="K116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K92" i="29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205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132" i="29" l="1"/>
  <c r="K90" i="29"/>
  <c r="K148" i="29"/>
  <c r="K157" i="29"/>
  <c r="K18" i="29"/>
  <c r="K22" i="39"/>
  <c r="K81" i="29"/>
  <c r="K20" i="29"/>
  <c r="K86" i="29"/>
  <c r="K30" i="29"/>
  <c r="K17" i="3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<sst xmlns="http://schemas.openxmlformats.org/spreadsheetml/2006/main" count="4892" uniqueCount="1654">
  <si>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</si>
  <si>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</si>
  <si>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</si>
  <si>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</si>
  <si>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</si>
  <si>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</si>
  <si>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</si>
  <si>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</si>
  <si>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</si>
  <si>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</si>
  <si>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</si>
  <si>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</si>
  <si>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</si>
  <si>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</si>
  <si>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</si>
  <si>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</si>
  <si>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</si>
  <si>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</si>
  <si>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</si>
  <si>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</si>
  <si>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</si>
  <si>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</si>
  <si>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</si>
  <si>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</si>
  <si>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</si>
  <si>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</si>
  <si>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</si>
  <si>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</si>
  <si>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</si>
  <si>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</si>
  <si>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</si>
  <si>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</si>
  <si>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</si>
  <si>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</si>
  <si>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</si>
  <si>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</si>
  <si>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</si>
  <si>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</si>
  <si>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</si>
  <si>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</si>
  <si>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</si>
  <si>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</si>
  <si>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</si>
  <si>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</si>
  <si>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</si>
  <si>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</si>
  <si>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</si>
  <si>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</si>
  <si>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</si>
  <si>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</si>
  <si>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</si>
  <si>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</si>
  <si>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</si>
  <si>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</si>
  <si>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</si>
  <si>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</si>
  <si>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</si>
  <si>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</si>
  <si>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</si>
  <si>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</si>
  <si>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</si>
  <si>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</si>
  <si>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</si>
  <si>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</si>
  <si>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</si>
  <si>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</si>
  <si>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</si>
  <si>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</si>
  <si>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</si>
  <si>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</si>
  <si>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</si>
  <si>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</si>
  <si>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</si>
  <si>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</si>
  <si>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</si>
  <si>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</si>
  <si>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</si>
  <si>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</si>
  <si>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</si>
  <si>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</si>
  <si>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</si>
  <si>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</si>
  <si>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</si>
  <si>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</si>
  <si>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</si>
  <si>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</si>
  <si>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</si>
  <si>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</si>
  <si>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</si>
  <si>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</si>
  <si>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</si>
  <si>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</si>
  <si>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</si>
  <si>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</si>
  <si>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</si>
  <si>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</si>
  <si>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</si>
  <si>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</si>
  <si>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</si>
  <si>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</si>
  <si>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</si>
  <si>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</si>
  <si>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</si>
  <si>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</si>
  <si>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</si>
  <si>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</si>
  <si>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</si>
  <si>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</si>
  <si>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</si>
  <si>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</si>
  <si>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</si>
  <si>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</si>
  <si>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</si>
  <si>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</si>
  <si>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</si>
  <si>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</si>
  <si>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</si>
  <si>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</si>
  <si>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</si>
  <si>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</si>
  <si>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</si>
  <si>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</si>
  <si>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</si>
  <si>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</si>
  <si>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</si>
  <si>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</si>
  <si>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</si>
  <si>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</si>
  <si>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</si>
  <si>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</si>
  <si>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</si>
  <si>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</si>
  <si>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</si>
  <si>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</si>
  <si>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</si>
  <si>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</si>
  <si>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</si>
  <si>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</si>
  <si>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</si>
  <si>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</si>
  <si>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</si>
  <si>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</si>
  <si>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</si>
  <si>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</si>
  <si>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</si>
  <si>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</si>
  <si>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</si>
  <si>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</si>
  <si>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</si>
  <si>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</si>
  <si>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</si>
  <si>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</si>
  <si>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</si>
  <si>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</si>
  <si>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</si>
  <si>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</si>
  <si>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</si>
  <si>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</si>
  <si>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</si>
  <si>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</si>
  <si>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</si>
  <si>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</si>
  <si>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</si>
  <si>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</si>
  <si>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</si>
  <si>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</si>
  <si>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</si>
  <si>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</si>
  <si>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</si>
  <si>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</si>
  <si>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</si>
  <si>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</si>
  <si>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</si>
  <si>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</si>
  <si>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</si>
  <si>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</si>
  <si>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</si>
  <si>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</si>
  <si>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</si>
  <si>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</si>
  <si>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</si>
  <si>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</si>
  <si>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</si>
  <si>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</si>
  <si>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</si>
  <si>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</si>
  <si>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</si>
  <si>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</si>
  <si>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</si>
  <si>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</si>
  <si>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</si>
  <si>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</si>
  <si>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</si>
  <si>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</si>
  <si>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</si>
  <si>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</si>
  <si>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</si>
  <si>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</si>
  <si>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</si>
  <si>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</si>
  <si>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</si>
  <si>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</si>
  <si>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</si>
  <si>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</si>
  <si>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</si>
  <si>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</si>
  <si>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</si>
  <si>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</si>
  <si>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</si>
  <si>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</si>
  <si>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</si>
  <si>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</si>
  <si>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</si>
  <si>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</si>
  <si>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</si>
  <si>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</si>
  <si>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</si>
  <si>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</si>
  <si>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</si>
  <si>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</si>
  <si>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</si>
  <si>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</si>
  <si>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</si>
  <si>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</si>
  <si>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</si>
  <si>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</si>
  <si>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</si>
  <si>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</si>
  <si>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</si>
  <si>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</si>
  <si>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</si>
  <si>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</si>
  <si>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</si>
  <si>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</si>
  <si>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</si>
  <si>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</si>
  <si>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</si>
  <si>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</si>
  <si>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</si>
  <si>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</si>
  <si>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</si>
  <si>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</si>
  <si>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</si>
  <si>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</si>
  <si>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</si>
  <si>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</si>
  <si>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</si>
  <si>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</si>
  <si>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</si>
  <si>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</si>
  <si>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</si>
  <si>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</si>
  <si>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</si>
  <si>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</si>
  <si>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</si>
  <si>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</si>
  <si>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</si>
  <si>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</si>
  <si>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</si>
  <si>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</si>
  <si>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</si>
  <si>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</si>
  <si>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</si>
  <si>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</si>
  <si>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</si>
  <si>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</si>
  <si>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</si>
  <si>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</si>
  <si>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</si>
  <si>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</si>
  <si>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</si>
  <si>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</si>
  <si>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</si>
  <si>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</si>
  <si>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</si>
  <si>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</si>
  <si>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</si>
  <si>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</si>
  <si>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</si>
  <si>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</si>
  <si>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</si>
  <si>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</si>
  <si>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</si>
  <si>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</si>
  <si>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</si>
  <si>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</si>
  <si>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</si>
  <si>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</si>
  <si>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</si>
  <si>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</si>
  <si>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</si>
  <si>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</si>
  <si>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</si>
  <si>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</si>
  <si>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</si>
  <si>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</si>
  <si>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</si>
  <si>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</si>
  <si>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</si>
  <si>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</si>
  <si>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</si>
  <si>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</si>
  <si>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</si>
  <si>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</si>
  <si>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</si>
  <si>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</si>
  <si>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</si>
  <si>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</si>
  <si>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</si>
  <si>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</si>
  <si>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</si>
  <si>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</si>
  <si>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</si>
  <si>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</si>
  <si>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</si>
  <si>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</si>
  <si>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</si>
  <si>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</si>
  <si>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</si>
  <si>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</si>
  <si>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</si>
  <si>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</si>
  <si>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</si>
  <si>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</si>
  <si>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</si>
  <si>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</si>
  <si>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</si>
  <si>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</si>
  <si>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</si>
  <si>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</si>
  <si>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</si>
  <si>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</si>
  <si>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</si>
  <si>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</si>
  <si>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</si>
  <si>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</si>
  <si>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</si>
  <si>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</si>
  <si>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</si>
  <si>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</si>
  <si>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</si>
  <si>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</si>
  <si>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</si>
  <si>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</si>
  <si>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</si>
  <si>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</si>
  <si>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</si>
  <si>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</si>
  <si>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</si>
  <si>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</si>
  <si>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</si>
  <si>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</si>
  <si>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</si>
  <si>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</si>
  <si>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</si>
  <si>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</si>
  <si>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</si>
  <si>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</si>
  <si>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</si>
  <si>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</si>
  <si>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</si>
  <si>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</si>
  <si>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</si>
  <si>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</si>
  <si>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</si>
  <si>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</si>
  <si>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</si>
  <si>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</si>
  <si>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</si>
  <si>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</si>
  <si>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</si>
  <si>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</si>
  <si>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</si>
  <si>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</si>
  <si>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</si>
  <si>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</si>
  <si>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</si>
  <si>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</si>
  <si>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</si>
  <si>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</si>
  <si>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</si>
  <si>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</si>
  <si>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</si>
  <si>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</si>
  <si>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</si>
  <si>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</si>
  <si>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</si>
  <si>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</si>
  <si>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</si>
  <si>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</si>
  <si>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</si>
  <si>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</si>
  <si>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</si>
  <si>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</si>
  <si>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</si>
  <si>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</si>
  <si>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</si>
  <si>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</si>
  <si>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</si>
  <si>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</si>
  <si>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</si>
  <si>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</si>
  <si>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</si>
  <si>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</si>
  <si>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</si>
  <si>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</si>
  <si>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</si>
  <si>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</si>
  <si>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</si>
  <si>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</si>
  <si>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</si>
  <si>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</si>
  <si>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</si>
  <si>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</si>
  <si>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</si>
  <si>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</si>
  <si>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</si>
  <si>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</si>
  <si>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</si>
  <si>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</si>
  <si>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</si>
  <si>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</si>
  <si>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</si>
  <si>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</si>
  <si>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</si>
  <si>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</si>
  <si>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</si>
  <si>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</si>
  <si>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</si>
  <si>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</si>
  <si>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</si>
  <si>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</si>
  <si>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</si>
  <si>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</si>
  <si>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</si>
  <si>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</si>
  <si>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</si>
  <si>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</si>
  <si>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</si>
  <si>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</si>
  <si>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</si>
  <si>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</si>
  <si>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</si>
  <si>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</si>
  <si>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</si>
  <si>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</si>
  <si>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</si>
  <si>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</si>
  <si>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</si>
  <si>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</si>
  <si>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</si>
  <si>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</si>
  <si>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</si>
  <si>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</si>
  <si>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</si>
  <si>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</si>
  <si>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</si>
  <si>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</si>
  <si>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</si>
  <si>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</si>
  <si>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</si>
  <si>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</si>
  <si>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</si>
  <si>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</si>
  <si>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</si>
  <si>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</si>
  <si>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</si>
  <si>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</si>
  <si>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</si>
  <si>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</si>
  <si>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</si>
  <si>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</si>
  <si>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</si>
  <si>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</si>
  <si>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</si>
  <si>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</si>
  <si>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</si>
  <si>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</si>
  <si>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</si>
  <si>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</si>
  <si>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</si>
  <si>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</si>
  <si>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</si>
  <si>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</si>
  <si>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</si>
  <si>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</si>
  <si>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</si>
  <si>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</si>
  <si>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</si>
  <si>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</si>
  <si>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</si>
  <si>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</si>
  <si>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</si>
  <si>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</si>
  <si>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</si>
  <si>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</si>
  <si>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</si>
  <si>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</si>
  <si>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</si>
  <si>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</si>
  <si>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</si>
  <si>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</si>
  <si>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</si>
  <si>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</si>
  <si>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</si>
  <si>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</si>
  <si>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</si>
  <si>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</si>
  <si>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</si>
  <si>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</si>
  <si>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</si>
  <si>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</si>
  <si>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</si>
  <si>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</si>
  <si>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</si>
  <si>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</si>
  <si>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</si>
  <si>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</si>
  <si>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</si>
  <si>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</si>
  <si>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</si>
  <si>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</si>
  <si>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</si>
  <si>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</si>
  <si>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</si>
  <si>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</si>
  <si>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</si>
  <si>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</si>
  <si>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</si>
  <si>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</si>
  <si>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</si>
  <si>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</si>
  <si>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</si>
  <si>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</si>
  <si>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</si>
  <si>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</si>
  <si>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</si>
  <si>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</si>
  <si>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</si>
  <si>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</si>
  <si>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</si>
  <si>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</si>
  <si>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</si>
  <si>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</si>
  <si>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</si>
  <si>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</si>
  <si>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</si>
  <si>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</si>
  <si>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</si>
  <si>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</si>
  <si>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</si>
  <si>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</si>
  <si>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</si>
  <si>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</si>
  <si>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</si>
  <si>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</si>
  <si>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</si>
  <si>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</si>
  <si>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</si>
  <si>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</si>
  <si>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</si>
  <si>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</si>
  <si>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</si>
  <si>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</si>
  <si>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</si>
  <si>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</si>
  <si>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</si>
  <si>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</si>
  <si>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</si>
  <si>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</si>
  <si>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</si>
  <si>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</si>
  <si>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</si>
  <si>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</si>
  <si>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</si>
  <si>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</si>
  <si>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</si>
  <si>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</si>
  <si>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</si>
  <si>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</si>
  <si>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</si>
  <si>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</si>
  <si>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</si>
  <si>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</si>
  <si>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</si>
  <si>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</si>
  <si>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</si>
  <si>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</si>
  <si>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</si>
  <si>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</si>
  <si>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</si>
  <si>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</si>
  <si>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</si>
  <si>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</si>
  <si>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</si>
  <si>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</si>
  <si>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</si>
  <si>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</si>
  <si>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</si>
  <si>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</si>
  <si>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</si>
  <si>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</si>
  <si>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</si>
  <si>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</si>
  <si>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</si>
  <si>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</si>
  <si>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</si>
  <si>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</si>
  <si>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</si>
  <si>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</si>
  <si>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</si>
  <si>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</si>
  <si>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</si>
  <si>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</si>
  <si>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</si>
  <si>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</si>
  <si>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</si>
  <si>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</si>
  <si>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</si>
  <si>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</si>
  <si>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</si>
  <si>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</si>
  <si>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</si>
  <si>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</si>
  <si>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</si>
  <si>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</si>
  <si>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</si>
  <si>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</si>
  <si>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</si>
  <si>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</si>
  <si>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</si>
  <si>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</si>
  <si>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</si>
  <si>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</si>
  <si>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</si>
  <si>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</si>
  <si>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</si>
  <si>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</si>
  <si>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</si>
  <si>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</si>
  <si>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</si>
  <si>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</si>
  <si>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</si>
  <si>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</si>
  <si>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</si>
  <si>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</si>
  <si>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</si>
  <si>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</si>
  <si>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</si>
  <si>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</si>
  <si>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</si>
  <si>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</si>
  <si>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</si>
  <si>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</si>
  <si>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</si>
  <si>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</si>
  <si>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</si>
  <si>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</si>
  <si>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</si>
  <si>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</si>
  <si>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</si>
  <si>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</si>
  <si>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</si>
  <si>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</si>
  <si>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</si>
  <si>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</si>
  <si>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</si>
  <si>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</si>
  <si>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</si>
  <si>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</si>
  <si>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</si>
  <si>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</si>
  <si>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</si>
  <si>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</si>
  <si>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</si>
  <si>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</si>
  <si>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</si>
  <si>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</si>
  <si>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</si>
  <si>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</si>
  <si>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</si>
  <si>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</si>
  <si>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</si>
  <si>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</si>
  <si>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</si>
  <si>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</si>
  <si>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</si>
  <si>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</si>
  <si>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</si>
  <si>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</si>
  <si>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</si>
  <si>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</si>
  <si>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</si>
  <si>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</si>
  <si>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</si>
  <si>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</si>
  <si>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</si>
  <si>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</si>
  <si>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</si>
  <si>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</si>
  <si>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</si>
  <si>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</si>
  <si>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</si>
  <si>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</si>
  <si>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</si>
  <si>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</si>
  <si>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</si>
  <si>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</si>
  <si>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</si>
  <si>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</si>
  <si>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</si>
  <si>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</si>
  <si>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</si>
  <si>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</si>
  <si>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</si>
  <si>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</si>
  <si>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</si>
  <si>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</si>
  <si>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</si>
  <si>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</si>
  <si>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</si>
  <si>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</si>
  <si>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</si>
  <si>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</si>
  <si>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</si>
  <si>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</si>
  <si>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</si>
  <si>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</si>
  <si>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</si>
  <si>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</si>
  <si>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</si>
  <si>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</si>
  <si>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</si>
  <si>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</si>
  <si>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</si>
  <si>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</si>
  <si>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</si>
  <si>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</si>
  <si>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</si>
  <si>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</si>
  <si>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</si>
  <si>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</si>
  <si>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</si>
  <si>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</si>
  <si>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</si>
  <si>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</si>
  <si>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</si>
  <si>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</si>
  <si>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</si>
  <si>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</si>
  <si>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</si>
  <si>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</si>
  <si>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</si>
  <si>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</si>
  <si>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</si>
  <si>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</si>
  <si>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</si>
  <si>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</si>
  <si>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</si>
  <si>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</si>
  <si>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</si>
  <si>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</si>
  <si>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</si>
  <si>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</si>
  <si>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</si>
  <si>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</si>
  <si>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</si>
  <si>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</si>
  <si>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</si>
  <si>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</si>
  <si>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</si>
  <si>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</si>
  <si>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</si>
  <si>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</si>
  <si>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</si>
  <si>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</si>
  <si>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</si>
  <si>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</si>
  <si>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</si>
  <si>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</si>
  <si>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</si>
  <si>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</si>
  <si>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</si>
  <si>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</si>
  <si>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</si>
  <si>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</si>
  <si>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</si>
  <si>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</si>
  <si>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</si>
  <si>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</si>
  <si>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</si>
  <si>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</si>
  <si>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</si>
  <si>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</si>
  <si>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</si>
  <si>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</si>
  <si>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</si>
  <si>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</si>
  <si>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</si>
  <si>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</si>
  <si>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</si>
  <si>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</si>
  <si>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</si>
  <si>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</si>
  <si>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</si>
  <si>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</si>
  <si>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</si>
  <si>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</si>
  <si>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</si>
  <si>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</si>
  <si>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</si>
  <si>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</si>
  <si>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</si>
  <si>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</si>
  <si>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</si>
  <si>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</si>
  <si>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</si>
  <si>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</si>
  <si>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</si>
  <si>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</si>
  <si>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</si>
  <si>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</si>
  <si>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</si>
  <si>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</si>
  <si>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</si>
  <si>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</si>
  <si>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</si>
  <si>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</si>
  <si>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</si>
  <si>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</si>
  <si>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</si>
  <si>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</si>
  <si>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</si>
  <si>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</si>
  <si>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</si>
  <si>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</si>
  <si>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</si>
  <si>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</si>
  <si>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</si>
  <si>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</si>
  <si>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</si>
  <si>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</si>
  <si>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</si>
  <si>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</si>
  <si>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</si>
  <si>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</si>
  <si>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</si>
  <si>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</si>
  <si>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</si>
  <si>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</si>
  <si>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</si>
  <si>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</si>
  <si>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</si>
  <si>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</si>
  <si>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</si>
  <si>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</si>
  <si>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</si>
  <si>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</si>
  <si>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</si>
  <si>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</si>
  <si>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</si>
  <si>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</si>
  <si>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</si>
  <si>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</si>
  <si>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</si>
  <si>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</si>
  <si>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</si>
  <si>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</si>
  <si>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</si>
  <si>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</si>
  <si>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</si>
  <si>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</si>
  <si>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</si>
  <si>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</si>
  <si>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</si>
  <si>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</si>
  <si>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</si>
  <si>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</si>
  <si>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</si>
  <si>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</si>
  <si>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</si>
  <si>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</si>
  <si>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</si>
  <si>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</si>
  <si>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</si>
  <si>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</si>
  <si>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</si>
  <si>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</si>
  <si>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</si>
  <si>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</si>
  <si>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</si>
  <si>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</si>
  <si>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</si>
  <si>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</si>
  <si>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</si>
  <si>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</si>
  <si>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</si>
  <si>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</si>
  <si>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</si>
  <si>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</si>
  <si>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</si>
  <si>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</si>
  <si>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</si>
  <si>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</si>
  <si>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</si>
  <si>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</si>
  <si>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</si>
  <si>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</si>
  <si>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</si>
  <si>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</si>
  <si>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</si>
  <si>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</si>
  <si>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</si>
  <si>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</si>
  <si>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</si>
  <si>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</si>
  <si>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</si>
  <si>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</si>
  <si>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</si>
  <si>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</si>
  <si>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</si>
  <si>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</si>
  <si>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</si>
  <si>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</si>
  <si>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</si>
  <si>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</si>
  <si>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</si>
  <si>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</si>
  <si>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</si>
  <si>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</si>
  <si>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</si>
  <si>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</si>
  <si>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</si>
  <si>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</si>
  <si>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</si>
  <si>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</si>
  <si>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</si>
  <si>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</si>
  <si>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</si>
  <si>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</si>
  <si>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</si>
  <si>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</si>
  <si>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</si>
  <si>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</si>
  <si>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</si>
  <si>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</si>
  <si>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</si>
  <si>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</si>
  <si>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</si>
  <si>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</si>
  <si>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</si>
  <si>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</si>
  <si>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</si>
  <si>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</si>
  <si>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</si>
  <si>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</si>
  <si>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</si>
  <si>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</si>
  <si>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</si>
  <si>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</si>
  <si>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</si>
  <si>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</si>
  <si>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</si>
  <si>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</si>
  <si>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</si>
  <si>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</si>
  <si>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</si>
  <si>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</si>
  <si>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</si>
  <si>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</si>
  <si>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</si>
  <si>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</si>
  <si>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</si>
  <si>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</si>
  <si>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</si>
  <si>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</si>
  <si>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</si>
  <si>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</si>
  <si>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</si>
  <si>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</si>
  <si>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</si>
  <si>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</si>
  <si>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</si>
  <si>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</si>
  <si>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</si>
  <si>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</si>
  <si>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</si>
  <si>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</si>
  <si>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</si>
  <si>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</si>
  <si>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</si>
  <si>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</si>
  <si>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</si>
  <si>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</si>
  <si>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</si>
  <si>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</si>
  <si>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</si>
  <si>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</si>
  <si>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</si>
  <si>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</si>
  <si>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</si>
  <si>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</si>
  <si>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</si>
  <si>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</si>
  <si>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</si>
  <si>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</si>
  <si>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</si>
  <si>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</si>
  <si>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</si>
  <si>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</si>
  <si>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</si>
  <si>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</si>
  <si>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</si>
  <si>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</si>
  <si>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</si>
  <si>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</si>
  <si>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</si>
  <si>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</si>
  <si>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</si>
  <si>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</si>
  <si>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</si>
  <si>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</si>
  <si>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</si>
  <si>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</si>
  <si>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</si>
  <si>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</si>
  <si>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</si>
  <si>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</si>
  <si>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</si>
  <si>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</si>
  <si>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</si>
  <si>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</si>
  <si>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</si>
  <si>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</si>
  <si>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</si>
  <si>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</si>
  <si>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</si>
  <si>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</si>
  <si>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</si>
  <si>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</si>
  <si>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</si>
  <si>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</si>
  <si>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</si>
  <si>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</si>
  <si>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</si>
  <si>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</si>
  <si>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</si>
  <si>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</si>
  <si>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</si>
  <si>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</si>
  <si>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</si>
  <si>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</si>
  <si>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</si>
  <si>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</si>
  <si>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</si>
  <si>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</si>
  <si>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</si>
  <si>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</si>
  <si>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</si>
  <si>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</si>
  <si>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</si>
  <si>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</si>
  <si>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</si>
  <si>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</si>
  <si>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</si>
  <si>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</si>
  <si>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</si>
  <si>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</si>
  <si>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</si>
  <si>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</si>
  <si>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</si>
  <si>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</si>
  <si>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</si>
  <si>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</si>
  <si>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</si>
  <si>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</si>
  <si>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</si>
  <si>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</si>
  <si>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</si>
  <si>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</si>
  <si>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</si>
  <si>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</si>
  <si>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</si>
  <si>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</si>
  <si>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</si>
  <si>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</si>
  <si>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</si>
  <si>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</si>
  <si>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</si>
  <si>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</si>
  <si>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</si>
  <si>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</si>
  <si>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</si>
  <si>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</si>
  <si>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</si>
  <si>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</si>
  <si>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</si>
  <si>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</si>
  <si>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</si>
  <si>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</si>
  <si>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</si>
  <si>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</si>
  <si>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</si>
  <si>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</si>
  <si>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</si>
  <si>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</si>
  <si>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</si>
  <si>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</si>
  <si>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</si>
  <si>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</si>
  <si>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</si>
  <si>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</si>
  <si>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</si>
  <si>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</si>
  <si>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</si>
  <si>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</si>
  <si>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</si>
  <si>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</si>
  <si>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</si>
  <si>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</si>
  <si>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</si>
  <si>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</si>
  <si>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</si>
  <si>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</si>
  <si>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</si>
  <si>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</si>
  <si>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</si>
  <si>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</si>
  <si>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</si>
  <si>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</si>
  <si>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</si>
  <si>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</si>
  <si>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</si>
  <si>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</si>
  <si>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</si>
  <si>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</si>
  <si>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</si>
  <si>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</si>
  <si>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</si>
  <si>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</si>
  <si>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</si>
  <si>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</si>
  <si>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</si>
  <si>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</si>
  <si>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</si>
  <si>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</si>
  <si>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</si>
  <si>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</si>
  <si>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</si>
  <si>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</si>
  <si>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</si>
  <si>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</si>
  <si>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</si>
  <si>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</si>
  <si>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</si>
  <si>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</si>
  <si>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</si>
  <si>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</si>
  <si>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</si>
  <si>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</si>
  <si>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</si>
  <si>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</si>
  <si>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</si>
  <si>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</si>
  <si>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</si>
  <si>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</si>
  <si>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</si>
  <si>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</si>
  <si>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</si>
  <si>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</si>
  <si>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</si>
  <si>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</si>
  <si>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</si>
  <si>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</si>
  <si>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</si>
  <si>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</si>
  <si>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</si>
  <si>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</si>
  <si>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</si>
  <si>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</si>
  <si>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</si>
  <si>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</si>
  <si>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</si>
  <si>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</si>
  <si>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</si>
  <si>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</si>
  <si>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</si>
  <si>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</si>
  <si>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</si>
  <si>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</si>
  <si>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</si>
  <si>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</si>
  <si>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</si>
  <si>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</si>
  <si>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</si>
  <si>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</si>
  <si>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</si>
  <si>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</si>
  <si>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</si>
  <si>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</si>
  <si>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</si>
  <si>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</si>
  <si>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</si>
  <si>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</si>
  <si>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</si>
  <si>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</si>
  <si>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</si>
  <si>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</si>
  <si>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</si>
  <si>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</si>
  <si>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</si>
  <si>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</si>
  <si>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</si>
  <si>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</si>
  <si>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</si>
  <si>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</si>
  <si>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</si>
  <si>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</si>
  <si>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</si>
  <si>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</si>
  <si>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</si>
  <si>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</si>
  <si>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</si>
  <si>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</si>
  <si>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</si>
  <si>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</si>
  <si>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</si>
  <si>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</si>
  <si>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</si>
  <si>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</si>
  <si>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</si>
  <si>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</si>
  <si>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</si>
  <si>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</si>
  <si>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</si>
  <si>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</si>
  <si>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</si>
  <si>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</si>
  <si>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</si>
  <si>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</si>
  <si>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</si>
  <si>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</si>
  <si>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</si>
  <si>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</si>
  <si>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</si>
  <si>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</si>
  <si>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</si>
  <si>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</si>
  <si>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</si>
  <si>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</si>
  <si>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</si>
  <si>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</si>
  <si>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</si>
  <si>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</si>
  <si>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</si>
  <si>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</si>
  <si>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</si>
  <si>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</si>
  <si>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</si>
  <si>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</si>
  <si>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</si>
  <si>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</si>
  <si>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</si>
  <si>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</si>
  <si>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</si>
  <si>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</si>
  <si>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</si>
  <si>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</si>
  <si>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</si>
  <si>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</si>
  <si>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</si>
  <si>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</si>
  <si>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</si>
  <si>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</si>
  <si>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</si>
  <si>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</si>
  <si>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</si>
  <si>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</si>
  <si>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</si>
  <si>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</si>
  <si>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</si>
  <si>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</si>
  <si>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</si>
  <si>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</si>
  <si>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</si>
  <si>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</si>
  <si>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</si>
  <si>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</si>
  <si>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</si>
  <si>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</si>
  <si>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</si>
  <si>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</si>
  <si>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</si>
  <si>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</si>
  <si>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</si>
  <si>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</si>
  <si>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</si>
  <si>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</si>
  <si>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</si>
  <si>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</si>
  <si>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</si>
  <si>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</si>
  <si>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</si>
  <si>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</si>
  <si>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</si>
  <si>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</si>
  <si>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</si>
  <si>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</si>
  <si>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</si>
  <si>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</si>
  <si>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</si>
  <si>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</si>
  <si>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</si>
  <si>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</si>
  <si>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</si>
  <si>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</si>
  <si>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</si>
  <si>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</si>
  <si>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</si>
  <si>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</si>
  <si>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</si>
  <si>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</si>
  <si>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</si>
  <si>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</si>
  <si>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</si>
  <si>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</si>
  <si>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</si>
  <si>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</si>
  <si>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</si>
  <si>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</si>
  <si>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</si>
  <si>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</si>
  <si>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</si>
  <si>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</si>
  <si>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</si>
  <si>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</si>
  <si>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</si>
  <si>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</si>
  <si>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</si>
  <si>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</si>
  <si>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</si>
  <si>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</si>
  <si>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</si>
  <si>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</si>
  <si>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</si>
  <si>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</si>
  <si>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</si>
  <si>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</si>
  <si>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</si>
  <si>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</si>
  <si>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</si>
  <si>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</si>
  <si>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</si>
  <si>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</si>
  <si>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</si>
  <si>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</si>
  <si>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</si>
  <si>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</si>
  <si>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</si>
  <si>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</si>
  <si>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</si>
  <si>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</si>
  <si>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</si>
  <si>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</si>
  <si>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</si>
  <si>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</si>
  <si>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</si>
  <si>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</si>
  <si>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</si>
  <si>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</si>
  <si>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</si>
  <si>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</si>
  <si>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</si>
  <si>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</si>
  <si>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</si>
  <si>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</si>
  <si>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</si>
  <si>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</si>
  <si>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</si>
  <si>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</si>
  <si>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</si>
  <si>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</si>
  <si>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</si>
  <si>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</si>
  <si>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</si>
  <si>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</si>
  <si>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</si>
  <si>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</si>
  <si>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</si>
  <si>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</si>
  <si>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</si>
  <si>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</si>
  <si>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</si>
  <si>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</si>
  <si>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</si>
  <si>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</si>
  <si>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</si>
  <si>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</si>
  <si>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</si>
  <si>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</si>
  <si>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</si>
  <si>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</si>
  <si>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</si>
  <si>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</si>
  <si>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</si>
  <si>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</si>
  <si>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</si>
  <si>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</si>
  <si>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</si>
  <si>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</si>
  <si>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</si>
  <si>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</si>
  <si>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</si>
  <si>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</si>
  <si>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</si>
  <si>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</si>
  <si>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</si>
  <si>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</si>
  <si>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</si>
  <si>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</si>
  <si>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</si>
  <si>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</si>
  <si>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</si>
  <si>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</si>
  <si>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</si>
  <si>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</si>
  <si>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</si>
  <si>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</si>
  <si>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</si>
  <si>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</si>
  <si>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</si>
  <si>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</si>
  <si>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</si>
  <si>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</si>
  <si>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</si>
  <si>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</si>
  <si>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</si>
  <si>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</si>
  <si>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</si>
  <si>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</si>
  <si>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</si>
  <si>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</si>
  <si>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</si>
  <si>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</si>
  <si>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</si>
  <si>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</si>
  <si>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</si>
  <si>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</si>
  <si>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</si>
  <si>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</si>
  <si>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</si>
  <si>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</si>
  <si>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</si>
  <si>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</si>
  <si>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</si>
  <si>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</si>
  <si>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</si>
  <si>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</si>
  <si>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</si>
  <si>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</si>
  <si>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</si>
  <si>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</si>
  <si>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</si>
  <si>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</si>
  <si>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</si>
  <si>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</si>
  <si>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</si>
  <si>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</si>
  <si>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</si>
  <si>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</si>
  <si>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</si>
  <si>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</si>
  <si>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</si>
  <si>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</si>
  <si>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</si>
  <si>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</si>
  <si>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</si>
  <si>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</si>
  <si>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</si>
  <si>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</si>
  <si>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</si>
  <si>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</si>
  <si>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</si>
  <si>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</si>
  <si>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</si>
  <si>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</si>
  <si>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</si>
  <si>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</si>
  <si>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</si>
  <si>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</si>
  <si>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</si>
  <si>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</si>
  <si>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</si>
  <si>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</si>
  <si>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</si>
  <si>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</si>
  <si>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</si>
  <si>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</si>
  <si>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</si>
  <si>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</si>
  <si>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</si>
  <si>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</si>
  <si>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</si>
  <si>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</si>
  <si>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</si>
  <si>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</si>
  <si>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</si>
  <si>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</si>
  <si>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</si>
  <si>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</si>
  <si>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</si>
  <si>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</si>
  <si>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</si>
  <si>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</si>
  <si>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</si>
  <si>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</si>
  <si>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</si>
  <si>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</si>
  <si>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</si>
  <si>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</si>
  <si>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</si>
  <si>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</si>
  <si>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</si>
  <si>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</si>
  <si>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</si>
  <si>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</si>
  <si>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</si>
  <si>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</si>
  <si>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</si>
  <si>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</si>
  <si>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</si>
  <si>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</si>
  <si>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</si>
  <si>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</si>
  <si>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</si>
  <si>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</si>
  <si>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</si>
  <si>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</si>
  <si>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</si>
  <si>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</si>
  <si>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</si>
  <si>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</si>
  <si>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</si>
  <si>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</si>
  <si>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</si>
  <si>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</si>
  <si>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</si>
  <si>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</si>
  <si>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</si>
  <si>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</si>
  <si>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</si>
  <si>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</si>
  <si>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</si>
  <si>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</si>
  <si>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</si>
  <si>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</si>
  <si>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</si>
  <si>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</si>
  <si>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</si>
  <si>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</si>
  <si>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</si>
  <si>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</si>
  <si>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</si>
  <si>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</si>
  <si>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</si>
  <si>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</si>
  <si>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</si>
  <si>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</si>
  <si>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</si>
  <si>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</si>
  <si>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</si>
  <si>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</si>
  <si>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</si>
  <si>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</si>
  <si>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</si>
  <si>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</si>
  <si>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</si>
  <si>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</si>
  <si>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</si>
  <si>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</si>
  <si>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</si>
  <si>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</si>
  <si>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</si>
  <si>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</si>
  <si>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</si>
  <si>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</si>
  <si>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</si>
  <si>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</si>
  <si>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</si>
  <si>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</si>
  <si>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</si>
  <si>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</si>
  <si>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</si>
  <si>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</si>
  <si>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</si>
  <si>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</si>
  <si>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</si>
  <si>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</si>
  <si>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</si>
  <si>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</si>
  <si>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</si>
  <si>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</si>
  <si>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</si>
  <si>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</si>
  <si>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</si>
  <si>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</si>
  <si>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</si>
  <si>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</si>
  <si>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</si>
  <si>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</si>
  <si>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</si>
  <si>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</si>
  <si>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</si>
  <si>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</si>
  <si>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</si>
  <si>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</si>
  <si>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</si>
  <si>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</si>
  <si>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</si>
  <si>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</si>
  <si>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</si>
  <si>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</si>
  <si>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</si>
  <si>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</si>
  <si>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</si>
  <si>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MTR</t>
  </si>
  <si>
    <t>CM2-11M</t>
  </si>
  <si>
    <t xml:space="preserve">Jumper Wire : </t>
  </si>
  <si>
    <t>NFA2X-T 3 x 70 + N 50 mm²</t>
  </si>
  <si>
    <t>Stainless Steel Strap 20 X 0.7 mm</t>
  </si>
  <si>
    <t>B2</t>
  </si>
  <si>
    <t>CM2-12A</t>
  </si>
  <si>
    <t>CM2-12</t>
  </si>
  <si>
    <t>BTG</t>
  </si>
  <si>
    <t>DS PLENDUNGAN</t>
  </si>
  <si>
    <t>PWI03</t>
  </si>
  <si>
    <t xml:space="preserve">-7.092382, 110.909996  </t>
  </si>
  <si>
    <t>G313 160KVA</t>
  </si>
  <si>
    <t>A3C 150MM</t>
  </si>
  <si>
    <t>APP 131 KVA</t>
  </si>
  <si>
    <t>CE1-3</t>
  </si>
  <si>
    <t>F1-3</t>
  </si>
  <si>
    <t>C12-200</t>
  </si>
  <si>
    <t>C12-350</t>
  </si>
  <si>
    <t>CC1-A</t>
  </si>
  <si>
    <t>CC2-A</t>
  </si>
  <si>
    <t>CC8</t>
  </si>
  <si>
    <t>CC7</t>
  </si>
  <si>
    <t>PB MOH FAIZIN 131KVA</t>
  </si>
  <si>
    <t>Daya 131.000 VA</t>
  </si>
  <si>
    <t>Isolator Tarik ( Porcelain ) 20 KV + Primary Dead End Clamp 150-240 mm²</t>
  </si>
  <si>
    <t>Trafo 3 Fasa 160 KVA 2 Tiang (G313)</t>
  </si>
  <si>
    <t>MOH FAIZIN</t>
  </si>
  <si>
    <t>PWI03-31/2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</si>
</sst>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sz val="11"/>
      <name val="Calibri"/>
      <family val="2"/>
      <charset val="1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20" fillId="0" borderId="0"/>
  </cellStyleXfs>
  <cellXfs count="733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44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6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451" applyFont="1" applyBorder="1" applyAlignment="1">
      <alignment horizontal="left" vertical="center" wrapText="1"/>
    </xf>
    <xf numFmtId="0" fontId="148" fillId="0" borderId="21" xfId="1653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0" fontId="146" fillId="0" borderId="20" xfId="1652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9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71" xfId="2670" applyFont="1" applyFill="1" applyBorder="1" applyAlignment="1">
      <alignment horizontal="left" vertical="center"/>
    </xf>
    <xf numFmtId="0" fontId="156" fillId="39" borderId="72" xfId="2670" applyFont="1" applyFill="1" applyBorder="1" applyAlignment="1">
      <alignment horizontal="center" vertical="center"/>
    </xf>
    <xf numFmtId="0" fontId="156" fillId="39" borderId="74" xfId="2670" applyFont="1" applyFill="1" applyBorder="1" applyAlignment="1">
      <alignment horizontal="left" vertical="center"/>
    </xf>
    <xf numFmtId="0" fontId="156" fillId="39" borderId="70" xfId="2670" applyFont="1" applyFill="1" applyBorder="1" applyAlignment="1">
      <alignment horizontal="center" vertical="center"/>
    </xf>
    <xf numFmtId="0" fontId="156" fillId="39" borderId="76" xfId="2670" applyFont="1" applyFill="1" applyBorder="1" applyAlignment="1">
      <alignment horizontal="left" vertical="center"/>
    </xf>
    <xf numFmtId="0" fontId="156" fillId="39" borderId="77" xfId="2670" applyFont="1" applyFill="1" applyBorder="1" applyAlignment="1">
      <alignment horizontal="center" vertical="center"/>
    </xf>
    <xf numFmtId="167" fontId="138" fillId="40" borderId="73" xfId="2672" applyFont="1" applyFill="1" applyBorder="1" applyAlignment="1" applyProtection="1">
      <alignment horizontal="right" vertical="center" wrapText="1"/>
      <protection locked="0"/>
    </xf>
    <xf numFmtId="167" fontId="138" fillId="40" borderId="75" xfId="2672" applyFont="1" applyFill="1" applyBorder="1" applyAlignment="1" applyProtection="1">
      <alignment horizontal="right" vertical="center"/>
      <protection locked="0"/>
    </xf>
    <xf numFmtId="169" fontId="138" fillId="40" borderId="75" xfId="2672" applyNumberFormat="1" applyFont="1" applyFill="1" applyBorder="1" applyAlignment="1" applyProtection="1">
      <alignment horizontal="right" vertical="center"/>
      <protection locked="0"/>
    </xf>
    <xf numFmtId="169" fontId="138" fillId="40" borderId="78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1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4" fillId="35" borderId="82" xfId="2673" applyFont="1" applyFill="1" applyBorder="1" applyAlignment="1">
      <alignment vertical="center" wrapText="1"/>
    </xf>
    <xf numFmtId="0" fontId="144" fillId="43" borderId="82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86" xfId="2673" applyFont="1" applyFill="1" applyBorder="1" applyAlignment="1">
      <alignment vertical="center" wrapText="1"/>
    </xf>
    <xf numFmtId="0" fontId="105" fillId="0" borderId="63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9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46" fillId="0" borderId="21" xfId="1615" applyFont="1" applyBorder="1" applyAlignment="1">
      <alignment horizontal="left" vertical="center" wrapText="1"/>
    </xf>
    <xf numFmtId="0" fontId="152" fillId="0" borderId="20" xfId="1653" applyFont="1" applyBorder="1" applyAlignment="1">
      <alignment horizontal="center" vertical="center"/>
    </xf>
    <xf numFmtId="0" fontId="153" fillId="0" borderId="21" xfId="1615" applyFont="1" applyBorder="1" applyAlignment="1">
      <alignment horizontal="center" vertical="center"/>
    </xf>
    <xf numFmtId="0" fontId="146" fillId="0" borderId="20" xfId="1615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9" fontId="118" fillId="33" borderId="0" xfId="2542" applyFont="1" applyFill="1" applyAlignment="1">
      <alignment horizontal="center"/>
    </xf>
    <xf numFmtId="9" fontId="114" fillId="33" borderId="0" xfId="2542" applyFont="1" applyFill="1" applyBorder="1" applyAlignment="1">
      <alignment horizontal="center" vertical="center"/>
    </xf>
    <xf numFmtId="0" fontId="119" fillId="0" borderId="0" xfId="1451" applyFont="1"/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37" xfId="1451" applyFont="1" applyBorder="1"/>
    <xf numFmtId="0" fontId="119" fillId="0" borderId="28" xfId="1451" applyFont="1" applyBorder="1"/>
    <xf numFmtId="0" fontId="120" fillId="0" borderId="0" xfId="1451" applyFont="1" applyAlignment="1">
      <alignment vertical="center"/>
    </xf>
    <xf numFmtId="0" fontId="171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5" fillId="0" borderId="0" xfId="1451" applyFont="1" applyAlignment="1">
      <alignment vertical="center"/>
    </xf>
    <xf numFmtId="0" fontId="115" fillId="0" borderId="37" xfId="1451" applyFont="1" applyBorder="1" applyAlignment="1">
      <alignment vertical="center"/>
    </xf>
    <xf numFmtId="0" fontId="124" fillId="0" borderId="0" xfId="1451" applyFont="1" applyAlignment="1">
      <alignment horizontal="center"/>
    </xf>
    <xf numFmtId="0" fontId="115" fillId="0" borderId="0" xfId="1451" applyFont="1" applyAlignment="1">
      <alignment horizontal="center" vertical="center"/>
    </xf>
    <xf numFmtId="0" fontId="115" fillId="0" borderId="37" xfId="1451" applyFont="1" applyBorder="1" applyAlignment="1">
      <alignment horizontal="center" vertical="center"/>
    </xf>
    <xf numFmtId="0" fontId="119" fillId="0" borderId="34" xfId="1451" applyFont="1" applyBorder="1"/>
    <xf numFmtId="0" fontId="119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119" fillId="0" borderId="31" xfId="1451" applyFont="1" applyBorder="1"/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9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3" fontId="9" fillId="0" borderId="21" xfId="1599" applyNumberFormat="1" applyFont="1" applyBorder="1" applyAlignment="1">
      <alignment horizontal="center" vertical="center"/>
    </xf>
    <xf numFmtId="0" fontId="126" fillId="0" borderId="21" xfId="1652" applyFont="1" applyBorder="1" applyAlignment="1">
      <alignment horizontal="center" vertical="center"/>
    </xf>
    <xf numFmtId="0" fontId="152" fillId="0" borderId="21" xfId="1652" applyFont="1" applyBorder="1" applyAlignment="1">
      <alignment horizontal="center" vertical="center"/>
    </xf>
    <xf numFmtId="0" fontId="148" fillId="48" borderId="21" xfId="1653" applyFont="1" applyFill="1" applyBorder="1" applyAlignment="1">
      <alignment vertical="center" wrapText="1"/>
    </xf>
    <xf numFmtId="0" fontId="43" fillId="48" borderId="21" xfId="1451" applyFont="1" applyFill="1" applyBorder="1" applyAlignment="1">
      <alignment horizontal="left" vertical="center" wrapText="1"/>
    </xf>
    <xf numFmtId="0" fontId="119" fillId="33" borderId="0" xfId="1451" applyFont="1" applyFill="1" applyAlignment="1">
      <alignment horizontal="center" vertical="center"/>
    </xf>
    <xf numFmtId="0" fontId="119" fillId="33" borderId="0" xfId="1451" applyFont="1" applyFill="1" applyAlignment="1">
      <alignment horizont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4" fillId="33" borderId="0" xfId="2677" applyFont="1" applyFill="1" applyAlignment="1">
      <alignment horizontal="center"/>
    </xf>
    <xf numFmtId="0" fontId="114" fillId="33" borderId="26" xfId="2677" applyFont="1" applyFill="1" applyBorder="1" applyAlignment="1">
      <alignment horizontal="center"/>
    </xf>
    <xf numFmtId="0" fontId="114" fillId="33" borderId="36" xfId="2677" applyFont="1" applyFill="1" applyBorder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quotePrefix="1" applyFont="1" applyFill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4" fillId="33" borderId="37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34" fillId="33" borderId="0" xfId="2677" applyFont="1" applyFill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0" fontId="114" fillId="33" borderId="38" xfId="2677" applyFont="1" applyFill="1" applyBorder="1" applyAlignment="1">
      <alignment horizontal="center"/>
    </xf>
    <xf numFmtId="0" fontId="115" fillId="33" borderId="0" xfId="2677" applyFont="1" applyFill="1" applyAlignment="1">
      <alignment horizontal="left"/>
    </xf>
    <xf numFmtId="0" fontId="115" fillId="33" borderId="0" xfId="2677" applyFont="1" applyFill="1" applyAlignment="1">
      <alignment horizontal="center"/>
    </xf>
    <xf numFmtId="0" fontId="91" fillId="33" borderId="40" xfId="2677" applyFont="1" applyFill="1" applyBorder="1" applyAlignment="1">
      <alignment horizontal="center" vertical="center"/>
    </xf>
    <xf numFmtId="0" fontId="91" fillId="33" borderId="47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 vertical="center"/>
    </xf>
    <xf numFmtId="0" fontId="114" fillId="33" borderId="39" xfId="2677" applyFont="1" applyFill="1" applyBorder="1" applyAlignment="1">
      <alignment horizontal="center" vertical="center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0" fontId="117" fillId="33" borderId="0" xfId="2677" applyFont="1" applyFill="1" applyAlignment="1">
      <alignment horizontal="center"/>
    </xf>
    <xf numFmtId="0" fontId="91" fillId="33" borderId="69" xfId="2677" applyFont="1" applyFill="1" applyBorder="1" applyAlignment="1">
      <alignment horizontal="left" vertical="center"/>
    </xf>
    <xf numFmtId="0" fontId="114" fillId="33" borderId="39" xfId="2677" applyFont="1" applyFill="1" applyBorder="1" applyAlignment="1">
      <alignment horizontal="center" vertical="top" wrapText="1"/>
    </xf>
    <xf numFmtId="0" fontId="172" fillId="33" borderId="59" xfId="2677" applyFont="1" applyFill="1" applyBorder="1" applyAlignment="1">
      <alignment horizontal="left" vertical="center"/>
    </xf>
    <xf numFmtId="0" fontId="172" fillId="33" borderId="69" xfId="2677" applyFont="1" applyFill="1" applyBorder="1" applyAlignment="1">
      <alignment horizontal="left" vertical="center"/>
    </xf>
    <xf numFmtId="0" fontId="91" fillId="33" borderId="98" xfId="2677" applyFont="1" applyFill="1" applyBorder="1" applyAlignment="1">
      <alignment horizontal="center" vertical="center"/>
    </xf>
    <xf numFmtId="0" fontId="172" fillId="33" borderId="101" xfId="2677" applyFont="1" applyFill="1" applyBorder="1" applyAlignment="1">
      <alignment horizontal="left" vertical="center"/>
    </xf>
    <xf numFmtId="0" fontId="172" fillId="33" borderId="100" xfId="2677" applyFont="1" applyFill="1" applyBorder="1" applyAlignment="1">
      <alignment horizontal="left" vertical="center"/>
    </xf>
    <xf numFmtId="0" fontId="172" fillId="33" borderId="99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4" fillId="33" borderId="3" xfId="2677" applyFont="1" applyFill="1" applyBorder="1" applyAlignment="1">
      <alignment vertical="top" wrapText="1"/>
    </xf>
    <xf numFmtId="0" fontId="114" fillId="33" borderId="39" xfId="2677" applyFont="1" applyFill="1" applyBorder="1" applyAlignment="1">
      <alignment vertical="top" wrapText="1"/>
    </xf>
    <xf numFmtId="0" fontId="118" fillId="33" borderId="95" xfId="2677" applyFont="1" applyFill="1" applyBorder="1" applyAlignment="1">
      <alignment horizontal="center" vertical="top" wrapText="1"/>
    </xf>
    <xf numFmtId="0" fontId="118" fillId="33" borderId="94" xfId="2677" applyFont="1" applyFill="1" applyBorder="1" applyAlignment="1">
      <alignment horizontal="center" vertical="top" wrapText="1"/>
    </xf>
    <xf numFmtId="0" fontId="114" fillId="33" borderId="42" xfId="2677" applyFont="1" applyFill="1" applyBorder="1" applyAlignment="1">
      <alignment horizontal="center"/>
    </xf>
    <xf numFmtId="0" fontId="118" fillId="33" borderId="28" xfId="2677" applyFont="1" applyFill="1" applyBorder="1" applyAlignment="1">
      <alignment horizontal="center"/>
    </xf>
    <xf numFmtId="0" fontId="118" fillId="33" borderId="0" xfId="2677" applyFont="1" applyFill="1" applyAlignment="1">
      <alignment horizontal="center"/>
    </xf>
    <xf numFmtId="20" fontId="114" fillId="33" borderId="39" xfId="2677" applyNumberFormat="1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42" xfId="2677" applyFont="1" applyFill="1" applyBorder="1" applyAlignment="1">
      <alignment horizontal="center" vertical="center" wrapText="1"/>
    </xf>
    <xf numFmtId="0" fontId="114" fillId="33" borderId="0" xfId="2677" applyFont="1" applyFill="1" applyAlignment="1">
      <alignment horizontal="center" vertical="center"/>
    </xf>
    <xf numFmtId="0" fontId="118" fillId="33" borderId="0" xfId="2677" applyFont="1" applyFill="1" applyAlignment="1">
      <alignment horizontal="center" vertical="center"/>
    </xf>
    <xf numFmtId="0" fontId="118" fillId="33" borderId="34" xfId="2677" applyFont="1" applyFill="1" applyBorder="1" applyAlignment="1">
      <alignment horizontal="center"/>
    </xf>
    <xf numFmtId="0" fontId="118" fillId="33" borderId="19" xfId="2677" applyFont="1" applyFill="1" applyBorder="1" applyAlignment="1">
      <alignment horizontal="center"/>
    </xf>
    <xf numFmtId="0" fontId="114" fillId="33" borderId="19" xfId="2677" applyFont="1" applyFill="1" applyBorder="1" applyAlignment="1">
      <alignment horizontal="center"/>
    </xf>
    <xf numFmtId="0" fontId="114" fillId="33" borderId="46" xfId="2677" applyFont="1" applyFill="1" applyBorder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43" fillId="0" borderId="21" xfId="0" applyFont="1" applyBorder="1" applyAlignment="1">
      <alignment horizontal="left" vertical="center" wrapText="1"/>
    </xf>
    <xf numFmtId="0" fontId="113" fillId="0" borderId="21" xfId="1652" applyFont="1" applyBorder="1" applyAlignment="1">
      <alignment vertical="center"/>
    </xf>
    <xf numFmtId="0" fontId="43" fillId="0" borderId="21" xfId="1450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5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51" fillId="0" borderId="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159" fillId="42" borderId="79" xfId="2673" applyFont="1" applyFill="1" applyBorder="1" applyAlignment="1">
      <alignment horizontal="center" vertical="center" wrapText="1"/>
    </xf>
    <xf numFmtId="0" fontId="159" fillId="42" borderId="80" xfId="2673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43" borderId="61" xfId="2673" applyNumberFormat="1" applyFont="1" applyFill="1" applyBorder="1" applyAlignment="1">
      <alignment horizontal="center" vertical="center" wrapText="1"/>
    </xf>
    <xf numFmtId="2" fontId="132" fillId="43" borderId="83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9" fontId="132" fillId="35" borderId="63" xfId="2675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7" fillId="0" borderId="84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85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1" xfId="2673" applyNumberFormat="1" applyFont="1" applyFill="1" applyBorder="1" applyAlignment="1">
      <alignment horizontal="center" vertical="center" wrapText="1"/>
    </xf>
    <xf numFmtId="2" fontId="132" fillId="35" borderId="83" xfId="2673" applyNumberFormat="1" applyFont="1" applyFill="1" applyBorder="1" applyAlignment="1">
      <alignment horizontal="center" vertical="center" wrapText="1"/>
    </xf>
    <xf numFmtId="0" fontId="159" fillId="41" borderId="79" xfId="2673" applyFont="1" applyFill="1" applyBorder="1" applyAlignment="1">
      <alignment horizontal="center" vertical="center" wrapText="1"/>
    </xf>
    <xf numFmtId="0" fontId="159" fillId="41" borderId="80" xfId="2673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3" xfId="2675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0" fontId="8" fillId="34" borderId="67" xfId="2670" applyFill="1" applyBorder="1" applyAlignment="1">
      <alignment horizontal="center" vertical="center"/>
    </xf>
    <xf numFmtId="0" fontId="136" fillId="0" borderId="68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1" fillId="0" borderId="44" xfId="1538" applyFont="1" applyBorder="1" applyAlignment="1">
      <alignment horizontal="left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50" fillId="0" borderId="0" xfId="1614" quotePrefix="1" applyFont="1" applyAlignment="1">
      <alignment horizontal="left" vertical="top" wrapText="1"/>
    </xf>
    <xf numFmtId="0" fontId="150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3" xfId="1614" applyFont="1" applyFill="1" applyBorder="1" applyAlignment="1">
      <alignment horizontal="center" vertical="center"/>
    </xf>
    <xf numFmtId="0" fontId="152" fillId="35" borderId="54" xfId="1614" applyFont="1" applyFill="1" applyBorder="1" applyAlignment="1">
      <alignment horizontal="center" vertical="center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52" fillId="35" borderId="3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29" fillId="35" borderId="55" xfId="2677" applyFont="1" applyFill="1" applyBorder="1" applyAlignment="1">
      <alignment horizontal="center" vertical="center"/>
    </xf>
    <xf numFmtId="0" fontId="129" fillId="35" borderId="36" xfId="2677" applyFont="1" applyFill="1" applyBorder="1" applyAlignment="1">
      <alignment horizontal="center" vertical="center"/>
    </xf>
    <xf numFmtId="0" fontId="129" fillId="35" borderId="48" xfId="2677" applyFont="1" applyFill="1" applyBorder="1" applyAlignment="1">
      <alignment horizontal="center" vertical="center"/>
    </xf>
    <xf numFmtId="0" fontId="129" fillId="35" borderId="43" xfId="2677" applyFont="1" applyFill="1" applyBorder="1" applyAlignment="1">
      <alignment horizontal="center" vertical="center"/>
    </xf>
    <xf numFmtId="0" fontId="129" fillId="35" borderId="44" xfId="2677" applyFont="1" applyFill="1" applyBorder="1" applyAlignment="1">
      <alignment horizontal="center" vertical="center"/>
    </xf>
    <xf numFmtId="0" fontId="129" fillId="35" borderId="45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49" fontId="91" fillId="33" borderId="102" xfId="2677" applyNumberFormat="1" applyFont="1" applyFill="1" applyBorder="1" applyAlignment="1">
      <alignment horizontal="left" vertical="center"/>
    </xf>
    <xf numFmtId="49" fontId="91" fillId="33" borderId="40" xfId="2677" applyNumberFormat="1" applyFont="1" applyFill="1" applyBorder="1" applyAlignment="1">
      <alignment horizontal="left" vertical="center"/>
    </xf>
    <xf numFmtId="49" fontId="173" fillId="33" borderId="102" xfId="2677" applyNumberFormat="1" applyFont="1" applyFill="1" applyBorder="1" applyAlignment="1">
      <alignment horizontal="left" vertical="center"/>
    </xf>
    <xf numFmtId="49" fontId="173" fillId="33" borderId="40" xfId="2677" applyNumberFormat="1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horizontal="left" vertical="center"/>
    </xf>
    <xf numFmtId="49" fontId="114" fillId="33" borderId="41" xfId="2677" applyNumberFormat="1" applyFont="1" applyFill="1" applyBorder="1" applyAlignment="1">
      <alignment horizontal="left" vertical="center"/>
    </xf>
    <xf numFmtId="0" fontId="173" fillId="33" borderId="59" xfId="2677" applyFont="1" applyFill="1" applyBorder="1" applyAlignment="1">
      <alignment horizontal="left" vertical="center"/>
    </xf>
    <xf numFmtId="0" fontId="173" fillId="33" borderId="60" xfId="2677" applyFont="1" applyFill="1" applyBorder="1" applyAlignment="1">
      <alignment horizontal="left" vertical="center"/>
    </xf>
    <xf numFmtId="0" fontId="114" fillId="33" borderId="56" xfId="2677" applyFont="1" applyFill="1" applyBorder="1" applyAlignment="1">
      <alignment horizontal="center"/>
    </xf>
    <xf numFmtId="0" fontId="114" fillId="33" borderId="57" xfId="2677" applyFont="1" applyFill="1" applyBorder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5" fillId="33" borderId="0" xfId="2677" applyFont="1" applyFill="1" applyAlignment="1">
      <alignment horizontal="left"/>
    </xf>
    <xf numFmtId="0" fontId="115" fillId="33" borderId="37" xfId="2677" applyFont="1" applyFill="1" applyBorder="1" applyAlignment="1">
      <alignment horizontal="left"/>
    </xf>
    <xf numFmtId="0" fontId="130" fillId="33" borderId="50" xfId="2677" applyFont="1" applyFill="1" applyBorder="1" applyAlignment="1">
      <alignment horizontal="center" vertical="center"/>
    </xf>
    <xf numFmtId="0" fontId="130" fillId="33" borderId="7" xfId="2677" applyFont="1" applyFill="1" applyBorder="1" applyAlignment="1">
      <alignment horizontal="center" vertical="center"/>
    </xf>
    <xf numFmtId="0" fontId="130" fillId="33" borderId="41" xfId="2677" applyFont="1" applyFill="1" applyBorder="1" applyAlignment="1">
      <alignment horizontal="center" vertical="center"/>
    </xf>
    <xf numFmtId="0" fontId="115" fillId="33" borderId="50" xfId="2677" applyFont="1" applyFill="1" applyBorder="1" applyAlignment="1">
      <alignment horizontal="center" vertical="center"/>
    </xf>
    <xf numFmtId="0" fontId="115" fillId="33" borderId="7" xfId="2677" applyFont="1" applyFill="1" applyBorder="1" applyAlignment="1">
      <alignment horizontal="center" vertical="center"/>
    </xf>
    <xf numFmtId="0" fontId="115" fillId="33" borderId="58" xfId="2677" applyFont="1" applyFill="1" applyBorder="1" applyAlignment="1">
      <alignment horizontal="center" vertical="center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vertical="center"/>
    </xf>
    <xf numFmtId="49" fontId="114" fillId="33" borderId="41" xfId="2677" applyNumberFormat="1" applyFont="1" applyFill="1" applyBorder="1" applyAlignment="1">
      <alignment vertical="center"/>
    </xf>
    <xf numFmtId="49" fontId="114" fillId="33" borderId="50" xfId="2677" applyNumberFormat="1" applyFont="1" applyFill="1" applyBorder="1" applyAlignment="1">
      <alignment vertical="top" wrapText="1"/>
    </xf>
    <xf numFmtId="49" fontId="114" fillId="33" borderId="41" xfId="2677" applyNumberFormat="1" applyFont="1" applyFill="1" applyBorder="1" applyAlignment="1">
      <alignment vertical="top" wrapText="1"/>
    </xf>
    <xf numFmtId="0" fontId="114" fillId="33" borderId="7" xfId="2677" applyFont="1" applyFill="1" applyBorder="1" applyAlignment="1">
      <alignment horizontal="center"/>
    </xf>
    <xf numFmtId="0" fontId="114" fillId="33" borderId="41" xfId="2677" applyFont="1" applyFill="1" applyBorder="1" applyAlignment="1">
      <alignment horizontal="center"/>
    </xf>
    <xf numFmtId="15" fontId="114" fillId="33" borderId="3" xfId="2677" applyNumberFormat="1" applyFont="1" applyFill="1" applyBorder="1" applyAlignment="1">
      <alignment horizontal="center"/>
    </xf>
    <xf numFmtId="0" fontId="114" fillId="33" borderId="7" xfId="2677" applyFont="1" applyFill="1" applyBorder="1" applyAlignment="1">
      <alignment vertical="top" wrapText="1"/>
    </xf>
    <xf numFmtId="0" fontId="114" fillId="33" borderId="41" xfId="2677" applyFont="1" applyFill="1" applyBorder="1" applyAlignment="1">
      <alignment vertical="top" wrapText="1"/>
    </xf>
    <xf numFmtId="0" fontId="118" fillId="33" borderId="97" xfId="2677" applyFont="1" applyFill="1" applyBorder="1" applyAlignment="1">
      <alignment horizontal="center" vertical="center" wrapText="1"/>
    </xf>
    <xf numFmtId="0" fontId="118" fillId="33" borderId="96" xfId="2677" applyFont="1" applyFill="1" applyBorder="1" applyAlignment="1">
      <alignment horizontal="center" vertical="center" wrapText="1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5" fillId="33" borderId="38" xfId="2677" applyFont="1" applyFill="1" applyBorder="1" applyAlignment="1">
      <alignment horizontal="left" vertical="top" wrapText="1"/>
    </xf>
    <xf numFmtId="0" fontId="115" fillId="33" borderId="56" xfId="2677" applyFont="1" applyFill="1" applyBorder="1" applyAlignment="1">
      <alignment horizontal="left" vertical="top" wrapText="1"/>
    </xf>
    <xf numFmtId="0" fontId="115" fillId="33" borderId="57" xfId="2677" applyFont="1" applyFill="1" applyBorder="1" applyAlignment="1">
      <alignment horizontal="left" vertical="top" wrapText="1"/>
    </xf>
    <xf numFmtId="0" fontId="115" fillId="33" borderId="43" xfId="2677" applyFont="1" applyFill="1" applyBorder="1" applyAlignment="1">
      <alignment horizontal="left" vertical="top" wrapText="1"/>
    </xf>
    <xf numFmtId="0" fontId="115" fillId="33" borderId="44" xfId="2677" applyFont="1" applyFill="1" applyBorder="1" applyAlignment="1">
      <alignment horizontal="left" vertical="top" wrapText="1"/>
    </xf>
    <xf numFmtId="0" fontId="115" fillId="33" borderId="45" xfId="2677" applyFont="1" applyFill="1" applyBorder="1" applyAlignment="1">
      <alignment horizontal="left" vertical="top" wrapText="1"/>
    </xf>
    <xf numFmtId="0" fontId="114" fillId="33" borderId="50" xfId="2677" applyFont="1" applyFill="1" applyBorder="1" applyAlignment="1">
      <alignment horizontal="center"/>
    </xf>
    <xf numFmtId="0" fontId="114" fillId="33" borderId="87" xfId="2677" applyFont="1" applyFill="1" applyBorder="1" applyAlignment="1">
      <alignment horizontal="center"/>
    </xf>
    <xf numFmtId="0" fontId="114" fillId="33" borderId="62" xfId="2677" applyFont="1" applyFill="1" applyBorder="1" applyAlignment="1">
      <alignment horizontal="center"/>
    </xf>
    <xf numFmtId="0" fontId="114" fillId="33" borderId="63" xfId="2677" applyFont="1" applyFill="1" applyBorder="1" applyAlignment="1">
      <alignment horizontal="center"/>
    </xf>
    <xf numFmtId="0" fontId="114" fillId="33" borderId="64" xfId="2677" applyFont="1" applyFill="1" applyBorder="1" applyAlignment="1">
      <alignment horizontal="center"/>
    </xf>
    <xf numFmtId="0" fontId="114" fillId="33" borderId="56" xfId="2677" applyFont="1" applyFill="1" applyBorder="1" applyAlignment="1">
      <alignment horizontal="center" vertical="center"/>
    </xf>
    <xf numFmtId="0" fontId="114" fillId="33" borderId="57" xfId="2677" applyFont="1" applyFill="1" applyBorder="1" applyAlignment="1">
      <alignment horizontal="center" vertical="center"/>
    </xf>
    <xf numFmtId="0" fontId="119" fillId="33" borderId="0" xfId="2677" applyFont="1" applyFill="1" applyAlignment="1">
      <alignment horizontal="center" vertical="center" wrapText="1"/>
    </xf>
    <xf numFmtId="0" fontId="119" fillId="33" borderId="37" xfId="2677" applyFont="1" applyFill="1" applyBorder="1" applyAlignment="1">
      <alignment horizontal="center" vertical="center" wrapText="1"/>
    </xf>
    <xf numFmtId="0" fontId="119" fillId="33" borderId="44" xfId="2677" applyFont="1" applyFill="1" applyBorder="1" applyAlignment="1">
      <alignment horizontal="center" vertical="center" wrapText="1"/>
    </xf>
    <xf numFmtId="0" fontId="119" fillId="33" borderId="45" xfId="2677" applyFont="1" applyFill="1" applyBorder="1" applyAlignment="1">
      <alignment horizontal="center" vertical="center" wrapText="1"/>
    </xf>
    <xf numFmtId="0" fontId="170" fillId="0" borderId="88" xfId="1451" applyFont="1" applyBorder="1" applyAlignment="1">
      <alignment horizontal="center" vertical="center"/>
    </xf>
    <xf numFmtId="0" fontId="170" fillId="0" borderId="89" xfId="1451" applyFont="1" applyBorder="1" applyAlignment="1">
      <alignment horizontal="center" vertical="center"/>
    </xf>
    <xf numFmtId="0" fontId="170" fillId="0" borderId="90" xfId="1451" applyFont="1" applyBorder="1" applyAlignment="1">
      <alignment horizontal="center" vertical="center"/>
    </xf>
    <xf numFmtId="0" fontId="170" fillId="0" borderId="91" xfId="1451" applyFont="1" applyBorder="1" applyAlignment="1">
      <alignment horizontal="center" vertical="center"/>
    </xf>
    <xf numFmtId="0" fontId="170" fillId="0" borderId="92" xfId="1451" applyFont="1" applyBorder="1" applyAlignment="1">
      <alignment horizontal="center" vertical="center"/>
    </xf>
    <xf numFmtId="0" fontId="170" fillId="0" borderId="93" xfId="1451" applyFont="1" applyBorder="1" applyAlignment="1">
      <alignment horizontal="center" vertical="center"/>
    </xf>
    <xf numFmtId="0" fontId="121" fillId="33" borderId="88" xfId="1451" applyFont="1" applyFill="1" applyBorder="1" applyAlignment="1">
      <alignment horizontal="center" vertical="center"/>
    </xf>
    <xf numFmtId="0" fontId="121" fillId="33" borderId="89" xfId="1451" applyFont="1" applyFill="1" applyBorder="1" applyAlignment="1">
      <alignment horizontal="center" vertical="center"/>
    </xf>
    <xf numFmtId="0" fontId="121" fillId="33" borderId="90" xfId="1451" applyFont="1" applyFill="1" applyBorder="1" applyAlignment="1">
      <alignment horizontal="center" vertical="center"/>
    </xf>
    <xf numFmtId="0" fontId="121" fillId="33" borderId="91" xfId="1451" applyFont="1" applyFill="1" applyBorder="1" applyAlignment="1">
      <alignment horizontal="center" vertical="center"/>
    </xf>
    <xf numFmtId="0" fontId="121" fillId="33" borderId="92" xfId="1451" applyFont="1" applyFill="1" applyBorder="1" applyAlignment="1">
      <alignment horizontal="center" vertical="center"/>
    </xf>
    <xf numFmtId="0" fontId="121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3" fillId="0" borderId="20" xfId="1652" applyFont="1" applyBorder="1" applyAlignment="1">
      <alignment horizontal="center" vertical="center"/>
    </xf>
    <xf numFmtId="0" fontId="43" fillId="0" borderId="21" xfId="1652" applyFont="1" applyBorder="1" applyAlignment="1">
      <alignment vertical="center"/>
    </xf>
    <xf numFmtId="0" fontId="174" fillId="0" borderId="21" xfId="1614" applyFont="1" applyBorder="1" applyAlignment="1">
      <alignment vertical="center" wrapText="1"/>
    </xf>
    <xf numFmtId="0" fontId="174" fillId="0" borderId="20" xfId="1614" applyFont="1" applyBorder="1" applyAlignment="1">
      <alignment horizontal="center" vertical="center"/>
    </xf>
    <xf numFmtId="0" fontId="110" fillId="0" borderId="21" xfId="1614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0.81874999999999998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257266</xdr:colOff>
      <xdr:row>40</xdr:row>
      <xdr:rowOff>45319</xdr:rowOff>
    </xdr:from>
    <xdr:to>
      <xdr:col>12</xdr:col>
      <xdr:colOff>113988</xdr:colOff>
      <xdr:row>41</xdr:row>
      <xdr:rowOff>27879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8941451" flipV="1">
          <a:off x="2469183" y="6024902"/>
          <a:ext cx="1761722" cy="13072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372429</xdr:colOff>
      <xdr:row>41</xdr:row>
      <xdr:rowOff>100753</xdr:rowOff>
    </xdr:from>
    <xdr:to>
      <xdr:col>6</xdr:col>
      <xdr:colOff>135981</xdr:colOff>
      <xdr:row>42</xdr:row>
      <xdr:rowOff>97185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1822346" y="6228503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249556</xdr:colOff>
      <xdr:row>41</xdr:row>
      <xdr:rowOff>114087</xdr:rowOff>
    </xdr:from>
    <xdr:to>
      <xdr:col>8</xdr:col>
      <xdr:colOff>13108</xdr:colOff>
      <xdr:row>42</xdr:row>
      <xdr:rowOff>110519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2461473" y="6241837"/>
          <a:ext cx="144552" cy="144599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297647</xdr:colOff>
      <xdr:row>1</xdr:row>
      <xdr:rowOff>52916</xdr:rowOff>
    </xdr:from>
    <xdr:to>
      <xdr:col>17</xdr:col>
      <xdr:colOff>366989</xdr:colOff>
      <xdr:row>4</xdr:row>
      <xdr:rowOff>84667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5729818" y="39412"/>
          <a:ext cx="486834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46143</xdr:colOff>
      <xdr:row>4</xdr:row>
      <xdr:rowOff>35137</xdr:rowOff>
    </xdr:from>
    <xdr:to>
      <xdr:col>15</xdr:col>
      <xdr:colOff>211878</xdr:colOff>
      <xdr:row>5</xdr:row>
      <xdr:rowOff>35137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5306060" y="648970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263525</xdr:colOff>
      <xdr:row>41</xdr:row>
      <xdr:rowOff>108479</xdr:rowOff>
    </xdr:from>
    <xdr:to>
      <xdr:col>10</xdr:col>
      <xdr:colOff>27077</xdr:colOff>
      <xdr:row>42</xdr:row>
      <xdr:rowOff>104912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237442" y="6236229"/>
          <a:ext cx="144552" cy="14460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264583</xdr:colOff>
      <xdr:row>20</xdr:row>
      <xdr:rowOff>74084</xdr:rowOff>
    </xdr:from>
    <xdr:to>
      <xdr:col>11</xdr:col>
      <xdr:colOff>28135</xdr:colOff>
      <xdr:row>21</xdr:row>
      <xdr:rowOff>70517</xdr:rowOff>
    </xdr:to>
    <xdr:grpSp>
      <xdr:nvGrpSpPr>
        <xdr:cNvPr id="201" name="Group 13">
          <a:extLst>
            <a:ext uri="{FF2B5EF4-FFF2-40B4-BE49-F238E27FC236}">
              <a16:creationId xmlns:a16="http://schemas.microsoft.com/office/drawing/2014/main" id="{A504109D-889F-4F75-BEFD-949CF80D96CB}"/>
            </a:ext>
          </a:extLst>
        </xdr:cNvPr>
        <xdr:cNvGrpSpPr/>
      </xdr:nvGrpSpPr>
      <xdr:grpSpPr>
        <a:xfrm>
          <a:off x="3619500" y="3069167"/>
          <a:ext cx="144552" cy="144600"/>
          <a:chOff x="9937028" y="802652"/>
          <a:chExt cx="83991" cy="77961"/>
        </a:xfrm>
      </xdr:grpSpPr>
      <xdr:sp macro="" textlink="">
        <xdr:nvSpPr>
          <xdr:cNvPr id="211" name="Oval 1">
            <a:extLst>
              <a:ext uri="{FF2B5EF4-FFF2-40B4-BE49-F238E27FC236}">
                <a16:creationId xmlns:a16="http://schemas.microsoft.com/office/drawing/2014/main" id="{8510006B-7F09-3EB8-C55C-EFB9BE4E9A6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3">
            <a:extLst>
              <a:ext uri="{FF2B5EF4-FFF2-40B4-BE49-F238E27FC236}">
                <a16:creationId xmlns:a16="http://schemas.microsoft.com/office/drawing/2014/main" id="{44E31D07-DA7B-E083-40BD-DC7BE89964A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">
            <a:extLst>
              <a:ext uri="{FF2B5EF4-FFF2-40B4-BE49-F238E27FC236}">
                <a16:creationId xmlns:a16="http://schemas.microsoft.com/office/drawing/2014/main" id="{1F20352E-ECD7-CC9B-ACC6-444C6338574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31751</xdr:colOff>
      <xdr:row>43</xdr:row>
      <xdr:rowOff>21165</xdr:rowOff>
    </xdr:from>
    <xdr:to>
      <xdr:col>12</xdr:col>
      <xdr:colOff>0</xdr:colOff>
      <xdr:row>44</xdr:row>
      <xdr:rowOff>105833</xdr:rowOff>
    </xdr:to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B1F45386-31C4-4F3F-B029-457138774585}"/>
            </a:ext>
          </a:extLst>
        </xdr:cNvPr>
        <xdr:cNvSpPr txBox="1"/>
      </xdr:nvSpPr>
      <xdr:spPr>
        <a:xfrm>
          <a:off x="222251" y="6445248"/>
          <a:ext cx="3894666" cy="23283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254000</xdr:colOff>
      <xdr:row>15</xdr:row>
      <xdr:rowOff>116416</xdr:rowOff>
    </xdr:from>
    <xdr:to>
      <xdr:col>11</xdr:col>
      <xdr:colOff>17552</xdr:colOff>
      <xdr:row>16</xdr:row>
      <xdr:rowOff>112849</xdr:rowOff>
    </xdr:to>
    <xdr:grpSp>
      <xdr:nvGrpSpPr>
        <xdr:cNvPr id="219" name="Group 13">
          <a:extLst>
            <a:ext uri="{FF2B5EF4-FFF2-40B4-BE49-F238E27FC236}">
              <a16:creationId xmlns:a16="http://schemas.microsoft.com/office/drawing/2014/main" id="{6A6FC0A7-C7C3-458B-8FBE-3D6796CF13B7}"/>
            </a:ext>
          </a:extLst>
        </xdr:cNvPr>
        <xdr:cNvGrpSpPr/>
      </xdr:nvGrpSpPr>
      <xdr:grpSpPr>
        <a:xfrm>
          <a:off x="3608917" y="2370666"/>
          <a:ext cx="144552" cy="144600"/>
          <a:chOff x="9937028" y="802652"/>
          <a:chExt cx="83991" cy="77961"/>
        </a:xfrm>
      </xdr:grpSpPr>
      <xdr:sp macro="" textlink="">
        <xdr:nvSpPr>
          <xdr:cNvPr id="220" name="Oval 1">
            <a:extLst>
              <a:ext uri="{FF2B5EF4-FFF2-40B4-BE49-F238E27FC236}">
                <a16:creationId xmlns:a16="http://schemas.microsoft.com/office/drawing/2014/main" id="{DFD8A5A3-3BBF-77E8-9896-2803746F60B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2" name="Straight Connector 3">
            <a:extLst>
              <a:ext uri="{FF2B5EF4-FFF2-40B4-BE49-F238E27FC236}">
                <a16:creationId xmlns:a16="http://schemas.microsoft.com/office/drawing/2014/main" id="{8C28ADC0-2D25-DCC3-B1F6-4F6F85F8ABE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7">
            <a:extLst>
              <a:ext uri="{FF2B5EF4-FFF2-40B4-BE49-F238E27FC236}">
                <a16:creationId xmlns:a16="http://schemas.microsoft.com/office/drawing/2014/main" id="{6480ED71-79FB-7482-97EC-F49C1F221F3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264584</xdr:colOff>
      <xdr:row>26</xdr:row>
      <xdr:rowOff>84667</xdr:rowOff>
    </xdr:from>
    <xdr:to>
      <xdr:col>11</xdr:col>
      <xdr:colOff>28136</xdr:colOff>
      <xdr:row>27</xdr:row>
      <xdr:rowOff>81100</xdr:rowOff>
    </xdr:to>
    <xdr:grpSp>
      <xdr:nvGrpSpPr>
        <xdr:cNvPr id="248" name="Group 13">
          <a:extLst>
            <a:ext uri="{FF2B5EF4-FFF2-40B4-BE49-F238E27FC236}">
              <a16:creationId xmlns:a16="http://schemas.microsoft.com/office/drawing/2014/main" id="{268954A3-6C28-445C-8B39-FBA1D96926E3}"/>
            </a:ext>
          </a:extLst>
        </xdr:cNvPr>
        <xdr:cNvGrpSpPr/>
      </xdr:nvGrpSpPr>
      <xdr:grpSpPr>
        <a:xfrm>
          <a:off x="3619501" y="3968750"/>
          <a:ext cx="144552" cy="144600"/>
          <a:chOff x="9937028" y="802652"/>
          <a:chExt cx="83991" cy="77961"/>
        </a:xfrm>
      </xdr:grpSpPr>
      <xdr:sp macro="" textlink="">
        <xdr:nvSpPr>
          <xdr:cNvPr id="249" name="Oval 1">
            <a:extLst>
              <a:ext uri="{FF2B5EF4-FFF2-40B4-BE49-F238E27FC236}">
                <a16:creationId xmlns:a16="http://schemas.microsoft.com/office/drawing/2014/main" id="{5484F6C8-35BA-BEC0-76FD-F9DACCD2E48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0" name="Straight Connector 3">
            <a:extLst>
              <a:ext uri="{FF2B5EF4-FFF2-40B4-BE49-F238E27FC236}">
                <a16:creationId xmlns:a16="http://schemas.microsoft.com/office/drawing/2014/main" id="{B7B8EBF0-0349-776E-7239-19A2B3EF642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7">
            <a:extLst>
              <a:ext uri="{FF2B5EF4-FFF2-40B4-BE49-F238E27FC236}">
                <a16:creationId xmlns:a16="http://schemas.microsoft.com/office/drawing/2014/main" id="{3BBE0923-0F68-45B1-1DE0-0E5DDB467EA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127000</xdr:colOff>
      <xdr:row>34</xdr:row>
      <xdr:rowOff>116416</xdr:rowOff>
    </xdr:from>
    <xdr:to>
      <xdr:col>10</xdr:col>
      <xdr:colOff>158749</xdr:colOff>
      <xdr:row>39</xdr:row>
      <xdr:rowOff>42333</xdr:rowOff>
    </xdr:to>
    <xdr:sp macro="" textlink="">
      <xdr:nvSpPr>
        <xdr:cNvPr id="291" name="TextBox 157">
          <a:extLst>
            <a:ext uri="{FF2B5EF4-FFF2-40B4-BE49-F238E27FC236}">
              <a16:creationId xmlns:a16="http://schemas.microsoft.com/office/drawing/2014/main" id="{1BBEF138-5374-463D-A677-7208EF463021}"/>
            </a:ext>
          </a:extLst>
        </xdr:cNvPr>
        <xdr:cNvSpPr txBox="1"/>
      </xdr:nvSpPr>
      <xdr:spPr>
        <a:xfrm>
          <a:off x="2719917" y="5185833"/>
          <a:ext cx="793749" cy="68791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PWI11-24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CC8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201082</xdr:colOff>
      <xdr:row>1</xdr:row>
      <xdr:rowOff>95250</xdr:rowOff>
    </xdr:from>
    <xdr:to>
      <xdr:col>12</xdr:col>
      <xdr:colOff>63500</xdr:colOff>
      <xdr:row>46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ADCA236-06C5-4F61-8286-970FCAA29764}"/>
            </a:ext>
          </a:extLst>
        </xdr:cNvPr>
        <xdr:cNvSpPr txBox="1"/>
      </xdr:nvSpPr>
      <xdr:spPr>
        <a:xfrm rot="16200000" flipV="1">
          <a:off x="751416" y="3439583"/>
          <a:ext cx="6614583" cy="24341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243417</xdr:colOff>
      <xdr:row>11</xdr:row>
      <xdr:rowOff>74083</xdr:rowOff>
    </xdr:from>
    <xdr:to>
      <xdr:col>11</xdr:col>
      <xdr:colOff>6969</xdr:colOff>
      <xdr:row>12</xdr:row>
      <xdr:rowOff>70516</xdr:rowOff>
    </xdr:to>
    <xdr:grpSp>
      <xdr:nvGrpSpPr>
        <xdr:cNvPr id="190" name="Group 13">
          <a:extLst>
            <a:ext uri="{FF2B5EF4-FFF2-40B4-BE49-F238E27FC236}">
              <a16:creationId xmlns:a16="http://schemas.microsoft.com/office/drawing/2014/main" id="{E231C777-D5E1-482A-BE57-CDFF512E3221}"/>
            </a:ext>
          </a:extLst>
        </xdr:cNvPr>
        <xdr:cNvGrpSpPr/>
      </xdr:nvGrpSpPr>
      <xdr:grpSpPr>
        <a:xfrm>
          <a:off x="3598334" y="1725083"/>
          <a:ext cx="144552" cy="144600"/>
          <a:chOff x="9937028" y="802652"/>
          <a:chExt cx="83991" cy="77961"/>
        </a:xfrm>
      </xdr:grpSpPr>
      <xdr:sp macro="" textlink="">
        <xdr:nvSpPr>
          <xdr:cNvPr id="192" name="Oval 1">
            <a:extLst>
              <a:ext uri="{FF2B5EF4-FFF2-40B4-BE49-F238E27FC236}">
                <a16:creationId xmlns:a16="http://schemas.microsoft.com/office/drawing/2014/main" id="{A216A6A4-4D8A-ADAA-6681-8A3CF810AD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3" name="Straight Connector 3">
            <a:extLst>
              <a:ext uri="{FF2B5EF4-FFF2-40B4-BE49-F238E27FC236}">
                <a16:creationId xmlns:a16="http://schemas.microsoft.com/office/drawing/2014/main" id="{DD7443B1-9453-D546-C2B9-8F7B4A4445F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7">
            <a:extLst>
              <a:ext uri="{FF2B5EF4-FFF2-40B4-BE49-F238E27FC236}">
                <a16:creationId xmlns:a16="http://schemas.microsoft.com/office/drawing/2014/main" id="{FC50A6F0-EE63-C6BF-C33D-C8FD05ECA33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243417</xdr:colOff>
      <xdr:row>7</xdr:row>
      <xdr:rowOff>95250</xdr:rowOff>
    </xdr:from>
    <xdr:to>
      <xdr:col>11</xdr:col>
      <xdr:colOff>6969</xdr:colOff>
      <xdr:row>8</xdr:row>
      <xdr:rowOff>91683</xdr:rowOff>
    </xdr:to>
    <xdr:grpSp>
      <xdr:nvGrpSpPr>
        <xdr:cNvPr id="200" name="Group 13">
          <a:extLst>
            <a:ext uri="{FF2B5EF4-FFF2-40B4-BE49-F238E27FC236}">
              <a16:creationId xmlns:a16="http://schemas.microsoft.com/office/drawing/2014/main" id="{4FAE39B7-DB3F-43EB-9568-43989C86602E}"/>
            </a:ext>
          </a:extLst>
        </xdr:cNvPr>
        <xdr:cNvGrpSpPr/>
      </xdr:nvGrpSpPr>
      <xdr:grpSpPr>
        <a:xfrm>
          <a:off x="3598334" y="1153583"/>
          <a:ext cx="144552" cy="144600"/>
          <a:chOff x="9937028" y="802652"/>
          <a:chExt cx="83991" cy="77961"/>
        </a:xfrm>
      </xdr:grpSpPr>
      <xdr:sp macro="" textlink="">
        <xdr:nvSpPr>
          <xdr:cNvPr id="203" name="Oval 1">
            <a:extLst>
              <a:ext uri="{FF2B5EF4-FFF2-40B4-BE49-F238E27FC236}">
                <a16:creationId xmlns:a16="http://schemas.microsoft.com/office/drawing/2014/main" id="{E32FF78B-8819-E377-5E66-A14846243C9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1" name="Straight Connector 3">
            <a:extLst>
              <a:ext uri="{FF2B5EF4-FFF2-40B4-BE49-F238E27FC236}">
                <a16:creationId xmlns:a16="http://schemas.microsoft.com/office/drawing/2014/main" id="{DCA92CB9-89A4-F0D9-0775-C798108398F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7">
            <a:extLst>
              <a:ext uri="{FF2B5EF4-FFF2-40B4-BE49-F238E27FC236}">
                <a16:creationId xmlns:a16="http://schemas.microsoft.com/office/drawing/2014/main" id="{46F3C615-4E86-DBF8-53B7-9A27ECE1C32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254000</xdr:colOff>
      <xdr:row>4</xdr:row>
      <xdr:rowOff>21167</xdr:rowOff>
    </xdr:from>
    <xdr:to>
      <xdr:col>11</xdr:col>
      <xdr:colOff>17552</xdr:colOff>
      <xdr:row>5</xdr:row>
      <xdr:rowOff>17600</xdr:rowOff>
    </xdr:to>
    <xdr:grpSp>
      <xdr:nvGrpSpPr>
        <xdr:cNvPr id="230" name="Group 13">
          <a:extLst>
            <a:ext uri="{FF2B5EF4-FFF2-40B4-BE49-F238E27FC236}">
              <a16:creationId xmlns:a16="http://schemas.microsoft.com/office/drawing/2014/main" id="{2C63441F-7931-4A66-A66D-342C46C00D8F}"/>
            </a:ext>
          </a:extLst>
        </xdr:cNvPr>
        <xdr:cNvGrpSpPr/>
      </xdr:nvGrpSpPr>
      <xdr:grpSpPr>
        <a:xfrm>
          <a:off x="3608917" y="635000"/>
          <a:ext cx="144552" cy="144600"/>
          <a:chOff x="9937028" y="802652"/>
          <a:chExt cx="83991" cy="77961"/>
        </a:xfrm>
      </xdr:grpSpPr>
      <xdr:sp macro="" textlink="">
        <xdr:nvSpPr>
          <xdr:cNvPr id="231" name="Oval 1">
            <a:extLst>
              <a:ext uri="{FF2B5EF4-FFF2-40B4-BE49-F238E27FC236}">
                <a16:creationId xmlns:a16="http://schemas.microsoft.com/office/drawing/2014/main" id="{B30305CE-AB0A-D48C-5A36-6FDF3C5B179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2" name="Straight Connector 3">
            <a:extLst>
              <a:ext uri="{FF2B5EF4-FFF2-40B4-BE49-F238E27FC236}">
                <a16:creationId xmlns:a16="http://schemas.microsoft.com/office/drawing/2014/main" id="{024D253A-90BB-A7BE-A7CB-36F8284ED4C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7">
            <a:extLst>
              <a:ext uri="{FF2B5EF4-FFF2-40B4-BE49-F238E27FC236}">
                <a16:creationId xmlns:a16="http://schemas.microsoft.com/office/drawing/2014/main" id="{4E674380-C229-CBE1-B1F9-C079F4DA6CE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254000</xdr:colOff>
      <xdr:row>2</xdr:row>
      <xdr:rowOff>84667</xdr:rowOff>
    </xdr:from>
    <xdr:to>
      <xdr:col>10</xdr:col>
      <xdr:colOff>294216</xdr:colOff>
      <xdr:row>42</xdr:row>
      <xdr:rowOff>17266</xdr:rowOff>
    </xdr:to>
    <xdr:cxnSp macro="">
      <xdr:nvCxnSpPr>
        <xdr:cNvPr id="243" name="Straight Connector 164">
          <a:extLst>
            <a:ext uri="{FF2B5EF4-FFF2-40B4-BE49-F238E27FC236}">
              <a16:creationId xmlns:a16="http://schemas.microsoft.com/office/drawing/2014/main" id="{479F24F3-F7BB-462C-8A38-F2284477CBF4}"/>
            </a:ext>
          </a:extLst>
        </xdr:cNvPr>
        <xdr:cNvCxnSpPr>
          <a:cxnSpLocks/>
          <a:endCxn id="235" idx="2"/>
        </xdr:cNvCxnSpPr>
      </xdr:nvCxnSpPr>
      <xdr:spPr bwMode="auto">
        <a:xfrm>
          <a:off x="3608917" y="402167"/>
          <a:ext cx="40216" cy="58910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21166</xdr:colOff>
      <xdr:row>2</xdr:row>
      <xdr:rowOff>74083</xdr:rowOff>
    </xdr:from>
    <xdr:to>
      <xdr:col>11</xdr:col>
      <xdr:colOff>57768</xdr:colOff>
      <xdr:row>42</xdr:row>
      <xdr:rowOff>17266</xdr:rowOff>
    </xdr:to>
    <xdr:cxnSp macro="">
      <xdr:nvCxnSpPr>
        <xdr:cNvPr id="280" name="Straight Connector 164">
          <a:extLst>
            <a:ext uri="{FF2B5EF4-FFF2-40B4-BE49-F238E27FC236}">
              <a16:creationId xmlns:a16="http://schemas.microsoft.com/office/drawing/2014/main" id="{446EBB63-2765-41C3-AF89-3E71D3374C11}"/>
            </a:ext>
          </a:extLst>
        </xdr:cNvPr>
        <xdr:cNvCxnSpPr>
          <a:cxnSpLocks/>
          <a:endCxn id="235" idx="6"/>
        </xdr:cNvCxnSpPr>
      </xdr:nvCxnSpPr>
      <xdr:spPr bwMode="auto">
        <a:xfrm>
          <a:off x="3757083" y="391583"/>
          <a:ext cx="36602" cy="59016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9</xdr:row>
      <xdr:rowOff>105832</xdr:rowOff>
    </xdr:from>
    <xdr:to>
      <xdr:col>11</xdr:col>
      <xdr:colOff>60809</xdr:colOff>
      <xdr:row>10</xdr:row>
      <xdr:rowOff>64918</xdr:rowOff>
    </xdr:to>
    <xdr:grpSp>
      <xdr:nvGrpSpPr>
        <xdr:cNvPr id="295" name="Grup 239">
          <a:extLst>
            <a:ext uri="{FF2B5EF4-FFF2-40B4-BE49-F238E27FC236}">
              <a16:creationId xmlns:a16="http://schemas.microsoft.com/office/drawing/2014/main" id="{AA4B1E4B-3EBB-4903-BE93-8ADB92865BEB}"/>
            </a:ext>
          </a:extLst>
        </xdr:cNvPr>
        <xdr:cNvGrpSpPr/>
      </xdr:nvGrpSpPr>
      <xdr:grpSpPr>
        <a:xfrm rot="15877125">
          <a:off x="3712696" y="1483720"/>
          <a:ext cx="107252" cy="60809"/>
          <a:chOff x="13302191" y="2320613"/>
          <a:chExt cx="107252" cy="55662"/>
        </a:xfrm>
      </xdr:grpSpPr>
      <xdr:cxnSp macro="">
        <xdr:nvCxnSpPr>
          <xdr:cNvPr id="296" name="Straight Connector 81">
            <a:extLst>
              <a:ext uri="{FF2B5EF4-FFF2-40B4-BE49-F238E27FC236}">
                <a16:creationId xmlns:a16="http://schemas.microsoft.com/office/drawing/2014/main" id="{117EE9E9-55E8-837E-7C5D-4D3BCF65A74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82">
            <a:extLst>
              <a:ext uri="{FF2B5EF4-FFF2-40B4-BE49-F238E27FC236}">
                <a16:creationId xmlns:a16="http://schemas.microsoft.com/office/drawing/2014/main" id="{6CBAB0BA-B636-C170-76E4-7890D960787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83">
            <a:extLst>
              <a:ext uri="{FF2B5EF4-FFF2-40B4-BE49-F238E27FC236}">
                <a16:creationId xmlns:a16="http://schemas.microsoft.com/office/drawing/2014/main" id="{6CD5B527-FAC4-9A12-8357-2269270EFAB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4232</xdr:colOff>
      <xdr:row>13</xdr:row>
      <xdr:rowOff>120648</xdr:rowOff>
    </xdr:from>
    <xdr:to>
      <xdr:col>11</xdr:col>
      <xdr:colOff>65041</xdr:colOff>
      <xdr:row>14</xdr:row>
      <xdr:rowOff>79734</xdr:rowOff>
    </xdr:to>
    <xdr:grpSp>
      <xdr:nvGrpSpPr>
        <xdr:cNvPr id="299" name="Grup 239">
          <a:extLst>
            <a:ext uri="{FF2B5EF4-FFF2-40B4-BE49-F238E27FC236}">
              <a16:creationId xmlns:a16="http://schemas.microsoft.com/office/drawing/2014/main" id="{D1DA0871-72F0-4A5A-9D3B-A357536E9B4B}"/>
            </a:ext>
          </a:extLst>
        </xdr:cNvPr>
        <xdr:cNvGrpSpPr/>
      </xdr:nvGrpSpPr>
      <xdr:grpSpPr>
        <a:xfrm rot="15877125">
          <a:off x="3716928" y="2101786"/>
          <a:ext cx="107252" cy="60809"/>
          <a:chOff x="13302191" y="2320613"/>
          <a:chExt cx="107252" cy="55662"/>
        </a:xfrm>
      </xdr:grpSpPr>
      <xdr:cxnSp macro="">
        <xdr:nvCxnSpPr>
          <xdr:cNvPr id="300" name="Straight Connector 81">
            <a:extLst>
              <a:ext uri="{FF2B5EF4-FFF2-40B4-BE49-F238E27FC236}">
                <a16:creationId xmlns:a16="http://schemas.microsoft.com/office/drawing/2014/main" id="{CBAB0789-12B4-B469-1295-947338EAC0D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" name="Straight Connector 82">
            <a:extLst>
              <a:ext uri="{FF2B5EF4-FFF2-40B4-BE49-F238E27FC236}">
                <a16:creationId xmlns:a16="http://schemas.microsoft.com/office/drawing/2014/main" id="{0CBB3909-B7FB-68BC-AF99-019C8F4CDE2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Straight Connector 83">
            <a:extLst>
              <a:ext uri="{FF2B5EF4-FFF2-40B4-BE49-F238E27FC236}">
                <a16:creationId xmlns:a16="http://schemas.microsoft.com/office/drawing/2014/main" id="{8A534EFE-F77F-E83C-0A43-574026DA2A9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19050</xdr:colOff>
      <xdr:row>18</xdr:row>
      <xdr:rowOff>50799</xdr:rowOff>
    </xdr:from>
    <xdr:to>
      <xdr:col>11</xdr:col>
      <xdr:colOff>79859</xdr:colOff>
      <xdr:row>19</xdr:row>
      <xdr:rowOff>9884</xdr:rowOff>
    </xdr:to>
    <xdr:grpSp>
      <xdr:nvGrpSpPr>
        <xdr:cNvPr id="303" name="Grup 239">
          <a:extLst>
            <a:ext uri="{FF2B5EF4-FFF2-40B4-BE49-F238E27FC236}">
              <a16:creationId xmlns:a16="http://schemas.microsoft.com/office/drawing/2014/main" id="{3105306C-731E-49A7-83C6-5276415E179D}"/>
            </a:ext>
          </a:extLst>
        </xdr:cNvPr>
        <xdr:cNvGrpSpPr/>
      </xdr:nvGrpSpPr>
      <xdr:grpSpPr>
        <a:xfrm rot="15877125">
          <a:off x="3731746" y="2772770"/>
          <a:ext cx="107252" cy="60809"/>
          <a:chOff x="13302191" y="2320613"/>
          <a:chExt cx="107252" cy="55662"/>
        </a:xfrm>
      </xdr:grpSpPr>
      <xdr:cxnSp macro="">
        <xdr:nvCxnSpPr>
          <xdr:cNvPr id="304" name="Straight Connector 81">
            <a:extLst>
              <a:ext uri="{FF2B5EF4-FFF2-40B4-BE49-F238E27FC236}">
                <a16:creationId xmlns:a16="http://schemas.microsoft.com/office/drawing/2014/main" id="{82CFA0C0-D194-0B5A-D5BF-6C06BED300D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Connector 82">
            <a:extLst>
              <a:ext uri="{FF2B5EF4-FFF2-40B4-BE49-F238E27FC236}">
                <a16:creationId xmlns:a16="http://schemas.microsoft.com/office/drawing/2014/main" id="{D9013735-97CB-00C0-3292-D8F601C76DA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Straight Connector 83">
            <a:extLst>
              <a:ext uri="{FF2B5EF4-FFF2-40B4-BE49-F238E27FC236}">
                <a16:creationId xmlns:a16="http://schemas.microsoft.com/office/drawing/2014/main" id="{81C5C7A6-D68B-42A5-6824-26F565EE5D1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23282</xdr:colOff>
      <xdr:row>24</xdr:row>
      <xdr:rowOff>76200</xdr:rowOff>
    </xdr:from>
    <xdr:to>
      <xdr:col>11</xdr:col>
      <xdr:colOff>84091</xdr:colOff>
      <xdr:row>25</xdr:row>
      <xdr:rowOff>35285</xdr:rowOff>
    </xdr:to>
    <xdr:grpSp>
      <xdr:nvGrpSpPr>
        <xdr:cNvPr id="307" name="Grup 239">
          <a:extLst>
            <a:ext uri="{FF2B5EF4-FFF2-40B4-BE49-F238E27FC236}">
              <a16:creationId xmlns:a16="http://schemas.microsoft.com/office/drawing/2014/main" id="{938C6368-E399-4C31-A5A7-C41DA840AC9F}"/>
            </a:ext>
          </a:extLst>
        </xdr:cNvPr>
        <xdr:cNvGrpSpPr/>
      </xdr:nvGrpSpPr>
      <xdr:grpSpPr>
        <a:xfrm rot="15877125">
          <a:off x="3735978" y="3687171"/>
          <a:ext cx="107252" cy="60809"/>
          <a:chOff x="13302191" y="2320613"/>
          <a:chExt cx="107252" cy="55662"/>
        </a:xfrm>
      </xdr:grpSpPr>
      <xdr:cxnSp macro="">
        <xdr:nvCxnSpPr>
          <xdr:cNvPr id="308" name="Straight Connector 81">
            <a:extLst>
              <a:ext uri="{FF2B5EF4-FFF2-40B4-BE49-F238E27FC236}">
                <a16:creationId xmlns:a16="http://schemas.microsoft.com/office/drawing/2014/main" id="{61933F1E-E8F4-B76B-BB59-8B8159BE499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" name="Straight Connector 82">
            <a:extLst>
              <a:ext uri="{FF2B5EF4-FFF2-40B4-BE49-F238E27FC236}">
                <a16:creationId xmlns:a16="http://schemas.microsoft.com/office/drawing/2014/main" id="{24225DAD-D96F-193C-BA62-77CAF528F37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83">
            <a:extLst>
              <a:ext uri="{FF2B5EF4-FFF2-40B4-BE49-F238E27FC236}">
                <a16:creationId xmlns:a16="http://schemas.microsoft.com/office/drawing/2014/main" id="{9F76C82E-3197-36D6-0087-526B4CE3E87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359834</xdr:colOff>
      <xdr:row>5</xdr:row>
      <xdr:rowOff>137583</xdr:rowOff>
    </xdr:from>
    <xdr:to>
      <xdr:col>11</xdr:col>
      <xdr:colOff>39643</xdr:colOff>
      <xdr:row>6</xdr:row>
      <xdr:rowOff>96668</xdr:rowOff>
    </xdr:to>
    <xdr:grpSp>
      <xdr:nvGrpSpPr>
        <xdr:cNvPr id="311" name="Grup 239">
          <a:extLst>
            <a:ext uri="{FF2B5EF4-FFF2-40B4-BE49-F238E27FC236}">
              <a16:creationId xmlns:a16="http://schemas.microsoft.com/office/drawing/2014/main" id="{6D803BF6-3770-4C84-9ED7-505D0AE7425A}"/>
            </a:ext>
          </a:extLst>
        </xdr:cNvPr>
        <xdr:cNvGrpSpPr/>
      </xdr:nvGrpSpPr>
      <xdr:grpSpPr>
        <a:xfrm rot="15877125">
          <a:off x="3691530" y="922804"/>
          <a:ext cx="107252" cy="60809"/>
          <a:chOff x="13302191" y="2320613"/>
          <a:chExt cx="107252" cy="55662"/>
        </a:xfrm>
      </xdr:grpSpPr>
      <xdr:cxnSp macro="">
        <xdr:nvCxnSpPr>
          <xdr:cNvPr id="312" name="Straight Connector 81">
            <a:extLst>
              <a:ext uri="{FF2B5EF4-FFF2-40B4-BE49-F238E27FC236}">
                <a16:creationId xmlns:a16="http://schemas.microsoft.com/office/drawing/2014/main" id="{14D93373-E2B1-96A9-1993-599B702F99A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" name="Straight Connector 82">
            <a:extLst>
              <a:ext uri="{FF2B5EF4-FFF2-40B4-BE49-F238E27FC236}">
                <a16:creationId xmlns:a16="http://schemas.microsoft.com/office/drawing/2014/main" id="{84530C69-A0EF-8FBC-8142-FEFE7BFE9D6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Connector 83">
            <a:extLst>
              <a:ext uri="{FF2B5EF4-FFF2-40B4-BE49-F238E27FC236}">
                <a16:creationId xmlns:a16="http://schemas.microsoft.com/office/drawing/2014/main" id="{145A1C11-BAAA-B2B7-E7BF-8170BB72C47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222248</xdr:colOff>
      <xdr:row>41</xdr:row>
      <xdr:rowOff>105833</xdr:rowOff>
    </xdr:from>
    <xdr:to>
      <xdr:col>10</xdr:col>
      <xdr:colOff>338664</xdr:colOff>
      <xdr:row>41</xdr:row>
      <xdr:rowOff>105833</xdr:rowOff>
    </xdr:to>
    <xdr:cxnSp macro="">
      <xdr:nvCxnSpPr>
        <xdr:cNvPr id="316" name="Straight Connector 164">
          <a:extLst>
            <a:ext uri="{FF2B5EF4-FFF2-40B4-BE49-F238E27FC236}">
              <a16:creationId xmlns:a16="http://schemas.microsoft.com/office/drawing/2014/main" id="{0BF597CE-C04A-4014-9753-40729E1F67B2}"/>
            </a:ext>
          </a:extLst>
        </xdr:cNvPr>
        <xdr:cNvCxnSpPr>
          <a:cxnSpLocks/>
        </xdr:cNvCxnSpPr>
      </xdr:nvCxnSpPr>
      <xdr:spPr bwMode="auto">
        <a:xfrm flipH="1">
          <a:off x="1291165" y="6233583"/>
          <a:ext cx="240241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95250</xdr:colOff>
      <xdr:row>5</xdr:row>
      <xdr:rowOff>10582</xdr:rowOff>
    </xdr:from>
    <xdr:to>
      <xdr:col>12</xdr:col>
      <xdr:colOff>253636</xdr:colOff>
      <xdr:row>5</xdr:row>
      <xdr:rowOff>147522</xdr:rowOff>
    </xdr:to>
    <xdr:grpSp>
      <xdr:nvGrpSpPr>
        <xdr:cNvPr id="317" name="Group 13">
          <a:extLst>
            <a:ext uri="{FF2B5EF4-FFF2-40B4-BE49-F238E27FC236}">
              <a16:creationId xmlns:a16="http://schemas.microsoft.com/office/drawing/2014/main" id="{7500260E-6E78-49A8-9657-2F05F2DC8FF0}"/>
            </a:ext>
          </a:extLst>
        </xdr:cNvPr>
        <xdr:cNvGrpSpPr/>
      </xdr:nvGrpSpPr>
      <xdr:grpSpPr>
        <a:xfrm>
          <a:off x="4212167" y="772582"/>
          <a:ext cx="158386" cy="136940"/>
          <a:chOff x="9937028" y="802652"/>
          <a:chExt cx="83991" cy="77961"/>
        </a:xfrm>
      </xdr:grpSpPr>
      <xdr:sp macro="" textlink="">
        <xdr:nvSpPr>
          <xdr:cNvPr id="318" name="Oval 1">
            <a:extLst>
              <a:ext uri="{FF2B5EF4-FFF2-40B4-BE49-F238E27FC236}">
                <a16:creationId xmlns:a16="http://schemas.microsoft.com/office/drawing/2014/main" id="{4A7898D1-C433-4A85-3689-7B457D57CF7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9" name="Straight Connector 3">
            <a:extLst>
              <a:ext uri="{FF2B5EF4-FFF2-40B4-BE49-F238E27FC236}">
                <a16:creationId xmlns:a16="http://schemas.microsoft.com/office/drawing/2014/main" id="{E5600902-38FC-53AB-F827-CCAF84A6FB8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Straight Connector 7">
            <a:extLst>
              <a:ext uri="{FF2B5EF4-FFF2-40B4-BE49-F238E27FC236}">
                <a16:creationId xmlns:a16="http://schemas.microsoft.com/office/drawing/2014/main" id="{1157E9E5-8D73-60E9-CFE4-C66A1859B03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232833</xdr:colOff>
      <xdr:row>5</xdr:row>
      <xdr:rowOff>106679</xdr:rowOff>
    </xdr:from>
    <xdr:to>
      <xdr:col>16</xdr:col>
      <xdr:colOff>31750</xdr:colOff>
      <xdr:row>5</xdr:row>
      <xdr:rowOff>127000</xdr:rowOff>
    </xdr:to>
    <xdr:cxnSp macro="">
      <xdr:nvCxnSpPr>
        <xdr:cNvPr id="321" name="Straight Arrow Connector 166">
          <a:extLst>
            <a:ext uri="{FF2B5EF4-FFF2-40B4-BE49-F238E27FC236}">
              <a16:creationId xmlns:a16="http://schemas.microsoft.com/office/drawing/2014/main" id="{3EEECBA2-0442-4020-9C81-BA6E32E069D6}"/>
            </a:ext>
          </a:extLst>
        </xdr:cNvPr>
        <xdr:cNvCxnSpPr>
          <a:cxnSpLocks/>
        </xdr:cNvCxnSpPr>
      </xdr:nvCxnSpPr>
      <xdr:spPr>
        <a:xfrm>
          <a:off x="5492750" y="868679"/>
          <a:ext cx="179917" cy="2032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63500</xdr:colOff>
      <xdr:row>42</xdr:row>
      <xdr:rowOff>105833</xdr:rowOff>
    </xdr:from>
    <xdr:to>
      <xdr:col>10</xdr:col>
      <xdr:colOff>317500</xdr:colOff>
      <xdr:row>42</xdr:row>
      <xdr:rowOff>105833</xdr:rowOff>
    </xdr:to>
    <xdr:cxnSp macro="">
      <xdr:nvCxnSpPr>
        <xdr:cNvPr id="324" name="Straight Connector 164">
          <a:extLst>
            <a:ext uri="{FF2B5EF4-FFF2-40B4-BE49-F238E27FC236}">
              <a16:creationId xmlns:a16="http://schemas.microsoft.com/office/drawing/2014/main" id="{89667891-0F15-4B26-8B90-C253C640B87A}"/>
            </a:ext>
          </a:extLst>
        </xdr:cNvPr>
        <xdr:cNvCxnSpPr>
          <a:cxnSpLocks/>
        </xdr:cNvCxnSpPr>
      </xdr:nvCxnSpPr>
      <xdr:spPr bwMode="auto">
        <a:xfrm>
          <a:off x="1132417" y="6381750"/>
          <a:ext cx="254000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95249</xdr:colOff>
      <xdr:row>31</xdr:row>
      <xdr:rowOff>63500</xdr:rowOff>
    </xdr:from>
    <xdr:to>
      <xdr:col>10</xdr:col>
      <xdr:colOff>256368</xdr:colOff>
      <xdr:row>32</xdr:row>
      <xdr:rowOff>525</xdr:rowOff>
    </xdr:to>
    <xdr:sp macro="" textlink="">
      <xdr:nvSpPr>
        <xdr:cNvPr id="336" name="Isosceles Triangle 120">
          <a:extLst>
            <a:ext uri="{FF2B5EF4-FFF2-40B4-BE49-F238E27FC236}">
              <a16:creationId xmlns:a16="http://schemas.microsoft.com/office/drawing/2014/main" id="{612D300C-6CDA-467D-A207-E2A9F3F6F011}"/>
            </a:ext>
          </a:extLst>
        </xdr:cNvPr>
        <xdr:cNvSpPr/>
      </xdr:nvSpPr>
      <xdr:spPr>
        <a:xfrm>
          <a:off x="3450166" y="4688417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95250</xdr:colOff>
      <xdr:row>4</xdr:row>
      <xdr:rowOff>42335</xdr:rowOff>
    </xdr:from>
    <xdr:to>
      <xdr:col>14</xdr:col>
      <xdr:colOff>326253</xdr:colOff>
      <xdr:row>4</xdr:row>
      <xdr:rowOff>127526</xdr:rowOff>
    </xdr:to>
    <xdr:grpSp>
      <xdr:nvGrpSpPr>
        <xdr:cNvPr id="337" name="Group 134">
          <a:extLst>
            <a:ext uri="{FF2B5EF4-FFF2-40B4-BE49-F238E27FC236}">
              <a16:creationId xmlns:a16="http://schemas.microsoft.com/office/drawing/2014/main" id="{A6F4F1F6-5224-4D97-9C6B-6D2F689F7984}"/>
            </a:ext>
          </a:extLst>
        </xdr:cNvPr>
        <xdr:cNvGrpSpPr/>
      </xdr:nvGrpSpPr>
      <xdr:grpSpPr>
        <a:xfrm>
          <a:off x="4974167" y="656168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338" name="Isosceles Triangle 118">
            <a:extLst>
              <a:ext uri="{FF2B5EF4-FFF2-40B4-BE49-F238E27FC236}">
                <a16:creationId xmlns:a16="http://schemas.microsoft.com/office/drawing/2014/main" id="{BDD5C7AD-059F-17A3-065D-3E3E03B1544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39" name="Isosceles Triangle 119">
            <a:extLst>
              <a:ext uri="{FF2B5EF4-FFF2-40B4-BE49-F238E27FC236}">
                <a16:creationId xmlns:a16="http://schemas.microsoft.com/office/drawing/2014/main" id="{3669ABBA-8D70-ECE4-1A64-BB069A6BB8E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40" name="Isosceles Triangle 120">
            <a:extLst>
              <a:ext uri="{FF2B5EF4-FFF2-40B4-BE49-F238E27FC236}">
                <a16:creationId xmlns:a16="http://schemas.microsoft.com/office/drawing/2014/main" id="{FF06A792-E956-0E02-799F-44F4FDAF84D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349250</xdr:colOff>
      <xdr:row>3</xdr:row>
      <xdr:rowOff>42333</xdr:rowOff>
    </xdr:from>
    <xdr:to>
      <xdr:col>14</xdr:col>
      <xdr:colOff>368660</xdr:colOff>
      <xdr:row>4</xdr:row>
      <xdr:rowOff>77786</xdr:rowOff>
    </xdr:to>
    <xdr:sp macro="" textlink="">
      <xdr:nvSpPr>
        <xdr:cNvPr id="341" name="TextBox 160">
          <a:extLst>
            <a:ext uri="{FF2B5EF4-FFF2-40B4-BE49-F238E27FC236}">
              <a16:creationId xmlns:a16="http://schemas.microsoft.com/office/drawing/2014/main" id="{C88CE6A0-79B0-481A-A4D1-5105CADA25EC}"/>
            </a:ext>
          </a:extLst>
        </xdr:cNvPr>
        <xdr:cNvSpPr txBox="1"/>
      </xdr:nvSpPr>
      <xdr:spPr>
        <a:xfrm>
          <a:off x="4466167" y="508000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5908</xdr:colOff>
      <xdr:row>37</xdr:row>
      <xdr:rowOff>138251</xdr:rowOff>
    </xdr:from>
    <xdr:to>
      <xdr:col>10</xdr:col>
      <xdr:colOff>362260</xdr:colOff>
      <xdr:row>41</xdr:row>
      <xdr:rowOff>129655</xdr:rowOff>
    </xdr:to>
    <xdr:cxnSp macro="">
      <xdr:nvCxnSpPr>
        <xdr:cNvPr id="342" name="Straight Connector 164">
          <a:extLst>
            <a:ext uri="{FF2B5EF4-FFF2-40B4-BE49-F238E27FC236}">
              <a16:creationId xmlns:a16="http://schemas.microsoft.com/office/drawing/2014/main" id="{B20D540A-1977-4AEC-9F19-6DB5F5F1A0F9}"/>
            </a:ext>
          </a:extLst>
        </xdr:cNvPr>
        <xdr:cNvCxnSpPr>
          <a:cxnSpLocks/>
          <a:stCxn id="198" idx="4"/>
          <a:endCxn id="213" idx="7"/>
        </xdr:cNvCxnSpPr>
      </xdr:nvCxnSpPr>
      <xdr:spPr bwMode="auto">
        <a:xfrm flipH="1">
          <a:off x="3360825" y="5662751"/>
          <a:ext cx="356352" cy="59465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326276</xdr:colOff>
      <xdr:row>5</xdr:row>
      <xdr:rowOff>17600</xdr:rowOff>
    </xdr:from>
    <xdr:to>
      <xdr:col>10</xdr:col>
      <xdr:colOff>362260</xdr:colOff>
      <xdr:row>37</xdr:row>
      <xdr:rowOff>138251</xdr:rowOff>
    </xdr:to>
    <xdr:cxnSp macro="">
      <xdr:nvCxnSpPr>
        <xdr:cNvPr id="344" name="Straight Connector 164">
          <a:extLst>
            <a:ext uri="{FF2B5EF4-FFF2-40B4-BE49-F238E27FC236}">
              <a16:creationId xmlns:a16="http://schemas.microsoft.com/office/drawing/2014/main" id="{C784AB3B-E494-4049-BEC8-1827E80B031D}"/>
            </a:ext>
          </a:extLst>
        </xdr:cNvPr>
        <xdr:cNvCxnSpPr>
          <a:cxnSpLocks/>
          <a:stCxn id="231" idx="4"/>
          <a:endCxn id="198" idx="4"/>
        </xdr:cNvCxnSpPr>
      </xdr:nvCxnSpPr>
      <xdr:spPr bwMode="auto">
        <a:xfrm>
          <a:off x="3681193" y="779600"/>
          <a:ext cx="35984" cy="488315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232832</xdr:colOff>
      <xdr:row>5</xdr:row>
      <xdr:rowOff>91017</xdr:rowOff>
    </xdr:from>
    <xdr:to>
      <xdr:col>15</xdr:col>
      <xdr:colOff>67733</xdr:colOff>
      <xdr:row>5</xdr:row>
      <xdr:rowOff>93870</xdr:rowOff>
    </xdr:to>
    <xdr:cxnSp macro="">
      <xdr:nvCxnSpPr>
        <xdr:cNvPr id="347" name="Straight Connector 164">
          <a:extLst>
            <a:ext uri="{FF2B5EF4-FFF2-40B4-BE49-F238E27FC236}">
              <a16:creationId xmlns:a16="http://schemas.microsoft.com/office/drawing/2014/main" id="{71DFCE2F-7A7F-4283-944D-B5C0F636250D}"/>
            </a:ext>
          </a:extLst>
        </xdr:cNvPr>
        <xdr:cNvCxnSpPr>
          <a:cxnSpLocks/>
          <a:stCxn id="383" idx="2"/>
        </xdr:cNvCxnSpPr>
      </xdr:nvCxnSpPr>
      <xdr:spPr bwMode="auto">
        <a:xfrm flipH="1" flipV="1">
          <a:off x="4349749" y="853017"/>
          <a:ext cx="977901" cy="285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169334</xdr:colOff>
      <xdr:row>29</xdr:row>
      <xdr:rowOff>52917</xdr:rowOff>
    </xdr:from>
    <xdr:to>
      <xdr:col>13</xdr:col>
      <xdr:colOff>201083</xdr:colOff>
      <xdr:row>34</xdr:row>
      <xdr:rowOff>105833</xdr:rowOff>
    </xdr:to>
    <xdr:sp macro="" textlink="">
      <xdr:nvSpPr>
        <xdr:cNvPr id="204" name="TextBox 157">
          <a:extLst>
            <a:ext uri="{FF2B5EF4-FFF2-40B4-BE49-F238E27FC236}">
              <a16:creationId xmlns:a16="http://schemas.microsoft.com/office/drawing/2014/main" id="{0D7E6BFE-5B08-4FED-B976-7E658A8B2E6E}"/>
            </a:ext>
          </a:extLst>
        </xdr:cNvPr>
        <xdr:cNvSpPr txBox="1"/>
      </xdr:nvSpPr>
      <xdr:spPr>
        <a:xfrm>
          <a:off x="3905251" y="4381500"/>
          <a:ext cx="793749" cy="7937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PWI11-25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CC2-A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G105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CC2-A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105833</xdr:colOff>
      <xdr:row>23</xdr:row>
      <xdr:rowOff>137584</xdr:rowOff>
    </xdr:from>
    <xdr:to>
      <xdr:col>10</xdr:col>
      <xdr:colOff>137582</xdr:colOff>
      <xdr:row>28</xdr:row>
      <xdr:rowOff>52917</xdr:rowOff>
    </xdr:to>
    <xdr:sp macro="" textlink="">
      <xdr:nvSpPr>
        <xdr:cNvPr id="205" name="TextBox 157">
          <a:extLst>
            <a:ext uri="{FF2B5EF4-FFF2-40B4-BE49-F238E27FC236}">
              <a16:creationId xmlns:a16="http://schemas.microsoft.com/office/drawing/2014/main" id="{89F23023-8DE0-4B4F-A614-A61F9EC68075}"/>
            </a:ext>
          </a:extLst>
        </xdr:cNvPr>
        <xdr:cNvSpPr txBox="1"/>
      </xdr:nvSpPr>
      <xdr:spPr>
        <a:xfrm>
          <a:off x="2698750" y="3577167"/>
          <a:ext cx="793749" cy="65616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PWI11-26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CC2-A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CC2-A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190500</xdr:colOff>
      <xdr:row>17</xdr:row>
      <xdr:rowOff>137583</xdr:rowOff>
    </xdr:from>
    <xdr:to>
      <xdr:col>13</xdr:col>
      <xdr:colOff>222249</xdr:colOff>
      <xdr:row>23</xdr:row>
      <xdr:rowOff>137583</xdr:rowOff>
    </xdr:to>
    <xdr:sp macro="" textlink="">
      <xdr:nvSpPr>
        <xdr:cNvPr id="206" name="TextBox 157">
          <a:extLst>
            <a:ext uri="{FF2B5EF4-FFF2-40B4-BE49-F238E27FC236}">
              <a16:creationId xmlns:a16="http://schemas.microsoft.com/office/drawing/2014/main" id="{43ED7C35-4A30-4896-9114-6B2215B8CD9A}"/>
            </a:ext>
          </a:extLst>
        </xdr:cNvPr>
        <xdr:cNvSpPr txBox="1"/>
      </xdr:nvSpPr>
      <xdr:spPr>
        <a:xfrm>
          <a:off x="3926417" y="2688166"/>
          <a:ext cx="793749" cy="8890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PWI11-27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182479</xdr:colOff>
      <xdr:row>33</xdr:row>
      <xdr:rowOff>82106</xdr:rowOff>
    </xdr:from>
    <xdr:to>
      <xdr:col>11</xdr:col>
      <xdr:colOff>366098</xdr:colOff>
      <xdr:row>38</xdr:row>
      <xdr:rowOff>101516</xdr:rowOff>
    </xdr:to>
    <xdr:sp macro="" textlink="">
      <xdr:nvSpPr>
        <xdr:cNvPr id="227" name="TextBox 160">
          <a:extLst>
            <a:ext uri="{FF2B5EF4-FFF2-40B4-BE49-F238E27FC236}">
              <a16:creationId xmlns:a16="http://schemas.microsoft.com/office/drawing/2014/main" id="{43652A9D-4A93-40A0-AF63-4849119061B8}"/>
            </a:ext>
          </a:extLst>
        </xdr:cNvPr>
        <xdr:cNvSpPr txBox="1"/>
      </xdr:nvSpPr>
      <xdr:spPr>
        <a:xfrm rot="5400000">
          <a:off x="3619501" y="5302251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 M</a:t>
          </a:r>
        </a:p>
      </xdr:txBody>
    </xdr:sp>
    <xdr:clientData/>
  </xdr:twoCellAnchor>
  <xdr:twoCellAnchor>
    <xdr:from>
      <xdr:col>10</xdr:col>
      <xdr:colOff>66062</xdr:colOff>
      <xdr:row>27</xdr:row>
      <xdr:rowOff>39774</xdr:rowOff>
    </xdr:from>
    <xdr:to>
      <xdr:col>10</xdr:col>
      <xdr:colOff>249681</xdr:colOff>
      <xdr:row>32</xdr:row>
      <xdr:rowOff>80351</xdr:rowOff>
    </xdr:to>
    <xdr:sp macro="" textlink="">
      <xdr:nvSpPr>
        <xdr:cNvPr id="228" name="TextBox 160">
          <a:extLst>
            <a:ext uri="{FF2B5EF4-FFF2-40B4-BE49-F238E27FC236}">
              <a16:creationId xmlns:a16="http://schemas.microsoft.com/office/drawing/2014/main" id="{1A27048C-B0D8-41DE-B9A2-536E045EC191}"/>
            </a:ext>
          </a:extLst>
        </xdr:cNvPr>
        <xdr:cNvSpPr txBox="1"/>
      </xdr:nvSpPr>
      <xdr:spPr>
        <a:xfrm rot="5400000">
          <a:off x="3122084" y="4370919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 M</a:t>
          </a:r>
        </a:p>
      </xdr:txBody>
    </xdr:sp>
    <xdr:clientData/>
  </xdr:twoCellAnchor>
  <xdr:twoCellAnchor>
    <xdr:from>
      <xdr:col>10</xdr:col>
      <xdr:colOff>240854</xdr:colOff>
      <xdr:row>3</xdr:row>
      <xdr:rowOff>129562</xdr:rowOff>
    </xdr:from>
    <xdr:to>
      <xdr:col>12</xdr:col>
      <xdr:colOff>260264</xdr:colOff>
      <xdr:row>5</xdr:row>
      <xdr:rowOff>16848</xdr:rowOff>
    </xdr:to>
    <xdr:sp macro="" textlink="">
      <xdr:nvSpPr>
        <xdr:cNvPr id="234" name="TextBox 160">
          <a:extLst>
            <a:ext uri="{FF2B5EF4-FFF2-40B4-BE49-F238E27FC236}">
              <a16:creationId xmlns:a16="http://schemas.microsoft.com/office/drawing/2014/main" id="{E229AE19-4D50-4180-A28D-C2AE9DBBD5E8}"/>
            </a:ext>
          </a:extLst>
        </xdr:cNvPr>
        <xdr:cNvSpPr txBox="1"/>
      </xdr:nvSpPr>
      <xdr:spPr>
        <a:xfrm rot="555715">
          <a:off x="3595771" y="595229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</a:p>
      </xdr:txBody>
    </xdr:sp>
    <xdr:clientData/>
  </xdr:twoCellAnchor>
  <xdr:twoCellAnchor>
    <xdr:from>
      <xdr:col>10</xdr:col>
      <xdr:colOff>275167</xdr:colOff>
      <xdr:row>31</xdr:row>
      <xdr:rowOff>84667</xdr:rowOff>
    </xdr:from>
    <xdr:to>
      <xdr:col>11</xdr:col>
      <xdr:colOff>38719</xdr:colOff>
      <xdr:row>32</xdr:row>
      <xdr:rowOff>81101</xdr:rowOff>
    </xdr:to>
    <xdr:grpSp>
      <xdr:nvGrpSpPr>
        <xdr:cNvPr id="191" name="Group 13">
          <a:extLst>
            <a:ext uri="{FF2B5EF4-FFF2-40B4-BE49-F238E27FC236}">
              <a16:creationId xmlns:a16="http://schemas.microsoft.com/office/drawing/2014/main" id="{6FAFC260-33B4-4B9F-A462-09713A2539BC}"/>
            </a:ext>
          </a:extLst>
        </xdr:cNvPr>
        <xdr:cNvGrpSpPr/>
      </xdr:nvGrpSpPr>
      <xdr:grpSpPr>
        <a:xfrm>
          <a:off x="3630084" y="4709584"/>
          <a:ext cx="144552" cy="144600"/>
          <a:chOff x="9937028" y="802652"/>
          <a:chExt cx="83991" cy="77961"/>
        </a:xfrm>
      </xdr:grpSpPr>
      <xdr:sp macro="" textlink="">
        <xdr:nvSpPr>
          <xdr:cNvPr id="194" name="Oval 1">
            <a:extLst>
              <a:ext uri="{FF2B5EF4-FFF2-40B4-BE49-F238E27FC236}">
                <a16:creationId xmlns:a16="http://schemas.microsoft.com/office/drawing/2014/main" id="{493CA987-E4C1-07F4-B205-1B488717FD3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5" name="Straight Connector 3">
            <a:extLst>
              <a:ext uri="{FF2B5EF4-FFF2-40B4-BE49-F238E27FC236}">
                <a16:creationId xmlns:a16="http://schemas.microsoft.com/office/drawing/2014/main" id="{6C1A0ED0-B093-C76E-4B50-BDC8E79C004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7">
            <a:extLst>
              <a:ext uri="{FF2B5EF4-FFF2-40B4-BE49-F238E27FC236}">
                <a16:creationId xmlns:a16="http://schemas.microsoft.com/office/drawing/2014/main" id="{C7B1EA2D-7F63-EB26-9E36-3AA8030CF7D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289984</xdr:colOff>
      <xdr:row>36</xdr:row>
      <xdr:rowOff>152401</xdr:rowOff>
    </xdr:from>
    <xdr:to>
      <xdr:col>11</xdr:col>
      <xdr:colOff>53536</xdr:colOff>
      <xdr:row>37</xdr:row>
      <xdr:rowOff>138251</xdr:rowOff>
    </xdr:to>
    <xdr:grpSp>
      <xdr:nvGrpSpPr>
        <xdr:cNvPr id="197" name="Group 13">
          <a:extLst>
            <a:ext uri="{FF2B5EF4-FFF2-40B4-BE49-F238E27FC236}">
              <a16:creationId xmlns:a16="http://schemas.microsoft.com/office/drawing/2014/main" id="{FCF353EF-5837-440F-878B-6737172005BF}"/>
            </a:ext>
          </a:extLst>
        </xdr:cNvPr>
        <xdr:cNvGrpSpPr/>
      </xdr:nvGrpSpPr>
      <xdr:grpSpPr>
        <a:xfrm>
          <a:off x="3644901" y="5518151"/>
          <a:ext cx="144552" cy="144600"/>
          <a:chOff x="9937028" y="802652"/>
          <a:chExt cx="83991" cy="77961"/>
        </a:xfrm>
      </xdr:grpSpPr>
      <xdr:sp macro="" textlink="">
        <xdr:nvSpPr>
          <xdr:cNvPr id="198" name="Oval 1">
            <a:extLst>
              <a:ext uri="{FF2B5EF4-FFF2-40B4-BE49-F238E27FC236}">
                <a16:creationId xmlns:a16="http://schemas.microsoft.com/office/drawing/2014/main" id="{8FD9B7A8-B272-AA38-CD1A-08FAF99319B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8" name="Straight Connector 3">
            <a:extLst>
              <a:ext uri="{FF2B5EF4-FFF2-40B4-BE49-F238E27FC236}">
                <a16:creationId xmlns:a16="http://schemas.microsoft.com/office/drawing/2014/main" id="{801D727F-7F57-AFC2-414B-1959C4D79D4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7">
            <a:extLst>
              <a:ext uri="{FF2B5EF4-FFF2-40B4-BE49-F238E27FC236}">
                <a16:creationId xmlns:a16="http://schemas.microsoft.com/office/drawing/2014/main" id="{C4EC63A4-73E5-E8F1-9234-2130999B26A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10583</xdr:colOff>
      <xdr:row>29</xdr:row>
      <xdr:rowOff>84666</xdr:rowOff>
    </xdr:from>
    <xdr:to>
      <xdr:col>11</xdr:col>
      <xdr:colOff>71392</xdr:colOff>
      <xdr:row>30</xdr:row>
      <xdr:rowOff>51093</xdr:rowOff>
    </xdr:to>
    <xdr:grpSp>
      <xdr:nvGrpSpPr>
        <xdr:cNvPr id="256" name="Grup 239">
          <a:extLst>
            <a:ext uri="{FF2B5EF4-FFF2-40B4-BE49-F238E27FC236}">
              <a16:creationId xmlns:a16="http://schemas.microsoft.com/office/drawing/2014/main" id="{A9F051B3-CEC5-402A-8187-861798DBC240}"/>
            </a:ext>
          </a:extLst>
        </xdr:cNvPr>
        <xdr:cNvGrpSpPr/>
      </xdr:nvGrpSpPr>
      <xdr:grpSpPr>
        <a:xfrm rot="15852351">
          <a:off x="3719608" y="4440141"/>
          <a:ext cx="114594" cy="60809"/>
          <a:chOff x="13302191" y="2320613"/>
          <a:chExt cx="107252" cy="55662"/>
        </a:xfrm>
      </xdr:grpSpPr>
      <xdr:cxnSp macro="">
        <xdr:nvCxnSpPr>
          <xdr:cNvPr id="257" name="Straight Connector 81">
            <a:extLst>
              <a:ext uri="{FF2B5EF4-FFF2-40B4-BE49-F238E27FC236}">
                <a16:creationId xmlns:a16="http://schemas.microsoft.com/office/drawing/2014/main" id="{AEE7DECF-8CA1-286F-A202-F8A30EBE021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82">
            <a:extLst>
              <a:ext uri="{FF2B5EF4-FFF2-40B4-BE49-F238E27FC236}">
                <a16:creationId xmlns:a16="http://schemas.microsoft.com/office/drawing/2014/main" id="{7FBA056B-1097-48FB-A981-7D0C795CCCA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83">
            <a:extLst>
              <a:ext uri="{FF2B5EF4-FFF2-40B4-BE49-F238E27FC236}">
                <a16:creationId xmlns:a16="http://schemas.microsoft.com/office/drawing/2014/main" id="{3218D22C-DC80-A885-BC08-24C051E81FFE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25400</xdr:colOff>
      <xdr:row>35</xdr:row>
      <xdr:rowOff>46568</xdr:rowOff>
    </xdr:from>
    <xdr:to>
      <xdr:col>11</xdr:col>
      <xdr:colOff>86209</xdr:colOff>
      <xdr:row>36</xdr:row>
      <xdr:rowOff>12995</xdr:rowOff>
    </xdr:to>
    <xdr:grpSp>
      <xdr:nvGrpSpPr>
        <xdr:cNvPr id="260" name="Grup 239">
          <a:extLst>
            <a:ext uri="{FF2B5EF4-FFF2-40B4-BE49-F238E27FC236}">
              <a16:creationId xmlns:a16="http://schemas.microsoft.com/office/drawing/2014/main" id="{174E4FC7-6E2C-4BBA-BF5F-755EF499AA51}"/>
            </a:ext>
          </a:extLst>
        </xdr:cNvPr>
        <xdr:cNvGrpSpPr/>
      </xdr:nvGrpSpPr>
      <xdr:grpSpPr>
        <a:xfrm rot="15852351">
          <a:off x="3734425" y="5291043"/>
          <a:ext cx="114594" cy="60809"/>
          <a:chOff x="13302191" y="2320613"/>
          <a:chExt cx="107252" cy="55662"/>
        </a:xfrm>
      </xdr:grpSpPr>
      <xdr:cxnSp macro="">
        <xdr:nvCxnSpPr>
          <xdr:cNvPr id="261" name="Straight Connector 81">
            <a:extLst>
              <a:ext uri="{FF2B5EF4-FFF2-40B4-BE49-F238E27FC236}">
                <a16:creationId xmlns:a16="http://schemas.microsoft.com/office/drawing/2014/main" id="{F5465D3E-F9EB-49FB-5FA3-763CFDEEF0A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82">
            <a:extLst>
              <a:ext uri="{FF2B5EF4-FFF2-40B4-BE49-F238E27FC236}">
                <a16:creationId xmlns:a16="http://schemas.microsoft.com/office/drawing/2014/main" id="{04C12323-4D52-7301-E1BE-D58F49A1E55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83">
            <a:extLst>
              <a:ext uri="{FF2B5EF4-FFF2-40B4-BE49-F238E27FC236}">
                <a16:creationId xmlns:a16="http://schemas.microsoft.com/office/drawing/2014/main" id="{E378DD98-23FA-E77E-3E0C-27961747BB7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19050</xdr:colOff>
      <xdr:row>39</xdr:row>
      <xdr:rowOff>103717</xdr:rowOff>
    </xdr:from>
    <xdr:to>
      <xdr:col>11</xdr:col>
      <xdr:colOff>79859</xdr:colOff>
      <xdr:row>40</xdr:row>
      <xdr:rowOff>70145</xdr:rowOff>
    </xdr:to>
    <xdr:grpSp>
      <xdr:nvGrpSpPr>
        <xdr:cNvPr id="264" name="Grup 239">
          <a:extLst>
            <a:ext uri="{FF2B5EF4-FFF2-40B4-BE49-F238E27FC236}">
              <a16:creationId xmlns:a16="http://schemas.microsoft.com/office/drawing/2014/main" id="{EAB1C704-9143-452B-B0ED-E2A686BB74E2}"/>
            </a:ext>
          </a:extLst>
        </xdr:cNvPr>
        <xdr:cNvGrpSpPr/>
      </xdr:nvGrpSpPr>
      <xdr:grpSpPr>
        <a:xfrm rot="15852351">
          <a:off x="3728075" y="5962026"/>
          <a:ext cx="114594" cy="60809"/>
          <a:chOff x="13302191" y="2320613"/>
          <a:chExt cx="107252" cy="55662"/>
        </a:xfrm>
      </xdr:grpSpPr>
      <xdr:cxnSp macro="">
        <xdr:nvCxnSpPr>
          <xdr:cNvPr id="265" name="Straight Connector 81">
            <a:extLst>
              <a:ext uri="{FF2B5EF4-FFF2-40B4-BE49-F238E27FC236}">
                <a16:creationId xmlns:a16="http://schemas.microsoft.com/office/drawing/2014/main" id="{A0843129-A41F-527D-6A04-1B46136BD22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82">
            <a:extLst>
              <a:ext uri="{FF2B5EF4-FFF2-40B4-BE49-F238E27FC236}">
                <a16:creationId xmlns:a16="http://schemas.microsoft.com/office/drawing/2014/main" id="{2AF2E196-9BB5-A3B9-77E5-483F7D8804F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83">
            <a:extLst>
              <a:ext uri="{FF2B5EF4-FFF2-40B4-BE49-F238E27FC236}">
                <a16:creationId xmlns:a16="http://schemas.microsoft.com/office/drawing/2014/main" id="{412A3B62-D85C-FBDA-CE7E-98DD1087CD9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285751</xdr:colOff>
      <xdr:row>41</xdr:row>
      <xdr:rowOff>105834</xdr:rowOff>
    </xdr:from>
    <xdr:to>
      <xdr:col>11</xdr:col>
      <xdr:colOff>49303</xdr:colOff>
      <xdr:row>42</xdr:row>
      <xdr:rowOff>102267</xdr:rowOff>
    </xdr:to>
    <xdr:grpSp>
      <xdr:nvGrpSpPr>
        <xdr:cNvPr id="277" name="Group 13">
          <a:extLst>
            <a:ext uri="{FF2B5EF4-FFF2-40B4-BE49-F238E27FC236}">
              <a16:creationId xmlns:a16="http://schemas.microsoft.com/office/drawing/2014/main" id="{B764A414-E361-437F-BCD7-A1796A34ED5B}"/>
            </a:ext>
          </a:extLst>
        </xdr:cNvPr>
        <xdr:cNvGrpSpPr/>
      </xdr:nvGrpSpPr>
      <xdr:grpSpPr>
        <a:xfrm>
          <a:off x="3640668" y="6233584"/>
          <a:ext cx="144552" cy="144600"/>
          <a:chOff x="9937028" y="802652"/>
          <a:chExt cx="83991" cy="77961"/>
        </a:xfrm>
      </xdr:grpSpPr>
      <xdr:sp macro="" textlink="">
        <xdr:nvSpPr>
          <xdr:cNvPr id="278" name="Oval 1">
            <a:extLst>
              <a:ext uri="{FF2B5EF4-FFF2-40B4-BE49-F238E27FC236}">
                <a16:creationId xmlns:a16="http://schemas.microsoft.com/office/drawing/2014/main" id="{C607E73A-1236-E897-D0F9-CF5CFA2A9FB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9" name="Straight Connector 3">
            <a:extLst>
              <a:ext uri="{FF2B5EF4-FFF2-40B4-BE49-F238E27FC236}">
                <a16:creationId xmlns:a16="http://schemas.microsoft.com/office/drawing/2014/main" id="{1DAB613F-4C56-81DE-360B-3BB467C3C84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7">
            <a:extLst>
              <a:ext uri="{FF2B5EF4-FFF2-40B4-BE49-F238E27FC236}">
                <a16:creationId xmlns:a16="http://schemas.microsoft.com/office/drawing/2014/main" id="{BAFCF53E-C430-3D25-C845-DBB75548C5D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52917</xdr:colOff>
      <xdr:row>21</xdr:row>
      <xdr:rowOff>52917</xdr:rowOff>
    </xdr:from>
    <xdr:to>
      <xdr:col>10</xdr:col>
      <xdr:colOff>214036</xdr:colOff>
      <xdr:row>21</xdr:row>
      <xdr:rowOff>138108</xdr:rowOff>
    </xdr:to>
    <xdr:sp macro="" textlink="">
      <xdr:nvSpPr>
        <xdr:cNvPr id="335" name="Isosceles Triangle 120">
          <a:extLst>
            <a:ext uri="{FF2B5EF4-FFF2-40B4-BE49-F238E27FC236}">
              <a16:creationId xmlns:a16="http://schemas.microsoft.com/office/drawing/2014/main" id="{A8D4A0C6-3DEF-4BFE-A7FA-434B64BD8D95}"/>
            </a:ext>
          </a:extLst>
        </xdr:cNvPr>
        <xdr:cNvSpPr/>
      </xdr:nvSpPr>
      <xdr:spPr>
        <a:xfrm>
          <a:off x="3407834" y="3196167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74083</xdr:colOff>
      <xdr:row>13</xdr:row>
      <xdr:rowOff>84667</xdr:rowOff>
    </xdr:from>
    <xdr:to>
      <xdr:col>10</xdr:col>
      <xdr:colOff>105832</xdr:colOff>
      <xdr:row>19</xdr:row>
      <xdr:rowOff>84667</xdr:rowOff>
    </xdr:to>
    <xdr:sp macro="" textlink="">
      <xdr:nvSpPr>
        <xdr:cNvPr id="343" name="TextBox 157">
          <a:extLst>
            <a:ext uri="{FF2B5EF4-FFF2-40B4-BE49-F238E27FC236}">
              <a16:creationId xmlns:a16="http://schemas.microsoft.com/office/drawing/2014/main" id="{692F8064-F4BB-4D5A-8888-906A9826F1F3}"/>
            </a:ext>
          </a:extLst>
        </xdr:cNvPr>
        <xdr:cNvSpPr txBox="1"/>
      </xdr:nvSpPr>
      <xdr:spPr>
        <a:xfrm>
          <a:off x="2667000" y="2042584"/>
          <a:ext cx="793749" cy="8890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PWI11-28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74083</xdr:colOff>
      <xdr:row>16</xdr:row>
      <xdr:rowOff>10583</xdr:rowOff>
    </xdr:from>
    <xdr:to>
      <xdr:col>11</xdr:col>
      <xdr:colOff>235202</xdr:colOff>
      <xdr:row>16</xdr:row>
      <xdr:rowOff>95774</xdr:rowOff>
    </xdr:to>
    <xdr:sp macro="" textlink="">
      <xdr:nvSpPr>
        <xdr:cNvPr id="345" name="Isosceles Triangle 120">
          <a:extLst>
            <a:ext uri="{FF2B5EF4-FFF2-40B4-BE49-F238E27FC236}">
              <a16:creationId xmlns:a16="http://schemas.microsoft.com/office/drawing/2014/main" id="{875A5017-8487-4095-AFB4-66E8A21942F3}"/>
            </a:ext>
          </a:extLst>
        </xdr:cNvPr>
        <xdr:cNvSpPr/>
      </xdr:nvSpPr>
      <xdr:spPr>
        <a:xfrm>
          <a:off x="3810000" y="2413000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158750</xdr:colOff>
      <xdr:row>10</xdr:row>
      <xdr:rowOff>52917</xdr:rowOff>
    </xdr:from>
    <xdr:to>
      <xdr:col>13</xdr:col>
      <xdr:colOff>190499</xdr:colOff>
      <xdr:row>14</xdr:row>
      <xdr:rowOff>105834</xdr:rowOff>
    </xdr:to>
    <xdr:sp macro="" textlink="">
      <xdr:nvSpPr>
        <xdr:cNvPr id="346" name="TextBox 157">
          <a:extLst>
            <a:ext uri="{FF2B5EF4-FFF2-40B4-BE49-F238E27FC236}">
              <a16:creationId xmlns:a16="http://schemas.microsoft.com/office/drawing/2014/main" id="{F190AE8D-34C2-4888-8DD5-FBD7BB7E0AD8}"/>
            </a:ext>
          </a:extLst>
        </xdr:cNvPr>
        <xdr:cNvSpPr txBox="1"/>
      </xdr:nvSpPr>
      <xdr:spPr>
        <a:xfrm>
          <a:off x="3894667" y="1555750"/>
          <a:ext cx="793749" cy="65616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PWI11-29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CC2-A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CC2-A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95250</xdr:colOff>
      <xdr:row>6</xdr:row>
      <xdr:rowOff>31749</xdr:rowOff>
    </xdr:from>
    <xdr:to>
      <xdr:col>10</xdr:col>
      <xdr:colOff>126999</xdr:colOff>
      <xdr:row>10</xdr:row>
      <xdr:rowOff>95250</xdr:rowOff>
    </xdr:to>
    <xdr:sp macro="" textlink="">
      <xdr:nvSpPr>
        <xdr:cNvPr id="374" name="TextBox 157">
          <a:extLst>
            <a:ext uri="{FF2B5EF4-FFF2-40B4-BE49-F238E27FC236}">
              <a16:creationId xmlns:a16="http://schemas.microsoft.com/office/drawing/2014/main" id="{D3928980-8875-41CC-A34D-9899EABC6AB2}"/>
            </a:ext>
          </a:extLst>
        </xdr:cNvPr>
        <xdr:cNvSpPr txBox="1"/>
      </xdr:nvSpPr>
      <xdr:spPr>
        <a:xfrm>
          <a:off x="2688167" y="941916"/>
          <a:ext cx="793749" cy="65616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PWI11-30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158750</xdr:colOff>
      <xdr:row>1</xdr:row>
      <xdr:rowOff>31750</xdr:rowOff>
    </xdr:from>
    <xdr:to>
      <xdr:col>10</xdr:col>
      <xdr:colOff>190499</xdr:colOff>
      <xdr:row>5</xdr:row>
      <xdr:rowOff>84667</xdr:rowOff>
    </xdr:to>
    <xdr:sp macro="" textlink="">
      <xdr:nvSpPr>
        <xdr:cNvPr id="375" name="TextBox 157">
          <a:extLst>
            <a:ext uri="{FF2B5EF4-FFF2-40B4-BE49-F238E27FC236}">
              <a16:creationId xmlns:a16="http://schemas.microsoft.com/office/drawing/2014/main" id="{BD83A679-2806-4008-B728-9CB6A7CA92E8}"/>
            </a:ext>
          </a:extLst>
        </xdr:cNvPr>
        <xdr:cNvSpPr txBox="1"/>
      </xdr:nvSpPr>
      <xdr:spPr>
        <a:xfrm>
          <a:off x="2751667" y="190500"/>
          <a:ext cx="793749" cy="65616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PWI11-31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CC7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296333</xdr:colOff>
      <xdr:row>6</xdr:row>
      <xdr:rowOff>42334</xdr:rowOff>
    </xdr:from>
    <xdr:to>
      <xdr:col>17</xdr:col>
      <xdr:colOff>190500</xdr:colOff>
      <xdr:row>7</xdr:row>
      <xdr:rowOff>63501</xdr:rowOff>
    </xdr:to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3918EF26-D35B-41BC-A3FC-F8EBCD87195C}"/>
            </a:ext>
          </a:extLst>
        </xdr:cNvPr>
        <xdr:cNvSpPr txBox="1"/>
      </xdr:nvSpPr>
      <xdr:spPr>
        <a:xfrm>
          <a:off x="4032250" y="952501"/>
          <a:ext cx="2180167" cy="16933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11</xdr:col>
      <xdr:colOff>328084</xdr:colOff>
      <xdr:row>6</xdr:row>
      <xdr:rowOff>63500</xdr:rowOff>
    </xdr:from>
    <xdr:to>
      <xdr:col>13</xdr:col>
      <xdr:colOff>359833</xdr:colOff>
      <xdr:row>9</xdr:row>
      <xdr:rowOff>84666</xdr:rowOff>
    </xdr:to>
    <xdr:sp macro="" textlink="">
      <xdr:nvSpPr>
        <xdr:cNvPr id="377" name="TextBox 157">
          <a:extLst>
            <a:ext uri="{FF2B5EF4-FFF2-40B4-BE49-F238E27FC236}">
              <a16:creationId xmlns:a16="http://schemas.microsoft.com/office/drawing/2014/main" id="{3B6728F1-FD3A-40F1-990A-2DA66DCE7465}"/>
            </a:ext>
          </a:extLst>
        </xdr:cNvPr>
        <xdr:cNvSpPr txBox="1"/>
      </xdr:nvSpPr>
      <xdr:spPr>
        <a:xfrm>
          <a:off x="4064001" y="973667"/>
          <a:ext cx="793749" cy="46566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222250</xdr:colOff>
      <xdr:row>5</xdr:row>
      <xdr:rowOff>21167</xdr:rowOff>
    </xdr:from>
    <xdr:to>
      <xdr:col>14</xdr:col>
      <xdr:colOff>380636</xdr:colOff>
      <xdr:row>6</xdr:row>
      <xdr:rowOff>9940</xdr:rowOff>
    </xdr:to>
    <xdr:grpSp>
      <xdr:nvGrpSpPr>
        <xdr:cNvPr id="378" name="Group 13">
          <a:extLst>
            <a:ext uri="{FF2B5EF4-FFF2-40B4-BE49-F238E27FC236}">
              <a16:creationId xmlns:a16="http://schemas.microsoft.com/office/drawing/2014/main" id="{00FDAE1D-AEC9-41CD-9C0F-61D1D9E2CCC0}"/>
            </a:ext>
          </a:extLst>
        </xdr:cNvPr>
        <xdr:cNvGrpSpPr/>
      </xdr:nvGrpSpPr>
      <xdr:grpSpPr>
        <a:xfrm>
          <a:off x="5101167" y="783167"/>
          <a:ext cx="158386" cy="136940"/>
          <a:chOff x="9937028" y="802652"/>
          <a:chExt cx="83991" cy="77961"/>
        </a:xfrm>
      </xdr:grpSpPr>
      <xdr:sp macro="" textlink="">
        <xdr:nvSpPr>
          <xdr:cNvPr id="379" name="Oval 1">
            <a:extLst>
              <a:ext uri="{FF2B5EF4-FFF2-40B4-BE49-F238E27FC236}">
                <a16:creationId xmlns:a16="http://schemas.microsoft.com/office/drawing/2014/main" id="{17DA6D87-4CFC-D0C5-30C6-67ED19F6F4A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0" name="Straight Connector 3">
            <a:extLst>
              <a:ext uri="{FF2B5EF4-FFF2-40B4-BE49-F238E27FC236}">
                <a16:creationId xmlns:a16="http://schemas.microsoft.com/office/drawing/2014/main" id="{B867D584-16AA-A8D7-4A1A-3D87E4C993F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1" name="Straight Connector 7">
            <a:extLst>
              <a:ext uri="{FF2B5EF4-FFF2-40B4-BE49-F238E27FC236}">
                <a16:creationId xmlns:a16="http://schemas.microsoft.com/office/drawing/2014/main" id="{1F9388B5-049B-9209-A983-CCD9274D4A8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67733</xdr:colOff>
      <xdr:row>5</xdr:row>
      <xdr:rowOff>25400</xdr:rowOff>
    </xdr:from>
    <xdr:to>
      <xdr:col>15</xdr:col>
      <xdr:colOff>226119</xdr:colOff>
      <xdr:row>6</xdr:row>
      <xdr:rowOff>14173</xdr:rowOff>
    </xdr:to>
    <xdr:grpSp>
      <xdr:nvGrpSpPr>
        <xdr:cNvPr id="382" name="Group 13">
          <a:extLst>
            <a:ext uri="{FF2B5EF4-FFF2-40B4-BE49-F238E27FC236}">
              <a16:creationId xmlns:a16="http://schemas.microsoft.com/office/drawing/2014/main" id="{7931CEC2-90BD-46C1-8380-555B7F319D87}"/>
            </a:ext>
          </a:extLst>
        </xdr:cNvPr>
        <xdr:cNvGrpSpPr/>
      </xdr:nvGrpSpPr>
      <xdr:grpSpPr>
        <a:xfrm>
          <a:off x="5327650" y="787400"/>
          <a:ext cx="158386" cy="136940"/>
          <a:chOff x="9937028" y="802652"/>
          <a:chExt cx="83991" cy="77961"/>
        </a:xfrm>
      </xdr:grpSpPr>
      <xdr:sp macro="" textlink="">
        <xdr:nvSpPr>
          <xdr:cNvPr id="383" name="Oval 1">
            <a:extLst>
              <a:ext uri="{FF2B5EF4-FFF2-40B4-BE49-F238E27FC236}">
                <a16:creationId xmlns:a16="http://schemas.microsoft.com/office/drawing/2014/main" id="{02F8642E-FAA2-C7AD-72A4-4C936B361FE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4" name="Straight Connector 3">
            <a:extLst>
              <a:ext uri="{FF2B5EF4-FFF2-40B4-BE49-F238E27FC236}">
                <a16:creationId xmlns:a16="http://schemas.microsoft.com/office/drawing/2014/main" id="{0F56FF8F-A55C-ABEB-6575-53CA5CF4DCB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5" name="Straight Connector 7">
            <a:extLst>
              <a:ext uri="{FF2B5EF4-FFF2-40B4-BE49-F238E27FC236}">
                <a16:creationId xmlns:a16="http://schemas.microsoft.com/office/drawing/2014/main" id="{A995128C-24DC-B69C-F180-E28DC064C45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21166</xdr:colOff>
      <xdr:row>4</xdr:row>
      <xdr:rowOff>122500</xdr:rowOff>
    </xdr:from>
    <xdr:to>
      <xdr:col>12</xdr:col>
      <xdr:colOff>95250</xdr:colOff>
      <xdr:row>5</xdr:row>
      <xdr:rowOff>79052</xdr:rowOff>
    </xdr:to>
    <xdr:cxnSp macro="">
      <xdr:nvCxnSpPr>
        <xdr:cNvPr id="388" name="Straight Connector 164">
          <a:extLst>
            <a:ext uri="{FF2B5EF4-FFF2-40B4-BE49-F238E27FC236}">
              <a16:creationId xmlns:a16="http://schemas.microsoft.com/office/drawing/2014/main" id="{684453BA-1B46-40E5-937B-1A8A7D8A4942}"/>
            </a:ext>
          </a:extLst>
        </xdr:cNvPr>
        <xdr:cNvCxnSpPr>
          <a:cxnSpLocks/>
          <a:stCxn id="318" idx="2"/>
        </xdr:cNvCxnSpPr>
      </xdr:nvCxnSpPr>
      <xdr:spPr bwMode="auto">
        <a:xfrm flipH="1" flipV="1">
          <a:off x="3757083" y="736333"/>
          <a:ext cx="455084" cy="10471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6</xdr:row>
      <xdr:rowOff>74083</xdr:rowOff>
    </xdr:from>
    <xdr:to>
      <xdr:col>16</xdr:col>
      <xdr:colOff>361525</xdr:colOff>
      <xdr:row>16</xdr:row>
      <xdr:rowOff>10583</xdr:rowOff>
    </xdr:to>
    <xdr:sp macro="" textlink="">
      <xdr:nvSpPr>
        <xdr:cNvPr id="391" name="TextBox 157">
          <a:extLst>
            <a:ext uri="{FF2B5EF4-FFF2-40B4-BE49-F238E27FC236}">
              <a16:creationId xmlns:a16="http://schemas.microsoft.com/office/drawing/2014/main" id="{CF8EB73D-B4E8-4DD1-88A6-15BE49F28162}"/>
            </a:ext>
          </a:extLst>
        </xdr:cNvPr>
        <xdr:cNvSpPr txBox="1"/>
      </xdr:nvSpPr>
      <xdr:spPr>
        <a:xfrm>
          <a:off x="4974167" y="984250"/>
          <a:ext cx="1028275" cy="14287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CC1-A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CC7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160KVA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131KVA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52916</xdr:colOff>
      <xdr:row>43</xdr:row>
      <xdr:rowOff>31751</xdr:rowOff>
    </xdr:from>
    <xdr:to>
      <xdr:col>10</xdr:col>
      <xdr:colOff>319191</xdr:colOff>
      <xdr:row>47</xdr:row>
      <xdr:rowOff>63500</xdr:rowOff>
    </xdr:to>
    <xdr:sp macro="" textlink="">
      <xdr:nvSpPr>
        <xdr:cNvPr id="393" name="TextBox 157">
          <a:extLst>
            <a:ext uri="{FF2B5EF4-FFF2-40B4-BE49-F238E27FC236}">
              <a16:creationId xmlns:a16="http://schemas.microsoft.com/office/drawing/2014/main" id="{985F96F0-2CA2-47DC-A647-9651CC7DA8A1}"/>
            </a:ext>
          </a:extLst>
        </xdr:cNvPr>
        <xdr:cNvSpPr txBox="1"/>
      </xdr:nvSpPr>
      <xdr:spPr>
        <a:xfrm>
          <a:off x="2645833" y="6455834"/>
          <a:ext cx="1028275" cy="62441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PWI03-23 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105833</xdr:colOff>
      <xdr:row>22</xdr:row>
      <xdr:rowOff>63500</xdr:rowOff>
    </xdr:from>
    <xdr:to>
      <xdr:col>11</xdr:col>
      <xdr:colOff>289452</xdr:colOff>
      <xdr:row>27</xdr:row>
      <xdr:rowOff>104077</xdr:rowOff>
    </xdr:to>
    <xdr:sp macro="" textlink="">
      <xdr:nvSpPr>
        <xdr:cNvPr id="394" name="TextBox 160">
          <a:extLst>
            <a:ext uri="{FF2B5EF4-FFF2-40B4-BE49-F238E27FC236}">
              <a16:creationId xmlns:a16="http://schemas.microsoft.com/office/drawing/2014/main" id="{461A261B-B4A7-4C49-85BD-530C3A371CFB}"/>
            </a:ext>
          </a:extLst>
        </xdr:cNvPr>
        <xdr:cNvSpPr txBox="1"/>
      </xdr:nvSpPr>
      <xdr:spPr>
        <a:xfrm rot="5400000">
          <a:off x="3542855" y="3653812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 M</a:t>
          </a:r>
        </a:p>
      </xdr:txBody>
    </xdr:sp>
    <xdr:clientData/>
  </xdr:twoCellAnchor>
  <xdr:twoCellAnchor>
    <xdr:from>
      <xdr:col>10</xdr:col>
      <xdr:colOff>127000</xdr:colOff>
      <xdr:row>16</xdr:row>
      <xdr:rowOff>10584</xdr:rowOff>
    </xdr:from>
    <xdr:to>
      <xdr:col>10</xdr:col>
      <xdr:colOff>310619</xdr:colOff>
      <xdr:row>21</xdr:row>
      <xdr:rowOff>51161</xdr:rowOff>
    </xdr:to>
    <xdr:sp macro="" textlink="">
      <xdr:nvSpPr>
        <xdr:cNvPr id="395" name="TextBox 160">
          <a:extLst>
            <a:ext uri="{FF2B5EF4-FFF2-40B4-BE49-F238E27FC236}">
              <a16:creationId xmlns:a16="http://schemas.microsoft.com/office/drawing/2014/main" id="{E5BB8C07-E824-4F24-9E57-BBE98523C724}"/>
            </a:ext>
          </a:extLst>
        </xdr:cNvPr>
        <xdr:cNvSpPr txBox="1"/>
      </xdr:nvSpPr>
      <xdr:spPr>
        <a:xfrm rot="5400000">
          <a:off x="3183022" y="2711896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 M</a:t>
          </a:r>
        </a:p>
      </xdr:txBody>
    </xdr:sp>
    <xdr:clientData/>
  </xdr:twoCellAnchor>
  <xdr:twoCellAnchor>
    <xdr:from>
      <xdr:col>10</xdr:col>
      <xdr:colOff>127000</xdr:colOff>
      <xdr:row>11</xdr:row>
      <xdr:rowOff>63501</xdr:rowOff>
    </xdr:from>
    <xdr:to>
      <xdr:col>10</xdr:col>
      <xdr:colOff>310619</xdr:colOff>
      <xdr:row>16</xdr:row>
      <xdr:rowOff>93494</xdr:rowOff>
    </xdr:to>
    <xdr:sp macro="" textlink="">
      <xdr:nvSpPr>
        <xdr:cNvPr id="396" name="TextBox 160">
          <a:extLst>
            <a:ext uri="{FF2B5EF4-FFF2-40B4-BE49-F238E27FC236}">
              <a16:creationId xmlns:a16="http://schemas.microsoft.com/office/drawing/2014/main" id="{7D7B098C-ABC3-4EDE-8344-19421BA989AB}"/>
            </a:ext>
          </a:extLst>
        </xdr:cNvPr>
        <xdr:cNvSpPr txBox="1"/>
      </xdr:nvSpPr>
      <xdr:spPr>
        <a:xfrm rot="5400000">
          <a:off x="3183022" y="2013396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 M</a:t>
          </a:r>
        </a:p>
      </xdr:txBody>
    </xdr:sp>
    <xdr:clientData/>
  </xdr:twoCellAnchor>
  <xdr:twoCellAnchor>
    <xdr:from>
      <xdr:col>10</xdr:col>
      <xdr:colOff>127000</xdr:colOff>
      <xdr:row>7</xdr:row>
      <xdr:rowOff>63501</xdr:rowOff>
    </xdr:from>
    <xdr:to>
      <xdr:col>10</xdr:col>
      <xdr:colOff>310619</xdr:colOff>
      <xdr:row>12</xdr:row>
      <xdr:rowOff>104077</xdr:rowOff>
    </xdr:to>
    <xdr:sp macro="" textlink="">
      <xdr:nvSpPr>
        <xdr:cNvPr id="397" name="TextBox 160">
          <a:extLst>
            <a:ext uri="{FF2B5EF4-FFF2-40B4-BE49-F238E27FC236}">
              <a16:creationId xmlns:a16="http://schemas.microsoft.com/office/drawing/2014/main" id="{BDA31842-F047-4E7E-A435-ECE243CE1A33}"/>
            </a:ext>
          </a:extLst>
        </xdr:cNvPr>
        <xdr:cNvSpPr txBox="1"/>
      </xdr:nvSpPr>
      <xdr:spPr>
        <a:xfrm rot="5400000">
          <a:off x="3183022" y="1420729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 M</a:t>
          </a:r>
        </a:p>
      </xdr:txBody>
    </xdr:sp>
    <xdr:clientData/>
  </xdr:twoCellAnchor>
  <xdr:twoCellAnchor>
    <xdr:from>
      <xdr:col>11</xdr:col>
      <xdr:colOff>42333</xdr:colOff>
      <xdr:row>4</xdr:row>
      <xdr:rowOff>21167</xdr:rowOff>
    </xdr:from>
    <xdr:to>
      <xdr:col>11</xdr:col>
      <xdr:colOff>225952</xdr:colOff>
      <xdr:row>9</xdr:row>
      <xdr:rowOff>61743</xdr:rowOff>
    </xdr:to>
    <xdr:sp macro="" textlink="">
      <xdr:nvSpPr>
        <xdr:cNvPr id="398" name="TextBox 160">
          <a:extLst>
            <a:ext uri="{FF2B5EF4-FFF2-40B4-BE49-F238E27FC236}">
              <a16:creationId xmlns:a16="http://schemas.microsoft.com/office/drawing/2014/main" id="{54F14D35-FF51-4F8F-9940-67F17B396BFF}"/>
            </a:ext>
          </a:extLst>
        </xdr:cNvPr>
        <xdr:cNvSpPr txBox="1"/>
      </xdr:nvSpPr>
      <xdr:spPr>
        <a:xfrm rot="5400000">
          <a:off x="3479355" y="933895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 M</a:t>
          </a:r>
        </a:p>
      </xdr:txBody>
    </xdr:sp>
    <xdr:clientData/>
  </xdr:twoCellAnchor>
  <xdr:twoCellAnchor>
    <xdr:from>
      <xdr:col>12</xdr:col>
      <xdr:colOff>177355</xdr:colOff>
      <xdr:row>4</xdr:row>
      <xdr:rowOff>76645</xdr:rowOff>
    </xdr:from>
    <xdr:to>
      <xdr:col>14</xdr:col>
      <xdr:colOff>196765</xdr:colOff>
      <xdr:row>5</xdr:row>
      <xdr:rowOff>112097</xdr:rowOff>
    </xdr:to>
    <xdr:sp macro="" textlink="">
      <xdr:nvSpPr>
        <xdr:cNvPr id="399" name="TextBox 160">
          <a:extLst>
            <a:ext uri="{FF2B5EF4-FFF2-40B4-BE49-F238E27FC236}">
              <a16:creationId xmlns:a16="http://schemas.microsoft.com/office/drawing/2014/main" id="{CCD85606-8784-4254-99C5-E227EF20B500}"/>
            </a:ext>
          </a:extLst>
        </xdr:cNvPr>
        <xdr:cNvSpPr txBox="1"/>
      </xdr:nvSpPr>
      <xdr:spPr>
        <a:xfrm>
          <a:off x="4294272" y="690478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 M</a:t>
          </a:r>
        </a:p>
      </xdr:txBody>
    </xdr:sp>
    <xdr:clientData/>
  </xdr:twoCellAnchor>
  <xdr:twoCellAnchor>
    <xdr:from>
      <xdr:col>9</xdr:col>
      <xdr:colOff>285750</xdr:colOff>
      <xdr:row>37</xdr:row>
      <xdr:rowOff>148167</xdr:rowOff>
    </xdr:from>
    <xdr:to>
      <xdr:col>10</xdr:col>
      <xdr:colOff>88369</xdr:colOff>
      <xdr:row>43</xdr:row>
      <xdr:rowOff>29994</xdr:rowOff>
    </xdr:to>
    <xdr:sp macro="" textlink="">
      <xdr:nvSpPr>
        <xdr:cNvPr id="400" name="TextBox 160">
          <a:extLst>
            <a:ext uri="{FF2B5EF4-FFF2-40B4-BE49-F238E27FC236}">
              <a16:creationId xmlns:a16="http://schemas.microsoft.com/office/drawing/2014/main" id="{B7634034-D89B-442B-9285-F8F12A571703}"/>
            </a:ext>
          </a:extLst>
        </xdr:cNvPr>
        <xdr:cNvSpPr txBox="1"/>
      </xdr:nvSpPr>
      <xdr:spPr>
        <a:xfrm rot="18123377">
          <a:off x="2960772" y="5971562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 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</xdr:col>
      <xdr:colOff>709307</xdr:colOff>
      <xdr:row>4</xdr:row>
      <xdr:rowOff>162126</xdr:rowOff>
    </xdr:from>
    <xdr:to>
      <xdr:col>26</xdr:col>
      <xdr:colOff>40531</xdr:colOff>
      <xdr:row>55</xdr:row>
      <xdr:rowOff>20265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6ABE45-FBF8-5569-09FA-3E6008DC9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3" y="810637"/>
          <a:ext cx="14145639" cy="81266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7</xdr:row>
      <xdr:rowOff>-1</xdr:rowOff>
    </xdr:from>
    <xdr:to>
      <xdr:col>28</xdr:col>
      <xdr:colOff>66453</xdr:colOff>
      <xdr:row>57</xdr:row>
      <xdr:rowOff>44301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6A42FD-EFF6-BF40-851E-ACA0A085B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063255"/>
          <a:ext cx="14641918" cy="77972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0" t="s">
        <v>1133</v>
      </c>
      <c r="C4" s="530"/>
      <c r="D4" s="530"/>
      <c r="E4" s="530"/>
      <c r="F4" s="530"/>
      <c r="G4" s="530"/>
      <c r="H4" s="53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1" t="s">
        <v>0</v>
      </c>
      <c r="C7" s="531" t="s">
        <v>1</v>
      </c>
      <c r="D7" s="532" t="s">
        <v>42</v>
      </c>
      <c r="E7" s="532" t="s">
        <v>43</v>
      </c>
      <c r="F7" s="532" t="s">
        <v>1134</v>
      </c>
      <c r="G7" s="533" t="s">
        <v>41</v>
      </c>
      <c r="H7" s="529" t="s">
        <v>1042</v>
      </c>
      <c r="I7" s="529" t="s">
        <v>1136</v>
      </c>
      <c r="J7" s="529" t="s">
        <v>1026</v>
      </c>
      <c r="K7" s="523" t="s">
        <v>1024</v>
      </c>
      <c r="L7" s="524"/>
    </row>
    <row r="8" spans="1:12" ht="15" customHeight="1">
      <c r="B8" s="531"/>
      <c r="C8" s="531"/>
      <c r="D8" s="532"/>
      <c r="E8" s="532"/>
      <c r="F8" s="532"/>
      <c r="G8" s="533"/>
      <c r="H8" s="529"/>
      <c r="I8" s="529"/>
      <c r="J8" s="529"/>
      <c r="K8" s="525"/>
      <c r="L8" s="526"/>
    </row>
    <row r="9" spans="1:12" ht="15" customHeight="1">
      <c r="B9" s="531"/>
      <c r="C9" s="531"/>
      <c r="D9" s="532"/>
      <c r="E9" s="532"/>
      <c r="F9" s="532"/>
      <c r="G9" s="533"/>
      <c r="H9" s="529"/>
      <c r="I9" s="529"/>
      <c r="J9" s="529"/>
      <c r="K9" s="527"/>
      <c r="L9" s="52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131 kVA MCCB 200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24</v>
      </c>
      <c r="G17" s="41">
        <f ca="1">IF(ISERROR(OFFSET('HARGA SATUAN'!$I$6,MATCH(C17,'HARGA SATUAN'!$C$7:$C$1495,0),0)),"",OFFSET('HARGA SATUAN'!$I$6,MATCH(C17,'HARGA SATUAN'!$C$7:$C$1495,0),0))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Tumpu ( Line Post ) 20 KV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38">
        <f t="shared" ca="1" si="2"/>
        <v>12</v>
      </c>
      <c r="G18" s="41">
        <f ca="1">IF(ISERROR(OFFSET('HARGA SATUAN'!$I$6,MATCH(C18,'HARGA SATUAN'!$C$7:$C$1495,0),0)),"",OFFSET('HARGA SATUAN'!$I$6,MATCH(C18,'HARGA SATUAN'!$C$7:$C$1495,0),0))</f>
        <v>176900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9</v>
      </c>
      <c r="G19" s="41">
        <f ca="1">IF(ISERROR(OFFSET('HARGA SATUAN'!$I$6,MATCH(C19,'HARGA SATUAN'!$C$7:$C$1495,0),0)),"",OFFSET('HARGA SATUAN'!$I$6,MATCH(C19,'HARGA SATUAN'!$C$7:$C$1495,0),0))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150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38">
        <f t="shared" ca="1" si="2"/>
        <v>2360</v>
      </c>
      <c r="G20" s="41">
        <f ca="1">IF(ISERROR(OFFSET('HARGA SATUAN'!$I$6,MATCH(C20,'HARGA SATUAN'!$C$7:$C$1495,0),0)),"",OFFSET('HARGA SATUAN'!$I$6,MATCH(C20,'HARGA SATUAN'!$C$7:$C$1495,0),0))</f>
        <v>25300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4 x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38">
        <f t="shared" ca="1" si="2"/>
        <v>35</v>
      </c>
      <c r="G21" s="41">
        <f ca="1">IF(ISERROR(OFFSET('HARGA SATUAN'!$I$6,MATCH(C21,'HARGA SATUAN'!$C$7:$C$1495,0),0)),"",OFFSET('HARGA SATUAN'!$I$6,MATCH(C21,'HARGA SATUAN'!$C$7:$C$1495,0),0))</f>
        <v>421400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SATUAN'!$C$7:$C$1495,0),0)),"",OFFSET('HARGA SATUAN'!$D$6,MATCH(C22,'HARGA SATUAN'!$C$7:$C$1495,0),0))</f>
        <v>HDW</v>
      </c>
      <c r="E22" s="101" t="str">
        <f ca="1">IF(B22="+","Unit",IF(ISERROR(OFFSET('HARGA SATUAN'!$E$6,MATCH(C22,'HARGA SATUAN'!$C$7:$C$1495,0),0)),"",OFFSET('HARGA SATUAN'!$E$6,MATCH(C22,'HARGA SATUAN'!$C$7:$C$1495,0),0)))</f>
        <v>Unit</v>
      </c>
      <c r="F22" s="138">
        <f t="shared" ca="1" si="2"/>
        <v>1</v>
      </c>
      <c r="G22" s="41">
        <f ca="1">IF(ISERROR(OFFSET('HARGA SATUAN'!$I$6,MATCH(C22,'HARGA SATUAN'!$C$7:$C$1495,0),0)),"",OFFSET('HARGA SATUAN'!$I$6,MATCH(C22,'HARGA SATUAN'!$C$7:$C$1495,0),0))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SUMIFS(RAB!$F$14:$F$198,RAB!$C$14:$C$198,C714)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SUMIFS(RAB!$F$14:$F$198,RAB!$C$14:$C$198,C715)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SUMIFS(RAB!$F$14:$F$198,RAB!$C$14:$C$198,C716)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SUMIFS(RAB!$F$14:$F$198,RAB!$C$14:$C$198,C717)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SUMIFS(RAB!$F$14:$F$198,RAB!$C$14:$C$198,C718)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SUMIFS(RAB!$F$14:$F$198,RAB!$C$14:$C$198,C719)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SUMIFS(RAB!$F$14:$F$198,RAB!$C$14:$C$198,C720)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SUMIFS(RAB!$F$14:$F$198,RAB!$C$14:$C$198,C721)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SUMIFS(RAB!$F$14:$F$198,RAB!$C$14:$C$198,C722)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SUMIFS(RAB!$F$14:$F$198,RAB!$C$14:$C$198,C723)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SUMIFS(RAB!$F$14:$F$198,RAB!$C$14:$C$198,C724)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SUMIFS(RAB!$F$14:$F$198,RAB!$C$14:$C$198,C725)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SUMIFS(RAB!$F$14:$F$198,RAB!$C$14:$C$198,C726)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SUMIFS(RAB!$F$14:$F$198,RAB!$C$14:$C$198,C727)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SUMIFS(RAB!$F$14:$F$198,RAB!$C$14:$C$198,C728)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SUMIFS(RAB!$F$14:$F$198,RAB!$C$14:$C$198,C729)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SUMIFS(RAB!$F$14:$F$198,RAB!$C$14:$C$198,C730)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SUMIFS(RAB!$F$14:$F$198,RAB!$C$14:$C$198,C731)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SUMIFS(RAB!$F$14:$F$198,RAB!$C$14:$C$198,C732)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SUMIFS(RAB!$F$14:$F$198,RAB!$C$14:$C$198,C733)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SUMIFS(RAB!$F$14:$F$198,RAB!$C$14:$C$198,C734)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SUMIFS(RAB!$F$14:$F$198,RAB!$C$14:$C$198,C735)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SUMIFS(RAB!$F$14:$F$198,RAB!$C$14:$C$198,C736)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SUMIFS(RAB!$F$14:$F$198,RAB!$C$14:$C$198,C737)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SUMIFS(RAB!$F$14:$F$198,RAB!$C$14:$C$198,C738)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SUMIFS(RAB!$F$14:$F$198,RAB!$C$14:$C$198,C739)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SUMIFS(RAB!$F$14:$F$198,RAB!$C$14:$C$198,C740)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SUMIFS(RAB!$F$14:$F$198,RAB!$C$14:$C$198,C741)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SUMIFS(RAB!$F$14:$F$198,RAB!$C$14:$C$198,C742)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SUMIFS(RAB!$F$14:$F$198,RAB!$C$14:$C$198,C743)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SUMIFS(RAB!$F$14:$F$198,RAB!$C$14:$C$198,C744)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SUMIFS(RAB!$F$14:$F$198,RAB!$C$14:$C$198,C745)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SUMIFS(RAB!$F$14:$F$198,RAB!$C$14:$C$198,C746)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SUMIFS(RAB!$F$14:$F$198,RAB!$C$14:$C$198,C747)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SUMIFS(RAB!$F$14:$F$198,RAB!$C$14:$C$198,C748)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SUMIFS(RAB!$F$14:$F$198,RAB!$C$14:$C$198,C749)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SUMIFS(RAB!$F$14:$F$198,RAB!$C$14:$C$198,C750)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SUMIFS(RAB!$F$14:$F$198,RAB!$C$14:$C$198,C751)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SUMIFS(RAB!$F$14:$F$198,RAB!$C$14:$C$198,C752)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SUMIFS(RAB!$F$14:$F$198,RAB!$C$14:$C$198,C753)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SUMIFS(RAB!$F$14:$F$198,RAB!$C$14:$C$198,C754)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SUMIFS(RAB!$F$14:$F$198,RAB!$C$14:$C$198,C755)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SUMIFS(RAB!$F$14:$F$198,RAB!$C$14:$C$198,C756)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SUMIFS(RAB!$F$14:$F$198,RAB!$C$14:$C$198,C757)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SUMIFS(RAB!$F$14:$F$198,RAB!$C$14:$C$198,C758)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SUMIFS(RAB!$F$14:$F$198,RAB!$C$14:$C$198,C759)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SUMIFS(RAB!$F$14:$F$198,RAB!$C$14:$C$198,C760)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SUMIFS(RAB!$F$14:$F$198,RAB!$C$14:$C$198,C761)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SUMIFS(RAB!$F$14:$F$198,RAB!$C$14:$C$198,C762)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SUMIFS(RAB!$F$14:$F$198,RAB!$C$14:$C$198,C763)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SUMIFS(RAB!$F$14:$F$198,RAB!$C$14:$C$198,C764)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SUMIFS(RAB!$F$14:$F$198,RAB!$C$14:$C$198,C765)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SUMIFS(RAB!$F$14:$F$198,RAB!$C$14:$C$198,C766)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SUMIFS(RAB!$F$14:$F$198,RAB!$C$14:$C$198,C767)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SUMIFS(RAB!$F$14:$F$198,RAB!$C$14:$C$198,C768)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SUMIFS(RAB!$F$14:$F$198,RAB!$C$14:$C$198,C769)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SUMIFS(RAB!$F$14:$F$198,RAB!$C$14:$C$198,C770)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SUMIFS(RAB!$F$14:$F$198,RAB!$C$14:$C$198,C771)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SUMIFS(RAB!$F$14:$F$198,RAB!$C$14:$C$198,C772)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SUMIFS(RAB!$F$14:$F$198,RAB!$C$14:$C$198,C773)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SUMIFS(RAB!$F$14:$F$198,RAB!$C$14:$C$198,C774)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SUMIFS(RAB!$F$14:$F$198,RAB!$C$14:$C$198,C775)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SUMIFS(RAB!$F$14:$F$198,RAB!$C$14:$C$198,C776)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SUMIFS(RAB!$F$14:$F$198,RAB!$C$14:$C$198,C777)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SUMIFS(RAB!$F$14:$F$198,RAB!$C$14:$C$198,C778)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SUMIFS(RAB!$F$14:$F$198,RAB!$C$14:$C$198,C779)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SUMIFS(RAB!$F$14:$F$198,RAB!$C$14:$C$198,C780)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SUMIFS(RAB!$F$14:$F$198,RAB!$C$14:$C$198,C781)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SUMIFS(RAB!$F$14:$F$198,RAB!$C$14:$C$198,C782)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SUMIFS(RAB!$F$14:$F$198,RAB!$C$14:$C$198,C783)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SUMIFS(RAB!$F$14:$F$198,RAB!$C$14:$C$198,C784)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SUMIFS(RAB!$F$14:$F$198,RAB!$C$14:$C$198,C785)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SUMIFS(RAB!$F$14:$F$198,RAB!$C$14:$C$198,C786)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SUMIFS(RAB!$F$14:$F$198,RAB!$C$14:$C$198,C787)</f>
        <v>1</v>
      </c>
      <c r="E787" s="26">
        <f t="shared" ca="1" si="34"/>
        <v>1</v>
      </c>
      <c r="F787" s="26">
        <f ca="1">IF(D787=0,0,SUM($E$713:E787))</f>
        <v>2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SUMIFS(RAB!$F$14:$F$198,RAB!$C$14:$C$198,C788)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SUMIFS(RAB!$F$14:$F$198,RAB!$C$14:$C$198,C789)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SUMIFS(RAB!$F$14:$F$198,RAB!$C$14:$C$198,C790)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SUMIFS(RAB!$F$14:$F$198,RAB!$C$14:$C$198,C791)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SUMIFS(RAB!$F$14:$F$198,RAB!$C$14:$C$198,C792)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SUMIFS(RAB!$F$14:$F$198,RAB!$C$14:$C$198,C793)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SUMIFS(RAB!$F$14:$F$198,RAB!$C$14:$C$198,C794)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SUMIFS(RAB!$F$14:$F$198,RAB!$C$14:$C$198,C795)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SUMIFS(RAB!$F$14:$F$198,RAB!$C$14:$C$198,C796)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SUMIFS(RAB!$F$14:$F$198,RAB!$C$14:$C$198,C797)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SUMIFS(RAB!$F$14:$F$198,RAB!$C$14:$C$198,C798)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SUMIFS(RAB!$F$14:$F$198,RAB!$C$14:$C$198,C799)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SUMIFS(RAB!$F$14:$F$198,RAB!$C$14:$C$198,C800)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SUMIFS(RAB!$F$14:$F$198,RAB!$C$14:$C$198,C801)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SUMIFS(RAB!$F$14:$F$198,RAB!$C$14:$C$198,C802)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SUMIFS(RAB!$F$14:$F$198,RAB!$C$14:$C$198,C803)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SUMIFS(RAB!$F$14:$F$198,RAB!$C$14:$C$198,C804)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SUMIFS(RAB!$F$14:$F$198,RAB!$C$14:$C$198,C805)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SUMIFS(RAB!$F$14:$F$198,RAB!$C$14:$C$198,C806)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SUMIFS(RAB!$F$14:$F$198,RAB!$C$14:$C$198,C807)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SUMIFS(RAB!$F$14:$F$198,RAB!$C$14:$C$198,C808)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SUMIFS(RAB!$F$14:$F$198,RAB!$C$14:$C$198,C809)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SUMIFS(RAB!$F$14:$F$198,RAB!$C$14:$C$198,C810)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SUMIFS(RAB!$F$14:$F$198,RAB!$C$14:$C$198,C811)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SUMIFS(RAB!$F$14:$F$198,RAB!$C$14:$C$198,C812)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SUMIFS(RAB!$F$14:$F$198,RAB!$C$14:$C$198,C813)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SUMIFS(RAB!$F$14:$F$198,RAB!$C$14:$C$198,C814)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SUMIFS(RAB!$F$14:$F$198,RAB!$C$14:$C$198,C815)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SUMIFS(RAB!$F$14:$F$198,RAB!$C$14:$C$198,C816)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SUMIFS(RAB!$F$14:$F$198,RAB!$C$14:$C$198,C817)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SUMIFS(RAB!$F$14:$F$198,RAB!$C$14:$C$198,C818)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SUMIFS(RAB!$F$14:$F$198,RAB!$C$14:$C$198,C819)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SUMIFS(RAB!$F$14:$F$198,RAB!$C$14:$C$198,C820)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SUMIFS(RAB!$F$14:$F$198,RAB!$C$14:$C$198,C821)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SUMIFS(RAB!$F$14:$F$198,RAB!$C$14:$C$198,C822)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SUMIFS(RAB!$F$14:$F$198,RAB!$C$14:$C$198,C823)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SUMIFS(RAB!$F$14:$F$198,RAB!$C$14:$C$198,C824)</f>
        <v>24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SUMIFS(RAB!$F$14:$F$198,RAB!$C$14:$C$198,C825)</f>
        <v>12</v>
      </c>
      <c r="E825" s="26">
        <f t="shared" ca="1" si="34"/>
        <v>1</v>
      </c>
      <c r="F825" s="26">
        <f ca="1">IF(D825=0,0,SUM($E$713:E825))</f>
        <v>7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SUMIFS(RAB!$F$14:$F$198,RAB!$C$14:$C$198,C826)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SUMIFS(RAB!$F$14:$F$198,RAB!$C$14:$C$198,C827)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SUMIFS(RAB!$F$14:$F$198,RAB!$C$14:$C$198,C828)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SUMIFS(RAB!$F$14:$F$198,RAB!$C$14:$C$198,C829)</f>
        <v>9</v>
      </c>
      <c r="E829" s="26">
        <f t="shared" ca="1" si="34"/>
        <v>1</v>
      </c>
      <c r="F829" s="26">
        <f ca="1">IF(D829=0,0,SUM($E$713:E829))</f>
        <v>8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SUMIFS(RAB!$F$14:$F$198,RAB!$C$14:$C$198,C830)</f>
        <v>2360</v>
      </c>
      <c r="E830" s="26">
        <f t="shared" ca="1" si="34"/>
        <v>1</v>
      </c>
      <c r="F830" s="26">
        <f ca="1">IF(D830=0,0,SUM($E$713:E830))</f>
        <v>9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SUMIFS(RAB!$F$14:$F$198,RAB!$C$14:$C$198,C831)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SUMIFS(RAB!$F$14:$F$198,RAB!$C$14:$C$198,C832)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SUMIFS(RAB!$F$14:$F$198,RAB!$C$14:$C$198,C833)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SUMIFS(RAB!$F$14:$F$198,RAB!$C$14:$C$198,C834)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SUMIFS(RAB!$F$14:$F$198,RAB!$C$14:$C$198,C835)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SUMIFS(RAB!$F$14:$F$198,RAB!$C$14:$C$198,C836)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SUMIFS(RAB!$F$14:$F$198,RAB!$C$14:$C$198,C837)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SUMIFS(RAB!$F$14:$F$198,RAB!$C$14:$C$198,C838)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SUMIFS(RAB!$F$14:$F$198,RAB!$C$14:$C$198,C839)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SUMIFS(RAB!$F$14:$F$198,RAB!$C$14:$C$198,C840)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SUMIFS(RAB!$F$14:$F$198,RAB!$C$14:$C$198,C841)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SUMIFS(RAB!$F$14:$F$198,RAB!$C$14:$C$198,C842)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SUMIFS(RAB!$F$14:$F$198,RAB!$C$14:$C$198,C843)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SUMIFS(RAB!$F$14:$F$198,RAB!$C$14:$C$198,C844)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SUMIFS(RAB!$F$14:$F$198,RAB!$C$14:$C$198,C845)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SUMIFS(RAB!$F$14:$F$198,RAB!$C$14:$C$198,C846)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SUMIFS(RAB!$F$14:$F$198,RAB!$C$14:$C$198,C847)</f>
        <v>35</v>
      </c>
      <c r="E847" s="26">
        <f t="shared" ca="1" si="35"/>
        <v>1</v>
      </c>
      <c r="F847" s="26">
        <f ca="1">IF(D847=0,0,SUM($E$713:E847))</f>
        <v>10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SUMIFS(RAB!$F$14:$F$198,RAB!$C$14:$C$198,C848)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SUMIFS(RAB!$F$14:$F$198,RAB!$C$14:$C$198,C849)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SUMIFS(RAB!$F$14:$F$198,RAB!$C$14:$C$198,C850)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SUMIFS(RAB!$F$14:$F$198,RAB!$C$14:$C$198,C851)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SUMIFS(RAB!$F$14:$F$198,RAB!$C$14:$C$198,C852)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SUMIFS(RAB!$F$14:$F$198,RAB!$C$14:$C$198,C853)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SUMIFS(RAB!$F$14:$F$198,RAB!$C$14:$C$198,C854)</f>
        <v>1</v>
      </c>
      <c r="E854" s="26">
        <f t="shared" ca="1" si="35"/>
        <v>1</v>
      </c>
      <c r="F854" s="26">
        <f ca="1">IF(D854=0,0,SUM($E$713:E854))</f>
        <v>11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SUMIFS(RAB!$F$14:$F$198,RAB!$C$14:$C$198,C855)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SUMIFS(RAB!$F$14:$F$198,RAB!$C$14:$C$198,C856)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SUMIFS(RAB!$F$14:$F$198,RAB!$C$14:$C$198,C857)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SUMIFS(RAB!$F$14:$F$198,RAB!$C$14:$C$198,C858)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SUMIFS(RAB!$F$14:$F$198,RAB!$C$14:$C$198,C859)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SUMIFS(RAB!$F$14:$F$198,RAB!$C$14:$C$198,C860)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SUMIFS(RAB!$F$14:$F$198,RAB!$C$14:$C$198,C861)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SUMIFS(RAB!$F$14:$F$198,RAB!$C$14:$C$198,C862)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SUMIFS(RAB!$F$14:$F$198,RAB!$C$14:$C$198,C863)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SUMIFS(RAB!$F$14:$F$198,RAB!$C$14:$C$198,C864)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SUMIFS(RAB!$F$14:$F$198,RAB!$C$14:$C$198,C865)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SUMIFS(RAB!$F$14:$F$198,RAB!$C$14:$C$198,C866)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SUMIFS(RAB!$F$14:$F$198,RAB!$C$14:$C$198,C867)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SUMIFS(RAB!$F$14:$F$198,RAB!$C$14:$C$198,C868)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SUMIFS(RAB!$F$14:$F$198,RAB!$C$14:$C$198,C869)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SUMIFS(RAB!$F$14:$F$198,RAB!$C$14:$C$198,C870)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SUMIFS(RAB!$F$14:$F$198,RAB!$C$14:$C$198,C871)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SUMIFS(RAB!$F$14:$F$198,RAB!$C$14:$C$198,C872)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SUMIFS(RAB!$F$14:$F$198,RAB!$C$14:$C$198,C873)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SUMIFS(RAB!$F$14:$F$198,RAB!$C$14:$C$198,C874)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SUMIFS(RAB!$F$14:$F$198,RAB!$C$14:$C$198,C875)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SUMIFS(RAB!$F$14:$F$198,RAB!$C$14:$C$198,C876)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SUMIFS(RAB!$F$14:$F$198,RAB!$C$14:$C$198,C877)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SUMIFS(RAB!$F$14:$F$198,RAB!$C$14:$C$198,C878)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SUMIFS(RAB!$F$14:$F$198,RAB!$C$14:$C$198,C879)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SUMIFS(RAB!$F$14:$F$198,RAB!$C$14:$C$198,C880)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SUMIFS(RAB!$F$14:$F$198,RAB!$C$14:$C$198,C881)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SUMIFS(RAB!$F$14:$F$198,RAB!$C$14:$C$198,C882)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SUMIFS(RAB!$F$14:$F$198,RAB!$C$14:$C$198,C883)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SUMIFS(RAB!$F$14:$F$198,RAB!$C$14:$C$198,C884)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SUMIFS(RAB!$F$14:$F$198,RAB!$C$14:$C$198,C885)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SUMIFS(RAB!$F$14:$F$198,RAB!$C$14:$C$198,C886)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SUMIFS(RAB!$F$14:$F$198,RAB!$C$14:$C$198,C887)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SUMIFS(RAB!$F$14:$F$198,RAB!$C$14:$C$198,C888)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SUMIFS(RAB!$F$14:$F$198,RAB!$C$14:$C$198,C889)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SUMIFS(RAB!$F$14:$F$198,RAB!$C$14:$C$198,C890)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SUMIFS(RAB!$F$14:$F$198,RAB!$C$14:$C$198,C891)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SUMIFS(RAB!$F$14:$F$198,RAB!$C$14:$C$198,C892)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SUMIFS(RAB!$F$14:$F$198,RAB!$C$14:$C$198,C893)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SUMIFS(RAB!$F$14:$F$198,RAB!$C$14:$C$198,C894)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SUMIFS(RAB!$F$14:$F$198,RAB!$C$14:$C$198,C895)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SUMIFS(RAB!$F$14:$F$198,RAB!$C$14:$C$198,C896)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SUMIFS(RAB!$F$14:$F$198,RAB!$C$14:$C$198,C897)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SUMIFS(RAB!$F$14:$F$198,RAB!$C$14:$C$198,C898)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SUMIFS(RAB!$F$14:$F$198,RAB!$C$14:$C$198,C899)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SUMIFS(RAB!$F$14:$F$198,RAB!$C$14:$C$198,C900)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SUMIFS(RAB!$F$14:$F$198,RAB!$C$14:$C$198,C901)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SUMIFS(RAB!$F$14:$F$198,RAB!$C$14:$C$198,C902)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SUMIFS(RAB!$F$14:$F$198,RAB!$C$14:$C$198,C903)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SUMIFS(RAB!$F$14:$F$198,RAB!$C$14:$C$198,C904)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SUMIFS(RAB!$F$14:$F$198,RAB!$C$14:$C$198,C905)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SUMIFS(RAB!$F$14:$F$198,RAB!$C$14:$C$198,C906)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SUMIFS(RAB!$F$14:$F$198,RAB!$C$14:$C$198,C907)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SUMIFS(RAB!$F$14:$F$198,RAB!$C$14:$C$198,C908)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SUMIFS(RAB!$F$14:$F$198,RAB!$C$14:$C$198,C909)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SUMIFS(RAB!$F$14:$F$198,RAB!$C$14:$C$198,C910)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SUMIFS(RAB!$F$14:$F$198,RAB!$C$14:$C$198,C911)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SUMIFS(RAB!$F$14:$F$198,RAB!$C$14:$C$198,C912)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SUMIFS(RAB!$F$14:$F$198,RAB!$C$14:$C$198,C913)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SUMIFS(RAB!$F$14:$F$198,RAB!$C$14:$C$198,C914)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SUMIFS(RAB!$F$14:$F$198,RAB!$C$14:$C$198,C915)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SUMIFS(RAB!$F$14:$F$198,RAB!$C$14:$C$198,C916)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SUMIFS(RAB!$F$14:$F$198,RAB!$C$14:$C$198,C917)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SUMIFS(RAB!$F$14:$F$198,RAB!$C$14:$C$198,C918)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SUMIFS(RAB!$F$14:$F$198,RAB!$C$14:$C$198,C919)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SUMIFS(RAB!$F$14:$F$198,RAB!$C$14:$C$198,C920)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SUMIFS(RAB!$F$14:$F$198,RAB!$C$14:$C$198,C921)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SUMIFS(RAB!$F$14:$F$198,RAB!$C$14:$C$198,C922)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SUMIFS(RAB!$F$14:$F$198,RAB!$C$14:$C$198,C923)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SUMIFS(RAB!$F$14:$F$198,RAB!$C$14:$C$198,C924)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SUMIFS(RAB!$F$14:$F$198,RAB!$C$14:$C$198,C925)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SUMIFS(RAB!$F$14:$F$198,RAB!$C$14:$C$198,C926)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SUMIFS(RAB!$F$14:$F$198,RAB!$C$14:$C$198,C927)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SUMIFS(RAB!$F$14:$F$198,RAB!$C$14:$C$198,C928)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SUMIFS(RAB!$F$14:$F$198,RAB!$C$14:$C$198,C929)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SUMIFS(RAB!$F$14:$F$198,RAB!$C$14:$C$198,C930)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SUMIFS(RAB!$F$14:$F$198,RAB!$C$14:$C$198,C931)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SUMIFS(RAB!$F$14:$F$198,RAB!$C$14:$C$198,C932)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SUMIFS(RAB!$F$14:$F$198,RAB!$C$14:$C$198,C933)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SUMIFS(RAB!$F$14:$F$198,RAB!$C$14:$C$198,C934)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SUMIFS(RAB!$F$14:$F$198,RAB!$C$14:$C$198,C935)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SUMIFS(RAB!$F$14:$F$198,RAB!$C$14:$C$198,C936)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SUMIFS(RAB!$F$14:$F$198,RAB!$C$14:$C$198,C937)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SUMIFS(RAB!$F$14:$F$198,RAB!$C$14:$C$198,C938)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SUMIFS(RAB!$F$14:$F$198,RAB!$C$14:$C$198,C939)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SUMIFS(RAB!$F$14:$F$198,RAB!$C$14:$C$198,C940)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SUMIFS(RAB!$F$14:$F$198,RAB!$C$14:$C$198,C941)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SUMIFS(RAB!$F$14:$F$198,RAB!$C$14:$C$198,C942)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SUMIFS(RAB!$F$14:$F$198,RAB!$C$14:$C$198,C943)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SUMIFS(RAB!$F$14:$F$198,RAB!$C$14:$C$198,C944)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SUMIFS(RAB!$F$14:$F$198,RAB!$C$14:$C$198,C945)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SUMIFS(RAB!$F$14:$F$198,RAB!$C$14:$C$198,C946)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SUMIFS(RAB!$F$14:$F$198,RAB!$C$14:$C$198,C947)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SUMIFS(RAB!$F$14:$F$198,RAB!$C$14:$C$198,C948)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SUMIFS(RAB!$F$14:$F$198,RAB!$C$14:$C$198,C949)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SUMIFS(RAB!$F$14:$F$198,RAB!$C$14:$C$198,C950)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SUMIFS(RAB!$F$14:$F$198,RAB!$C$14:$C$198,C951)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SUMIFS(RAB!$F$14:$F$198,RAB!$C$14:$C$198,C952)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SUMIFS(RAB!$F$14:$F$198,RAB!$C$14:$C$198,C953)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SUMIFS(RAB!$F$14:$F$198,RAB!$C$14:$C$198,C954)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SUMIFS(RAB!$F$14:$F$198,RAB!$C$14:$C$198,C955)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SUMIFS(RAB!$F$14:$F$198,RAB!$C$14:$C$198,C956)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SUMIFS(RAB!$F$14:$F$198,RAB!$C$14:$C$198,C957)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SUMIFS(RAB!$F$14:$F$198,RAB!$C$14:$C$198,C958)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SUMIFS(RAB!$F$14:$F$198,RAB!$C$14:$C$198,C959)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SUMIFS(RAB!$F$14:$F$198,RAB!$C$14:$C$198,C960)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SUMIFS(RAB!$F$14:$F$198,RAB!$C$14:$C$198,C961)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SUMIFS(RAB!$F$14:$F$198,RAB!$C$14:$C$198,C962)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SUMIFS(RAB!$F$14:$F$198,RAB!$C$14:$C$198,C963)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SUMIFS(RAB!$F$14:$F$198,RAB!$C$14:$C$198,C964)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SUMIFS(RAB!$F$14:$F$198,RAB!$C$14:$C$198,C965)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SUMIFS(RAB!$F$14:$F$198,RAB!$C$14:$C$198,C966)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SUMIFS(RAB!$F$14:$F$198,RAB!$C$14:$C$198,C967)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SUMIFS(RAB!$F$14:$F$198,RAB!$C$14:$C$198,C968)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SUMIFS(RAB!$F$14:$F$198,RAB!$C$14:$C$198,C969)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SUMIFS(RAB!$F$14:$F$198,RAB!$C$14:$C$198,C970)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SUMIFS(RAB!$F$14:$F$198,RAB!$C$14:$C$198,C971)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SUMIFS(RAB!$F$14:$F$198,RAB!$C$14:$C$198,C972)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SUMIFS(RAB!$F$14:$F$198,RAB!$C$14:$C$198,C973)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SUMIFS(RAB!$F$14:$F$198,RAB!$C$14:$C$198,C974)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SUMIFS(RAB!$F$14:$F$198,RAB!$C$14:$C$198,C975)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SUMIFS(RAB!$F$14:$F$198,RAB!$C$14:$C$198,C976)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SUMIFS(RAB!$F$14:$F$198,RAB!$C$14:$C$198,C977)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SUMIFS(RAB!$F$14:$F$198,RAB!$C$14:$C$198,C978)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SUMIFS(RAB!$F$14:$F$198,RAB!$C$14:$C$198,C979)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SUMIFS(RAB!$F$14:$F$198,RAB!$C$14:$C$198,C980)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SUMIFS(RAB!$F$14:$F$198,RAB!$C$14:$C$198,C981)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SUMIFS(RAB!$F$14:$F$198,RAB!$C$14:$C$198,C982)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SUMIFS(RAB!$F$14:$F$198,RAB!$C$14:$C$198,C983)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SUMIFS(RAB!$F$14:$F$198,RAB!$C$14:$C$198,C984)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SUMIFS(RAB!$F$14:$F$198,RAB!$C$14:$C$198,C985)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SUMIFS(RAB!$F$14:$F$198,RAB!$C$14:$C$198,C986)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SUMIFS(RAB!$F$14:$F$198,RAB!$C$14:$C$198,C987)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SUMIFS(RAB!$F$14:$F$198,RAB!$C$14:$C$198,C988)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SUMIFS(RAB!$F$14:$F$198,RAB!$C$14:$C$198,C989)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SUMIFS(RAB!$F$14:$F$198,RAB!$C$14:$C$198,C990)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SUMIFS(RAB!$F$14:$F$198,RAB!$C$14:$C$198,C991)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SUMIFS(RAB!$F$14:$F$198,RAB!$C$14:$C$198,C992)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SUMIFS(RAB!$F$14:$F$198,RAB!$C$14:$C$198,C993)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SUMIFS(RAB!$F$14:$F$198,RAB!$C$14:$C$198,C994)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SUMIFS(RAB!$F$14:$F$198,RAB!$C$14:$C$198,C995)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SUMIFS(RAB!$F$14:$F$198,RAB!$C$14:$C$198,C996)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SUMIFS(RAB!$F$14:$F$198,RAB!$C$14:$C$198,C997)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SUMIFS(RAB!$F$14:$F$198,RAB!$C$14:$C$198,C998)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SUMIFS(RAB!$F$14:$F$198,RAB!$C$14:$C$198,C999)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SUMIFS(RAB!$F$14:$F$198,RAB!$C$14:$C$198,C1000)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SUMIFS(RAB!$F$14:$F$198,RAB!$C$14:$C$198,C1001)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SUMIFS(RAB!$F$14:$F$198,RAB!$C$14:$C$198,C1002)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SUMIFS(RAB!$F$14:$F$198,RAB!$C$14:$C$198,C1003)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SUMIFS(RAB!$F$14:$F$198,RAB!$C$14:$C$198,C1004)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SUMIFS(RAB!$F$14:$F$198,RAB!$C$14:$C$198,C1005)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SUMIFS(RAB!$F$14:$F$198,RAB!$C$14:$C$198,C1006)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SUMIFS(RAB!$F$14:$F$198,RAB!$C$14:$C$198,C1007)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SUMIFS(RAB!$F$14:$F$198,RAB!$C$14:$C$198,C1008)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SUMIFS(RAB!$F$14:$F$198,RAB!$C$14:$C$198,C1009)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SUMIFS(RAB!$F$14:$F$198,RAB!$C$14:$C$198,C1010)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SUMIFS(RAB!$F$14:$F$198,RAB!$C$14:$C$198,C1011)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SUMIFS(RAB!$F$14:$F$198,RAB!$C$14:$C$198,C1012)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SUMIFS(RAB!$F$14:$F$198,RAB!$C$14:$C$198,C1013)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SUMIFS(RAB!$F$14:$F$198,RAB!$C$14:$C$198,C1014)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SUMIFS(RAB!$F$14:$F$198,RAB!$C$14:$C$198,C1015)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SUMIFS(RAB!$F$14:$F$198,RAB!$C$14:$C$198,C1016)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SUMIFS(RAB!$F$14:$F$198,RAB!$C$14:$C$198,C1017)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SUMIFS(RAB!$F$14:$F$198,RAB!$C$14:$C$198,C1018)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SUMIFS(RAB!$F$14:$F$198,RAB!$C$14:$C$198,C1019)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SUMIFS(RAB!$F$14:$F$198,RAB!$C$14:$C$198,C1020)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SUMIFS(RAB!$F$14:$F$198,RAB!$C$14:$C$198,C1021)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SUMIFS(RAB!$F$14:$F$198,RAB!$C$14:$C$198,C1022)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SUMIFS(RAB!$F$14:$F$198,RAB!$C$14:$C$198,C1023)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SUMIFS(RAB!$F$14:$F$198,RAB!$C$14:$C$198,C1024)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SUMIFS(RAB!$F$14:$F$198,RAB!$C$14:$C$198,C1025)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SUMIFS(RAB!$F$14:$F$198,RAB!$C$14:$C$198,C1026)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SUMIFS(RAB!$F$14:$F$198,RAB!$C$14:$C$198,C1027)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SUMIFS(RAB!$F$14:$F$198,RAB!$C$14:$C$198,C1028)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SUMIFS(RAB!$F$14:$F$198,RAB!$C$14:$C$198,C1029)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SUMIFS(RAB!$F$14:$F$198,RAB!$C$14:$C$198,C1030)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SUMIFS(RAB!$F$14:$F$198,RAB!$C$14:$C$198,C1031)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SUMIFS(RAB!$F$14:$F$198,RAB!$C$14:$C$198,C1032)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SUMIFS(RAB!$F$14:$F$198,RAB!$C$14:$C$198,C1033)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SUMIFS(RAB!$F$14:$F$198,RAB!$C$14:$C$198,C1034)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SUMIFS(RAB!$F$14:$F$198,RAB!$C$14:$C$198,C1035)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SUMIFS(RAB!$F$14:$F$198,RAB!$C$14:$C$198,C1036)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SUMIFS(RAB!$F$14:$F$198,RAB!$C$14:$C$198,C1037)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SUMIFS(RAB!$F$14:$F$198,RAB!$C$14:$C$198,C1038)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SUMIFS(RAB!$F$14:$F$198,RAB!$C$14:$C$198,C1039)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SUMIFS(RAB!$F$14:$F$198,RAB!$C$14:$C$198,C1040)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SUMIFS(RAB!$F$14:$F$198,RAB!$C$14:$C$198,C1041)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SUMIFS(RAB!$F$14:$F$198,RAB!$C$14:$C$198,C1042)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SUMIFS(RAB!$F$14:$F$198,RAB!$C$14:$C$198,C1043)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SUMIFS(RAB!$F$14:$F$198,RAB!$C$14:$C$198,C1044)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SUMIFS(RAB!$F$14:$F$198,RAB!$C$14:$C$198,C1045)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SUMIFS(RAB!$F$14:$F$198,RAB!$C$14:$C$198,C1046)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SUMIFS(RAB!$F$14:$F$198,RAB!$C$14:$C$198,C1047)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SUMIFS(RAB!$F$14:$F$198,RAB!$C$14:$C$198,C1048)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SUMIFS(RAB!$F$14:$F$198,RAB!$C$14:$C$198,C1049)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SUMIFS(RAB!$F$14:$F$198,RAB!$C$14:$C$198,C1050)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SUMIFS(RAB!$F$14:$F$198,RAB!$C$14:$C$198,C1051)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SUMIFS(RAB!$F$14:$F$198,RAB!$C$14:$C$198,C1052)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SUMIFS(RAB!$F$14:$F$198,RAB!$C$14:$C$198,C1053)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SUMIFS(RAB!$F$14:$F$198,RAB!$C$14:$C$198,C1054)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SUMIFS(RAB!$F$14:$F$198,RAB!$C$14:$C$198,C1055)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SUMIFS(RAB!$F$14:$F$198,RAB!$C$14:$C$198,C1056)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SUMIFS(RAB!$F$14:$F$198,RAB!$C$14:$C$198,C1057)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SUMIFS(RAB!$F$14:$F$198,RAB!$C$14:$C$198,C1058)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SUMIFS(RAB!$F$14:$F$198,RAB!$C$14:$C$198,C1059)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SUMIFS(RAB!$F$14:$F$198,RAB!$C$14:$C$198,C1060)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SUMIFS(RAB!$F$14:$F$198,RAB!$C$14:$C$198,C1061)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SUMIFS(RAB!$F$14:$F$198,RAB!$C$14:$C$198,C1062)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SUMIFS(RAB!$F$14:$F$198,RAB!$C$14:$C$198,C1063)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SUMIFS(RAB!$F$14:$F$198,RAB!$C$14:$C$198,C1064)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SUMIFS(RAB!$F$14:$F$198,RAB!$C$14:$C$198,C1065)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SUMIFS(RAB!$F$14:$F$198,RAB!$C$14:$C$198,C1066)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SUMIFS(RAB!$F$14:$F$198,RAB!$C$14:$C$198,C1067)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SUMIFS(RAB!$F$14:$F$198,RAB!$C$14:$C$198,C1068)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SUMIFS(RAB!$F$14:$F$198,RAB!$C$14:$C$198,C1069)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SUMIFS(RAB!$F$14:$F$198,RAB!$C$14:$C$198,C1070)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SUMIFS(RAB!$F$14:$F$198,RAB!$C$14:$C$198,C1071)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SUMIFS(RAB!$F$14:$F$198,RAB!$C$14:$C$198,C1072)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SUMIFS(RAB!$F$14:$F$198,RAB!$C$14:$C$198,C1073)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SUMIFS(RAB!$F$14:$F$198,RAB!$C$14:$C$198,C1074)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SUMIFS(RAB!$F$14:$F$198,RAB!$C$14:$C$198,C1075)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SUMIFS(RAB!$F$14:$F$198,RAB!$C$14:$C$198,C1076)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SUMIFS(RAB!$F$14:$F$198,RAB!$C$14:$C$198,C1077)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SUMIFS(RAB!$F$14:$F$198,RAB!$C$14:$C$198,C1078)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SUMIFS(RAB!$F$14:$F$198,RAB!$C$14:$C$198,C1079)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SUMIFS(RAB!$F$14:$F$198,RAB!$C$14:$C$198,C1080)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SUMIFS(RAB!$F$14:$F$198,RAB!$C$14:$C$198,C1081)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SUMIFS(RAB!$F$14:$F$198,RAB!$C$14:$C$198,C1082)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SUMIFS(RAB!$F$14:$F$198,RAB!$C$14:$C$198,C1083)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SUMIFS(RAB!$F$14:$F$198,RAB!$C$14:$C$198,C1084)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SUMIFS(RAB!$F$14:$F$198,RAB!$C$14:$C$198,C1085)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SUMIFS(RAB!$F$14:$F$198,RAB!$C$14:$C$198,C1086)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SUMIFS(RAB!$F$14:$F$198,RAB!$C$14:$C$198,C1087)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SUMIFS(RAB!$F$14:$F$198,RAB!$C$14:$C$198,C1088)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SUMIFS(RAB!$F$14:$F$198,RAB!$C$14:$C$198,C1089)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SUMIFS(RAB!$F$14:$F$198,RAB!$C$14:$C$198,C1090)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SUMIFS(RAB!$F$14:$F$198,RAB!$C$14:$C$198,C1091)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SUMIFS(RAB!$F$14:$F$198,RAB!$C$14:$C$198,C1092)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SUMIFS(RAB!$F$14:$F$198,RAB!$C$14:$C$198,C1093)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SUMIFS(RAB!$F$14:$F$198,RAB!$C$14:$C$198,C1094)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SUMIFS(RAB!$F$14:$F$198,RAB!$C$14:$C$198,C1095)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SUMIFS(RAB!$F$14:$F$198,RAB!$C$14:$C$198,C1096)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SUMIFS(RAB!$F$14:$F$198,RAB!$C$14:$C$198,C1097)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SUMIFS(RAB!$F$14:$F$198,RAB!$C$14:$C$198,C1098)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SUMIFS(RAB!$F$14:$F$198,RAB!$C$14:$C$198,C1099)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SUMIFS(RAB!$F$14:$F$198,RAB!$C$14:$C$198,C1100)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SUMIFS(RAB!$F$14:$F$198,RAB!$C$14:$C$198,C1101)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SUMIFS(RAB!$F$14:$F$198,RAB!$C$14:$C$198,C1102)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SUMIFS(RAB!$F$14:$F$198,RAB!$C$14:$C$198,C1103)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SUMIFS(RAB!$F$14:$F$198,RAB!$C$14:$C$198,C1104)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SUMIFS(RAB!$F$14:$F$198,RAB!$C$14:$C$198,C1105)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SUMIFS(RAB!$F$14:$F$198,RAB!$C$14:$C$198,C1106)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SUMIFS(RAB!$F$14:$F$198,RAB!$C$14:$C$198,C1107)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SUMIFS(RAB!$F$14:$F$198,RAB!$C$14:$C$198,C1108)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SUMIFS(RAB!$F$14:$F$198,RAB!$C$14:$C$198,C1109)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SUMIFS(RAB!$F$14:$F$198,RAB!$C$14:$C$198,C1110)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SUMIFS(RAB!$F$14:$F$198,RAB!$C$14:$C$198,C1111)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SUMIFS(RAB!$F$14:$F$198,RAB!$C$14:$C$198,C1112)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SUMIFS(RAB!$F$14:$F$198,RAB!$C$14:$C$198,C1113)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SUMIFS(RAB!$F$14:$F$198,RAB!$C$14:$C$198,C1114)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SUMIFS(RAB!$F$14:$F$198,RAB!$C$14:$C$198,C1115)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SUMIFS(RAB!$F$14:$F$198,RAB!$C$14:$C$198,C1116)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SUMIFS(RAB!$F$14:$F$198,RAB!$C$14:$C$198,C1117)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SUMIFS(RAB!$F$14:$F$198,RAB!$C$14:$C$198,C1118)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SUMIFS(RAB!$F$14:$F$198,RAB!$C$14:$C$198,C1119)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SUMIFS(RAB!$F$14:$F$198,RAB!$C$14:$C$198,C1120)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SUMIFS(RAB!$F$14:$F$198,RAB!$C$14:$C$198,C1121)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SUMIFS(RAB!$F$14:$F$198,RAB!$C$14:$C$198,C1122)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SUMIFS(RAB!$F$14:$F$198,RAB!$C$14:$C$198,C1123)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SUMIFS(RAB!$F$14:$F$198,RAB!$C$14:$C$198,C1124)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SUMIFS(RAB!$F$14:$F$198,RAB!$C$14:$C$198,C1125)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SUMIFS(RAB!$F$14:$F$198,RAB!$C$14:$C$198,C1126)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SUMIFS(RAB!$F$14:$F$198,RAB!$C$14:$C$198,C1127)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SUMIFS(RAB!$F$14:$F$198,RAB!$C$14:$C$198,C1128)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SUMIFS(RAB!$F$14:$F$198,RAB!$C$14:$C$198,C1129)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SUMIFS(RAB!$F$14:$F$198,RAB!$C$14:$C$198,C1130)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SUMIFS(RAB!$F$14:$F$198,RAB!$C$14:$C$198,C1131)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SUMIFS(RAB!$F$14:$F$198,RAB!$C$14:$C$198,C1132)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SUMIFS(RAB!$F$14:$F$198,RAB!$C$14:$C$198,C1133)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SUMIFS(RAB!$F$14:$F$198,RAB!$C$14:$C$198,C1134)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SUMIFS(RAB!$F$14:$F$198,RAB!$C$14:$C$198,C1135)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SUMIFS(RAB!$F$14:$F$198,RAB!$C$14:$C$198,C1136)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SUMIFS(RAB!$F$14:$F$198,RAB!$C$14:$C$198,C1137)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SUMIFS(RAB!$F$14:$F$198,RAB!$C$14:$C$198,C1138)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SUMIFS(RAB!$F$14:$F$198,RAB!$C$14:$C$198,C1139)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SUMIFS(RAB!$F$14:$F$198,RAB!$C$14:$C$198,C1140)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SUMIFS(RAB!$F$14:$F$198,RAB!$C$14:$C$198,C1141)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SUMIFS(RAB!$F$14:$F$198,RAB!$C$14:$C$198,C1142)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SUMIFS(RAB!$F$14:$F$198,RAB!$C$14:$C$198,C1143)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SUMIFS(RAB!$F$14:$F$198,RAB!$C$14:$C$198,C1144)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SUMIFS(RAB!$F$14:$F$198,RAB!$C$14:$C$198,C1145)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SUMIFS(RAB!$F$14:$F$198,RAB!$C$14:$C$198,C1146)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SUMIFS(RAB!$F$14:$F$198,RAB!$C$14:$C$198,C1147)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SUMIFS(RAB!$F$14:$F$198,RAB!$C$14:$C$198,C1148)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SUMIFS(RAB!$F$14:$F$198,RAB!$C$14:$C$198,C1149)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SUMIFS(RAB!$F$14:$F$198,RAB!$C$14:$C$198,C1150)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SUMIFS(RAB!$F$14:$F$198,RAB!$C$14:$C$198,C1151)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SUMIFS(RAB!$F$14:$F$198,RAB!$C$14:$C$198,C1152)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SUMIFS(RAB!$F$14:$F$198,RAB!$C$14:$C$198,C1153)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SUMIFS(RAB!$F$14:$F$198,RAB!$C$14:$C$198,C1154)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SUMIFS(RAB!$F$14:$F$198,RAB!$C$14:$C$198,C1155)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SUMIFS(RAB!$F$14:$F$198,RAB!$C$14:$C$198,C1156)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SUMIFS(RAB!$F$14:$F$198,RAB!$C$14:$C$198,C1157)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SUMIFS(RAB!$F$14:$F$198,RAB!$C$14:$C$198,C1158)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SUMIFS(RAB!$F$14:$F$198,RAB!$C$14:$C$198,C1159)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SUMIFS(RAB!$F$14:$F$198,RAB!$C$14:$C$198,C1160)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SUMIFS(RAB!$F$14:$F$198,RAB!$C$14:$C$198,C1161)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SUMIFS(RAB!$F$14:$F$198,RAB!$C$14:$C$198,C1162)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SUMIFS(RAB!$F$14:$F$198,RAB!$C$14:$C$198,C1163)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SUMIFS(RAB!$F$14:$F$198,RAB!$C$14:$C$198,C1164)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SUMIFS(RAB!$F$14:$F$198,RAB!$C$14:$C$198,C1165)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SUMIFS(RAB!$F$14:$F$198,RAB!$C$14:$C$198,C1166)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SUMIFS(RAB!$F$14:$F$198,RAB!$C$14:$C$198,C1167)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SUMIFS(RAB!$F$14:$F$198,RAB!$C$14:$C$198,C1168)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SUMIFS(RAB!$F$14:$F$198,RAB!$C$14:$C$198,C1169)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SUMIFS(RAB!$F$14:$F$198,RAB!$C$14:$C$198,C1170)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SUMIFS(RAB!$F$14:$F$198,RAB!$C$14:$C$198,C1171)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SUMIFS(RAB!$F$14:$F$198,RAB!$C$14:$C$198,C1172)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SUMIFS(RAB!$F$14:$F$198,RAB!$C$14:$C$198,C1173)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SUMIFS(RAB!$F$14:$F$198,RAB!$C$14:$C$198,C1174)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SUMIFS(RAB!$F$14:$F$198,RAB!$C$14:$C$198,C1175)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SUMIFS(RAB!$F$14:$F$198,RAB!$C$14:$C$198,C1176)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SUMIFS(RAB!$F$14:$F$198,RAB!$C$14:$C$198,C1177)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SUMIFS(RAB!$F$14:$F$198,RAB!$C$14:$C$198,C1178)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SUMIFS(RAB!$F$14:$F$198,RAB!$C$14:$C$198,C1179)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SUMIFS(RAB!$F$14:$F$198,RAB!$C$14:$C$198,C1180)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SUMIFS(RAB!$F$14:$F$198,RAB!$C$14:$C$198,C1181)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SUMIFS(RAB!$F$14:$F$198,RAB!$C$14:$C$198,C1182)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SUMIFS(RAB!$F$14:$F$198,RAB!$C$14:$C$198,C1183)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SUMIFS(RAB!$F$14:$F$198,RAB!$C$14:$C$198,C1184)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SUMIFS(RAB!$F$14:$F$198,RAB!$C$14:$C$198,C1185)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SUMIFS(RAB!$F$14:$F$198,RAB!$C$14:$C$198,C1186)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SUMIFS(RAB!$F$14:$F$198,RAB!$C$14:$C$198,C1187)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SUMIFS(RAB!$F$14:$F$198,RAB!$C$14:$C$198,C1188)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SUMIFS(RAB!$F$14:$F$198,RAB!$C$14:$C$198,C1189)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SUMIFS(RAB!$F$14:$F$198,RAB!$C$14:$C$198,C1190)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SUMIFS(RAB!$F$14:$F$198,RAB!$C$14:$C$198,C1191)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SUMIFS(RAB!$F$14:$F$198,RAB!$C$14:$C$198,C1192)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SUMIFS(RAB!$F$14:$F$198,RAB!$C$14:$C$198,C1193)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SUMIFS(RAB!$F$14:$F$198,RAB!$C$14:$C$198,C1194)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SUMIFS(RAB!$F$14:$F$198,RAB!$C$14:$C$198,C1195)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SUMIFS(RAB!$F$14:$F$198,RAB!$C$14:$C$198,C1196)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SUMIFS(RAB!$F$14:$F$198,RAB!$C$14:$C$198,C1197)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SUMIFS(RAB!$F$14:$F$198,RAB!$C$14:$C$198,C1198)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SUMIFS(RAB!$F$14:$F$198,RAB!$C$14:$C$198,C1199)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SUMIFS(RAB!$F$14:$F$198,RAB!$C$14:$C$198,C1200)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SUMIFS(RAB!$F$14:$F$198,RAB!$C$14:$C$198,C1201)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SUMIFS(RAB!$F$14:$F$198,RAB!$C$14:$C$198,C1202)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SUMIFS(RAB!$F$14:$F$198,RAB!$C$14:$C$198,C1203)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SUMIFS(RAB!$F$14:$F$198,RAB!$C$14:$C$198,C1204)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SUMIFS(RAB!$F$14:$F$198,RAB!$C$14:$C$198,C1205)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SUMIFS(RAB!$F$14:$F$198,RAB!$C$14:$C$198,C1206)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SUMIFS(RAB!$F$14:$F$198,RAB!$C$14:$C$198,C1207)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SUMIFS(RAB!$F$14:$F$198,RAB!$C$14:$C$198,C1208)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SUMIFS(RAB!$F$14:$F$198,RAB!$C$14:$C$198,C1209)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SUMIFS(RAB!$F$14:$F$198,RAB!$C$14:$C$198,C1210)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SUMIFS(RAB!$F$14:$F$198,RAB!$C$14:$C$198,C1211)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SUMIFS(RAB!$F$14:$F$198,RAB!$C$14:$C$198,C1212)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SUMIFS(RAB!$F$14:$F$198,RAB!$C$14:$C$198,C1213)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SUMIFS(RAB!$F$14:$F$198,RAB!$C$14:$C$198,C1214)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SUMIFS(RAB!$F$14:$F$198,RAB!$C$14:$C$198,C1215)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SUMIFS(RAB!$F$14:$F$198,RAB!$C$14:$C$198,C1216)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SUMIFS(RAB!$F$14:$F$198,RAB!$C$14:$C$198,C1217)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SUMIFS(RAB!$F$14:$F$198,RAB!$C$14:$C$198,C1218)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SUMIFS(RAB!$F$14:$F$198,RAB!$C$14:$C$198,C1219)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SUMIFS(RAB!$F$14:$F$198,RAB!$C$14:$C$198,C1220)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SUMIFS(RAB!$F$14:$F$198,RAB!$C$14:$C$198,C1221)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SUMIFS(RAB!$F$14:$F$198,RAB!$C$14:$C$198,C1222)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SUMIFS(RAB!$F$14:$F$198,RAB!$C$14:$C$198,C1223)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SUMIFS(RAB!$F$14:$F$198,RAB!$C$14:$C$198,C1224)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SUMIFS(RAB!$F$14:$F$198,RAB!$C$14:$C$198,C1225)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SUMIFS(RAB!$F$14:$F$198,RAB!$C$14:$C$198,C1226)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SUMIFS(RAB!$F$14:$F$198,RAB!$C$14:$C$198,C1227)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SUMIFS(RAB!$F$14:$F$198,RAB!$C$14:$C$198,C1228)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SUMIFS(RAB!$F$14:$F$198,RAB!$C$14:$C$198,C1229)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SUMIFS(RAB!$F$14:$F$198,RAB!$C$14:$C$198,C1230)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SUMIFS(RAB!$F$14:$F$198,RAB!$C$14:$C$198,C1231)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SUMIFS(RAB!$F$14:$F$198,RAB!$C$14:$C$198,C1232)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SUMIFS(RAB!$F$14:$F$198,RAB!$C$14:$C$198,C1233)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SUMIFS(RAB!$F$14:$F$198,RAB!$C$14:$C$198,C1234)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SUMIFS(RAB!$F$14:$F$198,RAB!$C$14:$C$198,C1235)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SUMIFS(RAB!$F$14:$F$198,RAB!$C$14:$C$198,C1236)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SUMIFS(RAB!$F$14:$F$198,RAB!$C$14:$C$198,C1237)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SUMIFS(RAB!$F$14:$F$198,RAB!$C$14:$C$198,C1238)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SUMIFS(RAB!$F$14:$F$198,RAB!$C$14:$C$198,C1239)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SUMIFS(RAB!$F$14:$F$198,RAB!$C$14:$C$198,C1240)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SUMIFS(RAB!$F$14:$F$198,RAB!$C$14:$C$198,C1241)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SUMIFS(RAB!$F$14:$F$198,RAB!$C$14:$C$198,C1242)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SUMIFS(RAB!$F$14:$F$198,RAB!$C$14:$C$198,C1243)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SUMIFS(RAB!$F$14:$F$198,RAB!$C$14:$C$198,C1244)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SUMIFS(RAB!$F$14:$F$198,RAB!$C$14:$C$198,C1245)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SUMIFS(RAB!$F$14:$F$198,RAB!$C$14:$C$198,C1246)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SUMIFS(RAB!$F$14:$F$198,RAB!$C$14:$C$198,C1247)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SUMIFS(RAB!$F$14:$F$198,RAB!$C$14:$C$198,C1248)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SUMIFS(RAB!$F$14:$F$198,RAB!$C$14:$C$198,C1249)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SUMIFS(RAB!$F$14:$F$198,RAB!$C$14:$C$198,C1250)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SUMIFS(RAB!$F$14:$F$198,RAB!$C$14:$C$198,C1251)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SUMIFS(RAB!$F$14:$F$198,RAB!$C$14:$C$198,C1252)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SUMIFS(RAB!$F$14:$F$198,RAB!$C$14:$C$198,C1253)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SUMIFS(RAB!$F$14:$F$198,RAB!$C$14:$C$198,C1254)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SUMIFS(RAB!$F$14:$F$198,RAB!$C$14:$C$198,C1255)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SUMIFS(RAB!$F$14:$F$198,RAB!$C$14:$C$198,C1256)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SUMIFS(RAB!$F$14:$F$198,RAB!$C$14:$C$198,C1257)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SUMIFS(RAB!$F$14:$F$198,RAB!$C$14:$C$198,C1258)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SUMIFS(RAB!$F$14:$F$198,RAB!$C$14:$C$198,C1259)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SUMIFS(RAB!$F$14:$F$198,RAB!$C$14:$C$198,C1260)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SUMIFS(RAB!$F$14:$F$198,RAB!$C$14:$C$198,C1261)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SUMIFS(RAB!$F$14:$F$198,RAB!$C$14:$C$198,C1262)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SUMIFS(RAB!$F$14:$F$198,RAB!$C$14:$C$198,C1263)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SUMIFS(RAB!$F$14:$F$198,RAB!$C$14:$C$198,C1264)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SUMIFS(RAB!$F$14:$F$198,RAB!$C$14:$C$198,C1265)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SUMIFS(RAB!$F$14:$F$198,RAB!$C$14:$C$198,C1266)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SUMIFS(RAB!$F$14:$F$198,RAB!$C$14:$C$198,C1267)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SUMIFS(RAB!$F$14:$F$198,RAB!$C$14:$C$198,C1268)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SUMIFS(RAB!$F$14:$F$198,RAB!$C$14:$C$198,C1269)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SUMIFS(RAB!$F$14:$F$198,RAB!$C$14:$C$198,C1270)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SUMIFS(RAB!$F$14:$F$198,RAB!$C$14:$C$198,C1271)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SUMIFS(RAB!$F$14:$F$198,RAB!$C$14:$C$198,C1272)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SUMIFS(RAB!$F$14:$F$198,RAB!$C$14:$C$198,C1273)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SUMIFS(RAB!$F$14:$F$198,RAB!$C$14:$C$198,C1274)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SUMIFS(RAB!$F$14:$F$198,RAB!$C$14:$C$198,C1275)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SUMIFS(RAB!$F$14:$F$198,RAB!$C$14:$C$198,C1276)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SUMIFS(RAB!$F$14:$F$198,RAB!$C$14:$C$198,C1277)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SUMIFS(RAB!$F$14:$F$198,RAB!$C$14:$C$198,C1278)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SUMIFS(RAB!$F$14:$F$198,RAB!$C$14:$C$198,C1279)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SUMIFS(RAB!$F$14:$F$198,RAB!$C$14:$C$198,C1280)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SUMIFS(RAB!$F$14:$F$198,RAB!$C$14:$C$198,C1281)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SUMIFS(RAB!$F$14:$F$198,RAB!$C$14:$C$198,C1282)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SUMIFS(RAB!$F$14:$F$198,RAB!$C$14:$C$198,C1283)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SUMIFS(RAB!$F$14:$F$198,RAB!$C$14:$C$198,C1284)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SUMIFS(RAB!$F$14:$F$198,RAB!$C$14:$C$198,C1285)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SUMIFS(RAB!$F$14:$F$198,RAB!$C$14:$C$198,C1286)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SUMIFS(RAB!$F$14:$F$198,RAB!$C$14:$C$198,C1287)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SUMIFS(RAB!$F$14:$F$198,RAB!$C$14:$C$198,C1288)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SUMIFS(RAB!$F$14:$F$198,RAB!$C$14:$C$198,C1289)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SUMIFS(RAB!$F$14:$F$198,RAB!$C$14:$C$198,C1290)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SUMIFS(RAB!$F$14:$F$198,RAB!$C$14:$C$198,C1291)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SUMIFS(RAB!$F$14:$F$198,RAB!$C$14:$C$198,C1292)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SUMIFS(RAB!$F$14:$F$198,RAB!$C$14:$C$198,C1293)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SUMIFS(RAB!$F$14:$F$198,RAB!$C$14:$C$198,C1294)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SUMIFS(RAB!$F$14:$F$198,RAB!$C$14:$C$198,C1295)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SUMIFS(RAB!$F$14:$F$198,RAB!$C$14:$C$198,C1296)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SUMIFS(RAB!$F$14:$F$198,RAB!$C$14:$C$198,C1297)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SUMIFS(RAB!$F$14:$F$198,RAB!$C$14:$C$198,C1298)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SUMIFS(RAB!$F$14:$F$198,RAB!$C$14:$C$198,C1299)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SUMIFS(RAB!$F$14:$F$198,RAB!$C$14:$C$198,C1300)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SUMIFS(RAB!$F$14:$F$198,RAB!$C$14:$C$198,C1301)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SUMIFS(RAB!$F$14:$F$198,RAB!$C$14:$C$198,C1302)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SUMIFS(RAB!$F$14:$F$198,RAB!$C$14:$C$198,C1303)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SUMIFS(RAB!$F$14:$F$198,RAB!$C$14:$C$198,C1304)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SUMIFS(RAB!$F$14:$F$198,RAB!$C$14:$C$198,C1305)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SUMIFS(RAB!$F$14:$F$198,RAB!$C$14:$C$198,C1306)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SUMIFS(RAB!$F$14:$F$198,RAB!$C$14:$C$198,C1307)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SUMIFS(RAB!$F$14:$F$198,RAB!$C$14:$C$198,C1308)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SUMIFS(RAB!$F$14:$F$198,RAB!$C$14:$C$198,C1309)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SUMIFS(RAB!$F$14:$F$198,RAB!$C$14:$C$198,C1310)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SUMIFS(RAB!$F$14:$F$198,RAB!$C$14:$C$198,C1311)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SUMIFS(RAB!$F$14:$F$198,RAB!$C$14:$C$198,C1312)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SUMIFS(RAB!$F$14:$F$198,RAB!$C$14:$C$198,C1313)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SUMIFS(RAB!$F$14:$F$198,RAB!$C$14:$C$198,C1314)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SUMIFS(RAB!$F$14:$F$198,RAB!$C$14:$C$198,C1315)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SUMIFS(RAB!$F$14:$F$198,RAB!$C$14:$C$198,C1316)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SUMIFS(RAB!$F$14:$F$198,RAB!$C$14:$C$198,C1317)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SUMIFS(RAB!$F$14:$F$198,RAB!$C$14:$C$198,C1318)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SUMIFS(RAB!$F$14:$F$198,RAB!$C$14:$C$198,C1319)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SUMIFS(RAB!$F$14:$F$198,RAB!$C$14:$C$198,C1320)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5" priority="5" operator="equal">
      <formula>0</formula>
    </cfRule>
  </conditionalFormatting>
  <conditionalFormatting sqref="A10:L65536">
    <cfRule type="cellIs" dxfId="64" priority="1" operator="equal">
      <formula>0</formula>
    </cfRule>
  </conditionalFormatting>
  <conditionalFormatting sqref="C12:C711">
    <cfRule type="cellIs" dxfId="63" priority="66" stopIfTrue="1" operator="equal">
      <formula>0</formula>
    </cfRule>
  </conditionalFormatting>
  <conditionalFormatting sqref="E712:E65536">
    <cfRule type="cellIs" dxfId="62" priority="16" stopIfTrue="1" operator="equal">
      <formula>0</formula>
    </cfRule>
  </conditionalFormatting>
  <conditionalFormatting sqref="G1:G11 E6:E11 E1:E3 H7 H10:H11 F10:F711 G712:G65536">
    <cfRule type="cellIs" dxfId="61" priority="69" stopIfTrue="1" operator="equal">
      <formula>0</formula>
    </cfRule>
  </conditionalFormatting>
  <conditionalFormatting sqref="G12:H711">
    <cfRule type="cellIs" dxfId="60" priority="12" stopIfTrue="1" operator="equal">
      <formula>0</formula>
    </cfRule>
  </conditionalFormatting>
  <conditionalFormatting sqref="I7:K7">
    <cfRule type="cellIs" dxfId="59" priority="4" stopIfTrue="1" operator="equal">
      <formula>0</formula>
    </cfRule>
  </conditionalFormatting>
  <conditionalFormatting sqref="I10:L711">
    <cfRule type="cellIs" dxfId="58" priority="2" stopIfTrue="1" operator="equal">
      <formula>0</formula>
    </cfRule>
  </conditionalFormatting>
  <conditionalFormatting sqref="L1:L6">
    <cfRule type="cellIs" dxfId="57" priority="10" operator="equal">
      <formula>0</formula>
    </cfRule>
  </conditionalFormatting>
  <conditionalFormatting sqref="M1:IV1048576 A8:G9">
    <cfRule type="cellIs" dxfId="5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4" t="s">
        <v>1127</v>
      </c>
      <c r="C4" s="534"/>
      <c r="D4" s="534"/>
      <c r="E4" s="534"/>
      <c r="F4" s="534"/>
      <c r="G4" s="534"/>
      <c r="H4" s="534"/>
      <c r="I4" s="534"/>
      <c r="J4" s="534"/>
      <c r="K4" s="53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8" t="str">
        <f>RAB!G6</f>
        <v>MOH FAIZIN</v>
      </c>
      <c r="H6" s="558"/>
      <c r="I6" s="558"/>
      <c r="J6" s="558"/>
      <c r="K6" s="55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PLENDUNGAN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5" t="s">
        <v>0</v>
      </c>
      <c r="C11" s="537" t="s">
        <v>1</v>
      </c>
      <c r="D11" s="540" t="s">
        <v>42</v>
      </c>
      <c r="E11" s="540" t="s">
        <v>43</v>
      </c>
      <c r="F11" s="540" t="s">
        <v>2</v>
      </c>
      <c r="G11" s="542" t="s">
        <v>41</v>
      </c>
      <c r="H11" s="540" t="s">
        <v>3</v>
      </c>
      <c r="I11" s="540"/>
      <c r="J11" s="540"/>
      <c r="K11" s="545"/>
      <c r="M11" s="33"/>
      <c r="N11" s="33"/>
      <c r="O11" s="33"/>
      <c r="P11" s="33"/>
      <c r="R11" s="34"/>
      <c r="S11" s="74"/>
      <c r="T11" s="74"/>
    </row>
    <row r="12" spans="1:21" ht="15" customHeight="1">
      <c r="B12" s="536"/>
      <c r="C12" s="538"/>
      <c r="D12" s="541"/>
      <c r="E12" s="541"/>
      <c r="F12" s="541"/>
      <c r="G12" s="543"/>
      <c r="H12" s="549" t="s">
        <v>46</v>
      </c>
      <c r="I12" s="549" t="s">
        <v>5</v>
      </c>
      <c r="J12" s="541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6"/>
      <c r="C13" s="539"/>
      <c r="D13" s="541"/>
      <c r="E13" s="541"/>
      <c r="F13" s="541"/>
      <c r="G13" s="544"/>
      <c r="H13" s="550"/>
      <c r="I13" s="550"/>
      <c r="J13" s="541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Btg</v>
      </c>
      <c r="F17" s="101">
        <f t="shared" ca="1" si="5"/>
        <v>2</v>
      </c>
      <c r="G17" s="41">
        <f ca="1">IF(ISERROR(OFFSET('HARGA SATUAN'!$I$6,MATCH(C17,'HARGA SATUAN'!$C$7:$C$1495,0),0)),"",OFFSET('HARGA SATUAN'!$I$6,MATCH(C17,'HARGA SATUAN'!$C$7:$C$1495,0),0))</f>
        <v>6074400</v>
      </c>
      <c r="H17" s="42">
        <f t="shared" ca="1" si="1"/>
        <v>0</v>
      </c>
      <c r="I17" s="42">
        <f t="shared" ca="1" si="2"/>
        <v>12148800</v>
      </c>
      <c r="J17" s="42">
        <f t="shared" ca="1" si="3"/>
        <v>0</v>
      </c>
      <c r="K17" s="43">
        <f t="shared" ca="1" si="0"/>
        <v>12148800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9" t="s">
        <v>1008</v>
      </c>
      <c r="D38" s="559"/>
      <c r="E38" s="559"/>
      <c r="F38" s="559"/>
      <c r="G38" s="77" t="s">
        <v>9</v>
      </c>
      <c r="H38" s="55">
        <f ca="1">SUM(H14:H37)</f>
        <v>0</v>
      </c>
      <c r="I38" s="55">
        <f ca="1">SUM(I14:I37)</f>
        <v>17948800</v>
      </c>
      <c r="J38" s="55">
        <f ca="1">SUM(J14:J37)</f>
        <v>0</v>
      </c>
      <c r="K38" s="55">
        <f ca="1">SUM(K14:K37)</f>
        <v>17948800</v>
      </c>
      <c r="L38" s="44"/>
      <c r="R38" s="99"/>
      <c r="S38" s="99"/>
      <c r="T38" s="99"/>
    </row>
    <row r="39" spans="1:20" s="36" customFormat="1">
      <c r="A39" s="30"/>
      <c r="B39" s="56"/>
      <c r="C39" s="560" t="s">
        <v>462</v>
      </c>
      <c r="D39" s="560"/>
      <c r="E39" s="560"/>
      <c r="F39" s="560"/>
      <c r="G39" s="59" t="s">
        <v>9</v>
      </c>
      <c r="H39" s="60">
        <f ca="1">H38*0.1</f>
        <v>0</v>
      </c>
      <c r="I39" s="60">
        <f ca="1">I38*0.1</f>
        <v>1794880</v>
      </c>
      <c r="J39" s="60">
        <f ca="1">J38*0.1</f>
        <v>0</v>
      </c>
      <c r="K39" s="60">
        <f ca="1">K38*0.1</f>
        <v>1794880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1" t="s">
        <v>463</v>
      </c>
      <c r="D40" s="551"/>
      <c r="E40" s="551"/>
      <c r="F40" s="551"/>
      <c r="G40" s="61" t="s">
        <v>9</v>
      </c>
      <c r="H40" s="78">
        <f ca="1">SUM(H38:H39)</f>
        <v>0</v>
      </c>
      <c r="I40" s="78">
        <f ca="1">SUM(I38:I39)</f>
        <v>19743680</v>
      </c>
      <c r="J40" s="61">
        <f ca="1">SUM(J38:J39)</f>
        <v>0</v>
      </c>
      <c r="K40" s="61">
        <f ca="1">SUM(K38:K39)</f>
        <v>19743680</v>
      </c>
      <c r="L40" s="44"/>
      <c r="R40" s="99"/>
      <c r="S40" s="99"/>
      <c r="T40" s="99"/>
    </row>
    <row r="41" spans="1:20" s="36" customFormat="1">
      <c r="A41" s="30"/>
      <c r="B41" s="552" t="e">
        <f ca="1">"Terbilang : ( "&amp;L42&amp;" Rupiah )"</f>
        <v>#NAME?</v>
      </c>
      <c r="C41" s="553"/>
      <c r="D41" s="553"/>
      <c r="E41" s="553"/>
      <c r="F41" s="553"/>
      <c r="G41" s="553"/>
      <c r="H41" s="553"/>
      <c r="I41" s="553"/>
      <c r="J41" s="553"/>
      <c r="K41" s="554"/>
      <c r="L41" s="44"/>
      <c r="R41" s="58"/>
      <c r="S41" s="58"/>
      <c r="T41" s="58"/>
    </row>
    <row r="42" spans="1:20" s="36" customFormat="1">
      <c r="A42" s="30"/>
      <c r="B42" s="555"/>
      <c r="C42" s="556"/>
      <c r="D42" s="556"/>
      <c r="E42" s="556"/>
      <c r="F42" s="556"/>
      <c r="G42" s="556"/>
      <c r="H42" s="556"/>
      <c r="I42" s="556"/>
      <c r="J42" s="556"/>
      <c r="K42" s="55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6"/>
      <c r="I45" s="546"/>
      <c r="J45" s="547"/>
      <c r="K45" s="54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6"/>
      <c r="I46" s="546"/>
      <c r="J46" s="547"/>
      <c r="K46" s="54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6"/>
      <c r="I47" s="546"/>
      <c r="J47" s="547"/>
      <c r="K47" s="54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6"/>
      <c r="I52" s="546"/>
      <c r="J52" s="547"/>
      <c r="K52" s="54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SUMIFS(RAB!$F$14:$F$198,RAB!$C$14:$C$198,'REKAP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SUMIFS(RAB!$F$14:$F$198,RAB!$C$14:$C$198,'REKAP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SUMIFS(RAB!$F$14:$F$198,RAB!$C$14:$C$198,'REKAP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SUMIFS(RAB!$F$14:$F$198,RAB!$C$14:$C$198,'REKAP TIANG'!C60)</f>
        <v>2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SUMIFS(RAB!$F$14:$F$198,RAB!$C$14:$C$198,'REKAP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SUMIFS(RAB!$F$14:$F$198,RAB!$C$14:$C$198,'REKAP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SUMIFS(RAB!$F$14:$F$198,RAB!$C$14:$C$198,'REKAP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SUMIFS(RAB!$F$14:$F$198,RAB!$C$14:$C$198,'REKAP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SUMIFS(RAB!$F$14:$F$198,RAB!$C$14:$C$198,'REKAP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SUMIFS(RAB!$F$14:$F$198,RAB!$C$14:$C$198,'REKAP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SUMIFS(RAB!$F$14:$F$198,RAB!$C$14:$C$198,'REKAP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SUMIFS(RAB!$F$14:$F$198,RAB!$C$14:$C$198,'REKAP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SUMIFS(RAB!$F$14:$F$198,RAB!$C$14:$C$198,'REKAP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SUMIFS(RAB!$F$14:$F$198,RAB!$C$14:$C$198,'REKAP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SUMIFS(RAB!$F$14:$F$198,RAB!$C$14:$C$198,'REKAP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SUMIFS(RAB!$F$14:$F$198,RAB!$C$14:$C$198,'REKAP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SUMIFS(RAB!$F$14:$F$198,RAB!$C$14:$C$198,'REKAP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SUMIFS(RAB!$F$14:$F$198,RAB!$C$14:$C$198,'REKAP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SUMIFS(RAB!$F$14:$F$198,RAB!$C$14:$C$198,'REKAP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SUMIFS(RAB!$F$14:$F$198,RAB!$C$14:$C$198,'REKAP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4" t="s">
        <v>1034</v>
      </c>
      <c r="C4" s="534"/>
      <c r="D4" s="534"/>
      <c r="E4" s="534"/>
      <c r="F4" s="534"/>
      <c r="G4" s="534"/>
      <c r="H4" s="534"/>
      <c r="I4" s="534"/>
      <c r="J4" s="534"/>
      <c r="K4" s="53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8" t="str">
        <f>RAB!G6</f>
        <v>MOH FAIZIN</v>
      </c>
      <c r="H6" s="558"/>
      <c r="I6" s="558"/>
      <c r="J6" s="558"/>
      <c r="K6" s="55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PLENDUNGAN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5" t="s">
        <v>0</v>
      </c>
      <c r="C11" s="537" t="s">
        <v>1</v>
      </c>
      <c r="D11" s="540" t="s">
        <v>42</v>
      </c>
      <c r="E11" s="540" t="s">
        <v>43</v>
      </c>
      <c r="F11" s="540" t="s">
        <v>2</v>
      </c>
      <c r="G11" s="542" t="s">
        <v>41</v>
      </c>
      <c r="H11" s="540" t="s">
        <v>3</v>
      </c>
      <c r="I11" s="540"/>
      <c r="J11" s="540"/>
      <c r="K11" s="545"/>
      <c r="M11" s="33"/>
      <c r="N11" s="33"/>
      <c r="O11" s="33"/>
      <c r="P11" s="33"/>
      <c r="R11" s="34"/>
      <c r="S11" s="74"/>
      <c r="T11" s="74"/>
    </row>
    <row r="12" spans="1:21" ht="15" customHeight="1">
      <c r="B12" s="536"/>
      <c r="C12" s="538"/>
      <c r="D12" s="541"/>
      <c r="E12" s="541"/>
      <c r="F12" s="541"/>
      <c r="G12" s="543"/>
      <c r="H12" s="549" t="s">
        <v>46</v>
      </c>
      <c r="I12" s="549" t="s">
        <v>5</v>
      </c>
      <c r="J12" s="541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6"/>
      <c r="C13" s="539"/>
      <c r="D13" s="541"/>
      <c r="E13" s="541"/>
      <c r="F13" s="541"/>
      <c r="G13" s="544"/>
      <c r="H13" s="550"/>
      <c r="I13" s="550"/>
      <c r="J13" s="541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131 kVA MCCB 200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Bh</v>
      </c>
      <c r="F21" s="101">
        <f t="shared" ca="1" si="6"/>
        <v>24</v>
      </c>
      <c r="G21" s="41">
        <f ca="1">IF(ISERROR(OFFSET('HARGA SATUAN'!$I$6,MATCH(C21,'HARGA SATUAN'!$C$7:$C$1495,0),0)),"",OFFSET('HARGA SATUAN'!$I$6,MATCH(C21,'HARGA SATUAN'!$C$7:$C$1495,0),0))</f>
        <v>235900</v>
      </c>
      <c r="H21" s="42">
        <f t="shared" ca="1" si="1"/>
        <v>5661600</v>
      </c>
      <c r="I21" s="42">
        <f t="shared" ca="1" si="2"/>
        <v>0</v>
      </c>
      <c r="J21" s="42">
        <f t="shared" ca="1" si="3"/>
        <v>0</v>
      </c>
      <c r="K21" s="43">
        <f t="shared" ca="1" si="0"/>
        <v>5661600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Tumpu ( Line Post ) 20 KV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Bh</v>
      </c>
      <c r="F22" s="101">
        <f t="shared" ca="1" si="6"/>
        <v>12</v>
      </c>
      <c r="G22" s="41">
        <f ca="1">IF(ISERROR(OFFSET('HARGA SATUAN'!$I$6,MATCH(C22,'HARGA SATUAN'!$C$7:$C$1495,0),0)),"",OFFSET('HARGA SATUAN'!$I$6,MATCH(C22,'HARGA SATUAN'!$C$7:$C$1495,0),0))</f>
        <v>176900</v>
      </c>
      <c r="H22" s="42">
        <f t="shared" ca="1" si="1"/>
        <v>2122800</v>
      </c>
      <c r="I22" s="42">
        <f t="shared" ca="1" si="2"/>
        <v>0</v>
      </c>
      <c r="J22" s="42">
        <f t="shared" ca="1" si="3"/>
        <v>0</v>
      </c>
      <c r="K22" s="43">
        <f t="shared" ca="1" si="0"/>
        <v>2122800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9</v>
      </c>
      <c r="G23" s="41">
        <f ca="1">IF(ISERROR(OFFSET('HARGA SATUAN'!$I$6,MATCH(C23,'HARGA SATUAN'!$C$7:$C$1495,0),0)),"",OFFSET('HARGA SATUAN'!$I$6,MATCH(C23,'HARGA SATUAN'!$C$7:$C$1495,0),0))</f>
        <v>14200</v>
      </c>
      <c r="H23" s="42">
        <f t="shared" ca="1" si="1"/>
        <v>127800</v>
      </c>
      <c r="I23" s="42">
        <f t="shared" ca="1" si="2"/>
        <v>0</v>
      </c>
      <c r="J23" s="42">
        <f t="shared" ca="1" si="3"/>
        <v>0</v>
      </c>
      <c r="K23" s="43">
        <f t="shared" ca="1" si="0"/>
        <v>127800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150 mm²</v>
      </c>
      <c r="D24" s="101" t="str">
        <f ca="1">IF(ISERROR(OFFSET('HARGA SATUAN'!$D$6,MATCH(C24,'HARGA SATUAN'!$C$7:$C$1495,0),0)),"",OFFSET('HARGA SATUAN'!$D$6,MATCH(C24,'HARGA SATUAN'!$C$7:$C$1495,0),0))</f>
        <v>MDU-KD</v>
      </c>
      <c r="E24" s="101" t="str">
        <f ca="1">IF(B24="+","Unit",IF(ISERROR(OFFSET('HARGA SATUAN'!$E$6,MATCH(C24,'HARGA SATUAN'!$C$7:$C$1495,0),0)),"",OFFSET('HARGA SATUAN'!$E$6,MATCH(C24,'HARGA SATUAN'!$C$7:$C$1495,0),0)))</f>
        <v>Mtr</v>
      </c>
      <c r="F24" s="101">
        <f t="shared" ca="1" si="6"/>
        <v>2360</v>
      </c>
      <c r="G24" s="41">
        <f ca="1">IF(ISERROR(OFFSET('HARGA SATUAN'!$I$6,MATCH(C24,'HARGA SATUAN'!$C$7:$C$1495,0),0)),"",OFFSET('HARGA SATUAN'!$I$6,MATCH(C24,'HARGA SATUAN'!$C$7:$C$1495,0),0))</f>
        <v>25300</v>
      </c>
      <c r="H24" s="42">
        <f t="shared" ca="1" si="1"/>
        <v>59708000</v>
      </c>
      <c r="I24" s="42">
        <f t="shared" ca="1" si="2"/>
        <v>0</v>
      </c>
      <c r="J24" s="42">
        <f t="shared" ca="1" si="3"/>
        <v>0</v>
      </c>
      <c r="K24" s="43">
        <f t="shared" ca="1" si="0"/>
        <v>59708000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4 x 70 mm²</v>
      </c>
      <c r="D25" s="101" t="str">
        <f ca="1">IF(ISERROR(OFFSET('HARGA SATUAN'!$D$6,MATCH(C25,'HARGA SATUAN'!$C$7:$C$1495,0),0)),"",OFFSET('HARGA SATUAN'!$D$6,MATCH(C25,'HARGA SATUAN'!$C$7:$C$1495,0),0))</f>
        <v>MDU-KD</v>
      </c>
      <c r="E25" s="101" t="str">
        <f ca="1">IF(B25="+","Unit",IF(ISERROR(OFFSET('HARGA SATUAN'!$E$6,MATCH(C25,'HARGA SATUAN'!$C$7:$C$1495,0),0)),"",OFFSET('HARGA SATUAN'!$E$6,MATCH(C25,'HARGA SATUAN'!$C$7:$C$1495,0),0)))</f>
        <v>Mtr</v>
      </c>
      <c r="F25" s="101">
        <f t="shared" ca="1" si="6"/>
        <v>35</v>
      </c>
      <c r="G25" s="41">
        <f ca="1">IF(ISERROR(OFFSET('HARGA SATUAN'!$I$6,MATCH(C25,'HARGA SATUAN'!$C$7:$C$1495,0),0)),"",OFFSET('HARGA SATUAN'!$I$6,MATCH(C25,'HARGA SATUAN'!$C$7:$C$1495,0),0))</f>
        <v>421400</v>
      </c>
      <c r="H25" s="42">
        <f t="shared" ca="1" si="1"/>
        <v>14749000</v>
      </c>
      <c r="I25" s="42">
        <f t="shared" ca="1" si="2"/>
        <v>0</v>
      </c>
      <c r="J25" s="42">
        <f t="shared" ca="1" si="3"/>
        <v>0</v>
      </c>
      <c r="K25" s="43">
        <f t="shared" ca="1" si="0"/>
        <v>14749000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9" t="s">
        <v>1008</v>
      </c>
      <c r="D168" s="559"/>
      <c r="E168" s="559"/>
      <c r="F168" s="559"/>
      <c r="G168" s="77" t="s">
        <v>9</v>
      </c>
      <c r="H168" s="55">
        <f ca="1">SUM(H14:H167)</f>
        <v>181246150</v>
      </c>
      <c r="I168" s="55">
        <f ca="1">SUM(I14:I167)</f>
        <v>0</v>
      </c>
      <c r="J168" s="55">
        <f ca="1">SUM(J14:J167)</f>
        <v>0</v>
      </c>
      <c r="K168" s="55">
        <f ca="1">SUM(K14:K167)</f>
        <v>181246150</v>
      </c>
      <c r="L168" s="44"/>
      <c r="R168" s="99"/>
      <c r="S168" s="99"/>
      <c r="T168" s="99"/>
    </row>
    <row r="169" spans="1:20" s="36" customFormat="1">
      <c r="A169" s="30"/>
      <c r="B169" s="56"/>
      <c r="C169" s="560" t="s">
        <v>462</v>
      </c>
      <c r="D169" s="560"/>
      <c r="E169" s="560"/>
      <c r="F169" s="560"/>
      <c r="G169" s="59" t="s">
        <v>9</v>
      </c>
      <c r="H169" s="60">
        <f ca="1">H168*0.1</f>
        <v>18124615</v>
      </c>
      <c r="I169" s="60">
        <f ca="1">I168*0.1</f>
        <v>0</v>
      </c>
      <c r="J169" s="60">
        <f ca="1">J168*0.1</f>
        <v>0</v>
      </c>
      <c r="K169" s="60">
        <f ca="1">K168*0.1</f>
        <v>18124615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1" t="s">
        <v>463</v>
      </c>
      <c r="D170" s="551"/>
      <c r="E170" s="551"/>
      <c r="F170" s="551"/>
      <c r="G170" s="61" t="s">
        <v>9</v>
      </c>
      <c r="H170" s="78">
        <f ca="1">SUM(H168:H169)</f>
        <v>199370765</v>
      </c>
      <c r="I170" s="78">
        <f ca="1">SUM(I168:I169)</f>
        <v>0</v>
      </c>
      <c r="J170" s="61">
        <f ca="1">SUM(J168:J169)</f>
        <v>0</v>
      </c>
      <c r="K170" s="61">
        <f ca="1">SUM(K168:K169)</f>
        <v>199370765</v>
      </c>
      <c r="L170" s="44"/>
      <c r="R170" s="99"/>
      <c r="S170" s="99"/>
      <c r="T170" s="99"/>
    </row>
    <row r="171" spans="1:20" s="36" customFormat="1">
      <c r="A171" s="30"/>
      <c r="B171" s="552" t="e">
        <f ca="1">"Terbilang : ( "&amp;L172&amp;" Rupiah )"</f>
        <v>#NAME?</v>
      </c>
      <c r="C171" s="553"/>
      <c r="D171" s="553"/>
      <c r="E171" s="553"/>
      <c r="F171" s="553"/>
      <c r="G171" s="553"/>
      <c r="H171" s="553"/>
      <c r="I171" s="553"/>
      <c r="J171" s="553"/>
      <c r="K171" s="554"/>
      <c r="L171" s="44"/>
      <c r="R171" s="58"/>
      <c r="S171" s="58"/>
      <c r="T171" s="58"/>
    </row>
    <row r="172" spans="1:20" s="36" customFormat="1">
      <c r="A172" s="30"/>
      <c r="B172" s="555"/>
      <c r="C172" s="556"/>
      <c r="D172" s="556"/>
      <c r="E172" s="556"/>
      <c r="F172" s="556"/>
      <c r="G172" s="556"/>
      <c r="H172" s="556"/>
      <c r="I172" s="556"/>
      <c r="J172" s="556"/>
      <c r="K172" s="55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6"/>
      <c r="I175" s="546"/>
      <c r="J175" s="547"/>
      <c r="K175" s="54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6"/>
      <c r="I176" s="546"/>
      <c r="J176" s="547"/>
      <c r="K176" s="54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6"/>
      <c r="I177" s="546"/>
      <c r="J177" s="547"/>
      <c r="K177" s="54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6"/>
      <c r="I182" s="546"/>
      <c r="J182" s="547"/>
      <c r="K182" s="54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SUMIFS(RAB!$F$14:$F$198,RAB!$C$14:$C$198,C224)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SUMIFS(RAB!$F$14:$F$198,RAB!$C$14:$C$198,C225)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SUMIFS(RAB!$F$14:$F$198,RAB!$C$14:$C$198,C226)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SUMIFS(RAB!$F$14:$F$198,RAB!$C$14:$C$198,C227)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SUMIFS(RAB!$F$14:$F$198,RAB!$C$14:$C$198,C228)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SUMIFS(RAB!$F$14:$F$198,RAB!$C$14:$C$198,C229)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SUMIFS(RAB!$F$14:$F$198,RAB!$C$14:$C$198,C230)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SUMIFS(RAB!$F$14:$F$198,RAB!$C$14:$C$198,C231)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SUMIFS(RAB!$F$14:$F$198,RAB!$C$14:$C$198,C232)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SUMIFS(RAB!$F$14:$F$198,RAB!$C$14:$C$198,C233)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SUMIFS(RAB!$F$14:$F$198,RAB!$C$14:$C$198,C234)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SUMIFS(RAB!$F$14:$F$198,RAB!$C$14:$C$198,C235)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SUMIFS(RAB!$F$14:$F$198,RAB!$C$14:$C$198,C236)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SUMIFS(RAB!$F$14:$F$198,RAB!$C$14:$C$198,C237)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SUMIFS(RAB!$F$14:$F$198,RAB!$C$14:$C$198,C238)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SUMIFS(RAB!$F$14:$F$198,RAB!$C$14:$C$198,C239)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SUMIFS(RAB!$F$14:$F$198,RAB!$C$14:$C$198,C240)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SUMIFS(RAB!$F$14:$F$198,RAB!$C$14:$C$198,C241)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SUMIFS(RAB!$F$14:$F$198,RAB!$C$14:$C$198,C242)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SUMIFS(RAB!$F$14:$F$198,RAB!$C$14:$C$198,C243)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SUMIFS(RAB!$F$14:$F$198,RAB!$C$14:$C$198,C244)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SUMIFS(RAB!$F$14:$F$198,RAB!$C$14:$C$198,C245)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SUMIFS(RAB!$F$14:$F$198,RAB!$C$14:$C$198,C246)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SUMIFS(RAB!$F$14:$F$198,RAB!$C$14:$C$198,C247)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SUMIFS(RAB!$F$14:$F$198,RAB!$C$14:$C$198,C248)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SUMIFS(RAB!$F$14:$F$198,RAB!$C$14:$C$198,C249)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SUMIFS(RAB!$F$14:$F$198,RAB!$C$14:$C$198,C250)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SUMIFS(RAB!$F$14:$F$198,RAB!$C$14:$C$198,C251)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SUMIFS(RAB!$F$14:$F$198,RAB!$C$14:$C$198,C252)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SUMIFS(RAB!$F$14:$F$198,RAB!$C$14:$C$198,C253)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SUMIFS(RAB!$F$14:$F$198,RAB!$C$14:$C$198,C254)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SUMIFS(RAB!$F$14:$F$198,RAB!$C$14:$C$198,C255)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SUMIFS(RAB!$F$14:$F$198,RAB!$C$14:$C$198,C256)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SUMIFS(RAB!$F$14:$F$198,RAB!$C$14:$C$198,C257)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SUMIFS(RAB!$F$14:$F$198,RAB!$C$14:$C$198,C258)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SUMIFS(RAB!$F$14:$F$198,RAB!$C$14:$C$198,C259)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SUMIFS(RAB!$F$14:$F$198,RAB!$C$14:$C$198,C260)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SUMIFS(RAB!$F$14:$F$198,RAB!$C$14:$C$198,C261)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SUMIFS(RAB!$F$14:$F$198,RAB!$C$14:$C$198,C262)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SUMIFS(RAB!$F$14:$F$198,RAB!$C$14:$C$198,C263)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SUMIFS(RAB!$F$14:$F$198,RAB!$C$14:$C$198,C264)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SUMIFS(RAB!$F$14:$F$198,RAB!$C$14:$C$198,C265)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SUMIFS(RAB!$F$14:$F$198,RAB!$C$14:$C$198,C266)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SUMIFS(RAB!$F$14:$F$198,RAB!$C$14:$C$198,C267)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SUMIFS(RAB!$F$14:$F$198,RAB!$C$14:$C$198,C268)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SUMIFS(RAB!$F$14:$F$198,RAB!$C$14:$C$198,C269)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SUMIFS(RAB!$F$14:$F$198,RAB!$C$14:$C$198,C270)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SUMIFS(RAB!$F$14:$F$198,RAB!$C$14:$C$198,C271)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SUMIFS(RAB!$F$14:$F$198,RAB!$C$14:$C$198,C272)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SUMIFS(RAB!$F$14:$F$198,RAB!$C$14:$C$198,C273)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SUMIFS(RAB!$F$14:$F$198,RAB!$C$14:$C$198,C274)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SUMIFS(RAB!$F$14:$F$198,RAB!$C$14:$C$198,C275)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SUMIFS(RAB!$F$14:$F$198,RAB!$C$14:$C$198,C276)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SUMIFS(RAB!$F$14:$F$198,RAB!$C$14:$C$198,C277)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SUMIFS(RAB!$F$14:$F$198,RAB!$C$14:$C$198,C278)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SUMIFS(RAB!$F$14:$F$198,RAB!$C$14:$C$198,C279)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SUMIFS(RAB!$F$14:$F$198,RAB!$C$14:$C$198,C280)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SUMIFS(RAB!$F$14:$F$198,RAB!$C$14:$C$198,C281)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SUMIFS(RAB!$F$14:$F$198,RAB!$C$14:$C$198,C282)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SUMIFS(RAB!$F$14:$F$198,RAB!$C$14:$C$198,C283)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SUMIFS(RAB!$F$14:$F$198,RAB!$C$14:$C$198,C284)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SUMIFS(RAB!$F$14:$F$198,RAB!$C$14:$C$198,C285)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SUMIFS(RAB!$F$14:$F$198,RAB!$C$14:$C$198,C286)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SUMIFS(RAB!$F$14:$F$198,RAB!$C$14:$C$198,C287)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SUMIFS(RAB!$F$14:$F$198,RAB!$C$14:$C$198,C288)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SUMIFS(RAB!$F$14:$F$198,RAB!$C$14:$C$198,C289)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SUMIFS(RAB!$F$14:$F$198,RAB!$C$14:$C$198,C290)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SUMIFS(RAB!$F$14:$F$198,RAB!$C$14:$C$198,C291)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SUMIFS(RAB!$F$14:$F$198,RAB!$C$14:$C$198,C292)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SUMIFS(RAB!$F$14:$F$198,RAB!$C$14:$C$198,C293)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SUMIFS(RAB!$F$14:$F$198,RAB!$C$14:$C$198,C294)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SUMIFS(RAB!$F$14:$F$198,RAB!$C$14:$C$198,C295)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SUMIFS(RAB!$F$14:$F$198,RAB!$C$14:$C$198,C296)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SUMIFS(RAB!$F$14:$F$198,RAB!$C$14:$C$198,C297)</f>
        <v>1</v>
      </c>
      <c r="E297" s="24">
        <f t="shared" ca="1" si="22"/>
        <v>1</v>
      </c>
      <c r="F297" s="24">
        <f ca="1">IF(D297=0,0,SUM($E$223:E297))</f>
        <v>2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SUMIFS(RAB!$F$14:$F$198,RAB!$C$14:$C$198,C298)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SUMIFS(RAB!$F$14:$F$198,RAB!$C$14:$C$198,C299)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SUMIFS(RAB!$F$14:$F$198,RAB!$C$14:$C$198,C300)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SUMIFS(RAB!$F$14:$F$198,RAB!$C$14:$C$198,C301)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SUMIFS(RAB!$F$14:$F$198,RAB!$C$14:$C$198,C302)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SUMIFS(RAB!$F$14:$F$198,RAB!$C$14:$C$198,C303)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SUMIFS(RAB!$F$14:$F$198,RAB!$C$14:$C$198,C304)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SUMIFS(RAB!$F$14:$F$198,RAB!$C$14:$C$198,C305)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SUMIFS(RAB!$F$14:$F$198,RAB!$C$14:$C$198,C306)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SUMIFS(RAB!$F$14:$F$198,RAB!$C$14:$C$198,C307)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SUMIFS(RAB!$F$14:$F$198,RAB!$C$14:$C$198,C308)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SUMIFS(RAB!$F$14:$F$198,RAB!$C$14:$C$198,C309)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SUMIFS(RAB!$F$14:$F$198,RAB!$C$14:$C$198,C310)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SUMIFS(RAB!$F$14:$F$198,RAB!$C$14:$C$198,C311)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SUMIFS(RAB!$F$14:$F$198,RAB!$C$14:$C$198,C312)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SUMIFS(RAB!$F$14:$F$198,RAB!$C$14:$C$198,C313)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SUMIFS(RAB!$F$14:$F$198,RAB!$C$14:$C$198,C314)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SUMIFS(RAB!$F$14:$F$198,RAB!$C$14:$C$198,C315)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SUMIFS(RAB!$F$14:$F$198,RAB!$C$14:$C$198,C316)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SUMIFS(RAB!$F$14:$F$198,RAB!$C$14:$C$198,C317)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SUMIFS(RAB!$F$14:$F$198,RAB!$C$14:$C$198,C318)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SUMIFS(RAB!$F$14:$F$198,RAB!$C$14:$C$198,C319)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SUMIFS(RAB!$F$14:$F$198,RAB!$C$14:$C$198,C320)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SUMIFS(RAB!$F$14:$F$198,RAB!$C$14:$C$198,C321)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SUMIFS(RAB!$F$14:$F$198,RAB!$C$14:$C$198,C322)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SUMIFS(RAB!$F$14:$F$198,RAB!$C$14:$C$198,C323)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SUMIFS(RAB!$F$14:$F$198,RAB!$C$14:$C$198,C324)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SUMIFS(RAB!$F$14:$F$198,RAB!$C$14:$C$198,C325)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SUMIFS(RAB!$F$14:$F$198,RAB!$C$14:$C$198,C326)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SUMIFS(RAB!$F$14:$F$198,RAB!$C$14:$C$198,C327)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SUMIFS(RAB!$F$14:$F$198,RAB!$C$14:$C$198,C328)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SUMIFS(RAB!$F$14:$F$198,RAB!$C$14:$C$198,C329)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SUMIFS(RAB!$F$14:$F$198,RAB!$C$14:$C$198,C330)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SUMIFS(RAB!$F$14:$F$198,RAB!$C$14:$C$198,C331)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SUMIFS(RAB!$F$14:$F$198,RAB!$C$14:$C$198,C332)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SUMIFS(RAB!$F$14:$F$198,RAB!$C$14:$C$198,C333)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SUMIFS(RAB!$F$14:$F$198,RAB!$C$14:$C$198,C334)</f>
        <v>24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SUMIFS(RAB!$F$14:$F$198,RAB!$C$14:$C$198,C335)</f>
        <v>12</v>
      </c>
      <c r="E335" s="24">
        <f t="shared" ca="1" si="22"/>
        <v>1</v>
      </c>
      <c r="F335" s="24">
        <f ca="1">IF(D335=0,0,SUM($E$223:E335))</f>
        <v>7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SUMIFS(RAB!$F$14:$F$198,RAB!$C$14:$C$198,C336)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SUMIFS(RAB!$F$14:$F$198,RAB!$C$14:$C$198,C337)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SUMIFS(RAB!$F$14:$F$198,RAB!$C$14:$C$198,C338)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SUMIFS(RAB!$F$14:$F$198,RAB!$C$14:$C$198,C339)</f>
        <v>9</v>
      </c>
      <c r="E339" s="24">
        <f t="shared" ca="1" si="22"/>
        <v>1</v>
      </c>
      <c r="F339" s="24">
        <f ca="1">IF(D339=0,0,SUM($E$223:E339))</f>
        <v>8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SUMIFS(RAB!$F$14:$F$198,RAB!$C$14:$C$198,C340)</f>
        <v>2360</v>
      </c>
      <c r="E340" s="24">
        <f t="shared" ca="1" si="22"/>
        <v>1</v>
      </c>
      <c r="F340" s="24">
        <f ca="1">IF(D340=0,0,SUM($E$223:E340))</f>
        <v>9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SUMIFS(RAB!$F$14:$F$198,RAB!$C$14:$C$198,C341)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SUMIFS(RAB!$F$14:$F$198,RAB!$C$14:$C$198,C342)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SUMIFS(RAB!$F$14:$F$198,RAB!$C$14:$C$198,C343)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SUMIFS(RAB!$F$14:$F$198,RAB!$C$14:$C$198,C344)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SUMIFS(RAB!$F$14:$F$198,RAB!$C$14:$C$198,C345)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SUMIFS(RAB!$F$14:$F$198,RAB!$C$14:$C$198,C346)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SUMIFS(RAB!$F$14:$F$198,RAB!$C$14:$C$198,C347)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SUMIFS(RAB!$F$14:$F$198,RAB!$C$14:$C$198,C348)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SUMIFS(RAB!$F$14:$F$198,RAB!$C$14:$C$198,C349)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SUMIFS(RAB!$F$14:$F$198,RAB!$C$14:$C$198,C350)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SUMIFS(RAB!$F$14:$F$198,RAB!$C$14:$C$198,C351)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SUMIFS(RAB!$F$14:$F$198,RAB!$C$14:$C$198,C352)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SUMIFS(RAB!$F$14:$F$198,RAB!$C$14:$C$198,C353)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SUMIFS(RAB!$F$14:$F$198,RAB!$C$14:$C$198,C354)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SUMIFS(RAB!$F$14:$F$198,RAB!$C$14:$C$198,C355)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SUMIFS(RAB!$F$14:$F$198,RAB!$C$14:$C$198,C356)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SUMIFS(RAB!$F$14:$F$198,RAB!$C$14:$C$198,C357)</f>
        <v>35</v>
      </c>
      <c r="E357" s="24">
        <f t="shared" ca="1" si="23"/>
        <v>1</v>
      </c>
      <c r="F357" s="24">
        <f ca="1">IF(D357=0,0,SUM($E$223:E357))</f>
        <v>10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SUMIFS(RAB!$F$14:$F$198,RAB!$C$14:$C$198,C358)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SUMIFS(RAB!$F$14:$F$198,RAB!$C$14:$C$198,C359)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SUMIFS(RAB!$F$14:$F$198,RAB!$C$14:$C$198,C360)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SUMIFS(RAB!$F$14:$F$198,RAB!$C$14:$C$198,C361)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SUMIFS(RAB!$F$14:$F$198,RAB!$C$14:$C$198,C362)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SUMIFS(RAB!$F$14:$F$198,RAB!$C$14:$C$198,C363)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SUMIFS(RAB!$F$14:$F$198,RAB!$C$14:$C$198,C364)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SUMIFS(RAB!$F$14:$F$198,RAB!$C$14:$C$198,C365)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SUMIFS(RAB!$F$14:$F$198,RAB!$C$14:$C$198,C366)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SUMIFS(RAB!$F$14:$F$198,RAB!$C$14:$C$198,C367)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SUMIFS(RAB!$F$14:$F$198,RAB!$C$14:$C$198,C368)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SUMIFS(RAB!$F$14:$F$198,RAB!$C$14:$C$198,C369)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SUMIFS(RAB!$F$14:$F$198,RAB!$C$14:$C$198,C370)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SUMIFS(RAB!$F$14:$F$198,RAB!$C$14:$C$198,C371)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SUMIFS(RAB!$F$14:$F$198,RAB!$C$14:$C$198,C372)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SUMIFS(RAB!$F$14:$F$198,RAB!$C$14:$C$198,C373)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53" priority="5" operator="equal">
      <formula>0</formula>
    </cfRule>
  </conditionalFormatting>
  <conditionalFormatting sqref="C16:C165">
    <cfRule type="cellIs" dxfId="52" priority="4" stopIfTrue="1" operator="equal">
      <formula>0</formula>
    </cfRule>
  </conditionalFormatting>
  <conditionalFormatting sqref="C16:E165">
    <cfRule type="cellIs" dxfId="51" priority="1" operator="equal">
      <formula>0</formula>
    </cfRule>
  </conditionalFormatting>
  <conditionalFormatting sqref="D224:F373">
    <cfRule type="cellIs" dxfId="50" priority="8" operator="equal">
      <formula>0</formula>
    </cfRule>
  </conditionalFormatting>
  <conditionalFormatting sqref="E1:E3 G1:G115 E6:E15 H12:I12 N13 F14:F15 H14:K115 E166:K166 G166:G223 E167:F167 H167:K167">
    <cfRule type="cellIs" dxfId="49" priority="43" stopIfTrue="1" operator="equal">
      <formula>0</formula>
    </cfRule>
  </conditionalFormatting>
  <conditionalFormatting sqref="E171:E65536">
    <cfRule type="cellIs" dxfId="48" priority="9" stopIfTrue="1" operator="equal">
      <formula>0</formula>
    </cfRule>
  </conditionalFormatting>
  <conditionalFormatting sqref="G224">
    <cfRule type="cellIs" dxfId="47" priority="10" operator="equal">
      <formula>0</formula>
    </cfRule>
  </conditionalFormatting>
  <conditionalFormatting sqref="G225:G65536">
    <cfRule type="cellIs" dxfId="46" priority="14" stopIfTrue="1" operator="equal">
      <formula>0</formula>
    </cfRule>
  </conditionalFormatting>
  <conditionalFormatting sqref="R14:T166 G116:K165">
    <cfRule type="cellIs" dxfId="4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99" activePane="bottomRight" state="frozen"/>
      <selection activeCell="D209" sqref="D209"/>
      <selection pane="topRight" activeCell="D209" sqref="D209"/>
      <selection pane="bottomLeft" activeCell="D209" sqref="D209"/>
      <selection pane="bottomRight" activeCell="C211" sqref="C21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2" t="s">
        <v>41</v>
      </c>
      <c r="C2" s="56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3" t="s">
        <v>23</v>
      </c>
      <c r="C4" s="564" t="s">
        <v>1012</v>
      </c>
      <c r="D4" s="564" t="s">
        <v>42</v>
      </c>
      <c r="E4" s="563" t="s">
        <v>43</v>
      </c>
      <c r="F4" s="108" t="s">
        <v>1599</v>
      </c>
      <c r="G4" s="108" t="s">
        <v>1598</v>
      </c>
      <c r="H4" s="561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3"/>
      <c r="C5" s="564"/>
      <c r="D5" s="564"/>
      <c r="E5" s="563"/>
      <c r="F5" s="93"/>
      <c r="G5" s="93"/>
      <c r="H5" s="561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44" priority="4" operator="equal">
      <formula>0</formula>
    </cfRule>
  </conditionalFormatting>
  <conditionalFormatting sqref="B217 D217:G217">
    <cfRule type="cellIs" dxfId="43" priority="11" operator="equal">
      <formula>0</formula>
    </cfRule>
  </conditionalFormatting>
  <conditionalFormatting sqref="B8:C135">
    <cfRule type="cellIs" dxfId="42" priority="66" operator="equal">
      <formula>0</formula>
    </cfRule>
  </conditionalFormatting>
  <conditionalFormatting sqref="B216:G216">
    <cfRule type="cellIs" dxfId="41" priority="16" operator="equal">
      <formula>0</formula>
    </cfRule>
  </conditionalFormatting>
  <conditionalFormatting sqref="B218:G1496">
    <cfRule type="cellIs" dxfId="40" priority="1" operator="equal">
      <formula>0</formula>
    </cfRule>
  </conditionalFormatting>
  <conditionalFormatting sqref="C143:G149">
    <cfRule type="cellIs" dxfId="39" priority="20" operator="equal">
      <formula>0</formula>
    </cfRule>
  </conditionalFormatting>
  <conditionalFormatting sqref="D9:G142">
    <cfRule type="cellIs" dxfId="38" priority="26" operator="equal">
      <formula>0</formula>
    </cfRule>
  </conditionalFormatting>
  <conditionalFormatting sqref="D1:IV5 A1:C7 D6:K6 H1458:IV1460 H1461:XFD1488 H1489:H1496 I1489:XFD1497 A1497:H1497 A1498:XFD65539">
    <cfRule type="cellIs" dxfId="37" priority="178" operator="equal">
      <formula>0</formula>
    </cfRule>
  </conditionalFormatting>
  <conditionalFormatting sqref="D7:IV8 C136:C142 B136:B149 B150:G213 B214:B215 D214:G215">
    <cfRule type="cellIs" dxfId="36" priority="77" operator="equal">
      <formula>0</formula>
    </cfRule>
  </conditionalFormatting>
  <conditionalFormatting sqref="H9:H1421">
    <cfRule type="cellIs" dxfId="35" priority="3" operator="equal">
      <formula>0</formula>
    </cfRule>
  </conditionalFormatting>
  <conditionalFormatting sqref="H1422:I1457">
    <cfRule type="cellIs" dxfId="34" priority="143" operator="equal">
      <formula>0</formula>
    </cfRule>
  </conditionalFormatting>
  <conditionalFormatting sqref="I108:I1421">
    <cfRule type="cellIs" dxfId="33" priority="2" operator="equal">
      <formula>0</formula>
    </cfRule>
  </conditionalFormatting>
  <conditionalFormatting sqref="I9:IV107">
    <cfRule type="cellIs" dxfId="32" priority="153" operator="equal">
      <formula>0</formula>
    </cfRule>
  </conditionalFormatting>
  <conditionalFormatting sqref="J108:IV1457">
    <cfRule type="cellIs" dxfId="31" priority="5" operator="equal">
      <formula>0</formula>
    </cfRule>
  </conditionalFormatting>
  <conditionalFormatting sqref="M6:IV6">
    <cfRule type="cellIs" dxfId="30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55" zoomScaleNormal="55" zoomScaleSheetLayoutView="85" workbookViewId="0">
      <selection activeCell="M24" sqref="M2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6" t="s">
        <v>1453</v>
      </c>
      <c r="C2" s="596"/>
      <c r="D2" s="596"/>
      <c r="E2" s="596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1" t="s">
        <v>1528</v>
      </c>
      <c r="C4" s="602"/>
      <c r="D4" s="602"/>
      <c r="E4" s="603"/>
      <c r="F4" s="372"/>
      <c r="G4" s="372"/>
      <c r="H4" s="373"/>
      <c r="I4" s="565" t="s">
        <v>1529</v>
      </c>
      <c r="J4" s="566"/>
      <c r="K4" s="566"/>
      <c r="L4" s="567"/>
    </row>
    <row r="5" spans="1:12" ht="34.5" customHeight="1">
      <c r="A5" s="193"/>
      <c r="B5" s="375" t="s">
        <v>1378</v>
      </c>
      <c r="C5" s="224" t="s">
        <v>9</v>
      </c>
      <c r="D5" s="597" t="str">
        <f>DATA!D14</f>
        <v>MOH FAIZIN</v>
      </c>
      <c r="E5" s="598"/>
      <c r="F5" s="197"/>
      <c r="G5" s="197"/>
      <c r="I5" s="376" t="s">
        <v>1378</v>
      </c>
      <c r="J5" s="224" t="s">
        <v>9</v>
      </c>
      <c r="K5" s="568" t="str">
        <f>D5</f>
        <v>MOH FAIZIN</v>
      </c>
      <c r="L5" s="569"/>
    </row>
    <row r="6" spans="1:12" ht="31.5" customHeight="1">
      <c r="A6" s="193"/>
      <c r="B6" s="375" t="s">
        <v>1525</v>
      </c>
      <c r="C6" s="224" t="s">
        <v>9</v>
      </c>
      <c r="D6" s="606">
        <f>DATA!D17*1000</f>
        <v>0</v>
      </c>
      <c r="E6" s="607"/>
      <c r="F6" s="197"/>
      <c r="G6" s="197"/>
      <c r="I6" s="376" t="s">
        <v>1526</v>
      </c>
      <c r="J6" s="224" t="s">
        <v>9</v>
      </c>
      <c r="K6" s="570">
        <f>DATA!D20*1000</f>
        <v>131000</v>
      </c>
      <c r="L6" s="571"/>
    </row>
    <row r="7" spans="1:12" ht="30.75" customHeight="1">
      <c r="A7" s="193"/>
      <c r="B7" s="375" t="s">
        <v>1440</v>
      </c>
      <c r="C7" s="224" t="s">
        <v>9</v>
      </c>
      <c r="D7" s="604">
        <f>DATA!D18</f>
        <v>1</v>
      </c>
      <c r="E7" s="605"/>
      <c r="F7" s="374" t="s">
        <v>1452</v>
      </c>
      <c r="I7" s="376" t="s">
        <v>1440</v>
      </c>
      <c r="J7" s="224" t="s">
        <v>9</v>
      </c>
      <c r="K7" s="572">
        <f>DATA!D21</f>
        <v>3</v>
      </c>
      <c r="L7" s="573"/>
    </row>
    <row r="8" spans="1:12" ht="51" customHeight="1">
      <c r="A8" s="193"/>
      <c r="B8" s="375" t="s">
        <v>1441</v>
      </c>
      <c r="C8" s="224" t="s">
        <v>9</v>
      </c>
      <c r="D8" s="604">
        <f>DATA!D19</f>
        <v>220</v>
      </c>
      <c r="E8" s="605"/>
      <c r="F8" s="374" t="s">
        <v>1452</v>
      </c>
      <c r="G8" s="369">
        <v>220</v>
      </c>
      <c r="I8" s="376" t="s">
        <v>1441</v>
      </c>
      <c r="J8" s="224" t="s">
        <v>9</v>
      </c>
      <c r="K8" s="572">
        <f>DATA!D22</f>
        <v>380</v>
      </c>
      <c r="L8" s="573"/>
    </row>
    <row r="9" spans="1:12" ht="30" customHeight="1" thickBot="1">
      <c r="A9" s="193"/>
      <c r="B9" s="381" t="s">
        <v>1537</v>
      </c>
      <c r="C9" s="371" t="s">
        <v>9</v>
      </c>
      <c r="D9" s="599">
        <f>IF(D7=1,D6/(380/3^0.5),(D6/(380*3^0.5)))</f>
        <v>0</v>
      </c>
      <c r="E9" s="600"/>
      <c r="F9" s="196"/>
      <c r="G9" s="370">
        <v>380</v>
      </c>
      <c r="I9" s="382" t="s">
        <v>1537</v>
      </c>
      <c r="J9" s="371" t="s">
        <v>9</v>
      </c>
      <c r="K9" s="576">
        <f>IF(K7=1,K6/(380/3^0.5),(K6/(380*3^0.5)))</f>
        <v>199.03390858905522</v>
      </c>
      <c r="L9" s="577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08"/>
      <c r="E12" s="609"/>
      <c r="F12" s="197"/>
      <c r="G12" s="197"/>
      <c r="I12" s="398" t="s">
        <v>1530</v>
      </c>
      <c r="J12" s="399" t="s">
        <v>9</v>
      </c>
      <c r="K12" s="608" t="s">
        <v>1653</v>
      </c>
      <c r="L12" s="609"/>
    </row>
    <row r="13" spans="1:12" ht="31.5" customHeight="1">
      <c r="A13" s="193"/>
      <c r="B13" s="406" t="s">
        <v>1379</v>
      </c>
      <c r="C13" s="386" t="s">
        <v>9</v>
      </c>
      <c r="D13" s="574"/>
      <c r="E13" s="575"/>
      <c r="F13" s="197"/>
      <c r="G13" s="197"/>
      <c r="I13" s="400" t="s">
        <v>1379</v>
      </c>
      <c r="J13" s="386" t="s">
        <v>9</v>
      </c>
      <c r="K13" s="574" t="s">
        <v>1635</v>
      </c>
      <c r="L13" s="575"/>
    </row>
    <row r="14" spans="1:12" ht="30.75" customHeight="1">
      <c r="A14" s="193"/>
      <c r="B14" s="406" t="s">
        <v>1531</v>
      </c>
      <c r="C14" s="386" t="s">
        <v>9</v>
      </c>
      <c r="D14" s="578"/>
      <c r="E14" s="579"/>
      <c r="F14" s="374" t="s">
        <v>1452</v>
      </c>
      <c r="G14" s="378">
        <v>50</v>
      </c>
      <c r="I14" s="400" t="s">
        <v>1531</v>
      </c>
      <c r="J14" s="386" t="s">
        <v>9</v>
      </c>
      <c r="K14" s="580">
        <v>160</v>
      </c>
      <c r="L14" s="581"/>
    </row>
    <row r="15" spans="1:12" ht="57" customHeight="1">
      <c r="A15" s="193"/>
      <c r="B15" s="406" t="s">
        <v>1440</v>
      </c>
      <c r="C15" s="386" t="s">
        <v>9</v>
      </c>
      <c r="D15" s="392"/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82">
        <v>0</v>
      </c>
      <c r="E16" s="583"/>
      <c r="F16" s="374"/>
      <c r="G16" s="378">
        <v>160</v>
      </c>
      <c r="I16" s="400" t="s">
        <v>1533</v>
      </c>
      <c r="J16" s="386" t="s">
        <v>9</v>
      </c>
      <c r="K16" s="586">
        <f>K9</f>
        <v>199.03390858905522</v>
      </c>
      <c r="L16" s="587"/>
    </row>
    <row r="17" spans="1:12" ht="34.5" customHeight="1">
      <c r="A17" s="193"/>
      <c r="B17" s="406" t="s">
        <v>1534</v>
      </c>
      <c r="C17" s="386" t="s">
        <v>9</v>
      </c>
      <c r="D17" s="584">
        <f>IF(D15=1,D14/(20/3^0.5),(D14/(20*3^0.5)))</f>
        <v>0</v>
      </c>
      <c r="E17" s="585"/>
      <c r="F17" s="374" t="s">
        <v>1452</v>
      </c>
      <c r="G17" s="379">
        <v>200</v>
      </c>
      <c r="I17" s="400" t="s">
        <v>1534</v>
      </c>
      <c r="J17" s="386" t="s">
        <v>9</v>
      </c>
      <c r="K17" s="590">
        <f>IF(K15=1,K14/(20/3^0.5),(K14/(20*3^0.5)))</f>
        <v>4.6188021535170067</v>
      </c>
      <c r="L17" s="591"/>
    </row>
    <row r="18" spans="1:12" ht="34.5" customHeight="1">
      <c r="A18" s="193"/>
      <c r="B18" s="406" t="s">
        <v>1535</v>
      </c>
      <c r="C18" s="386" t="s">
        <v>9</v>
      </c>
      <c r="D18" s="584">
        <f>IF(D15=1,D14/(380/3^0.5),(D14/(380*3^0.5)))*1000</f>
        <v>0</v>
      </c>
      <c r="E18" s="585"/>
      <c r="F18" s="374" t="s">
        <v>1452</v>
      </c>
      <c r="G18" s="379">
        <v>250</v>
      </c>
      <c r="I18" s="400" t="s">
        <v>1535</v>
      </c>
      <c r="J18" s="386" t="s">
        <v>9</v>
      </c>
      <c r="K18" s="590">
        <f>IF(K15=1,K14/(380/3^0.5),(K14/(380*3^0.5)))*1000</f>
        <v>243.0948501851056</v>
      </c>
      <c r="L18" s="591"/>
    </row>
    <row r="19" spans="1:12" ht="30" customHeight="1">
      <c r="A19" s="193"/>
      <c r="B19" s="407" t="s">
        <v>1527</v>
      </c>
      <c r="C19" s="385" t="s">
        <v>9</v>
      </c>
      <c r="D19" s="584">
        <f>IF(D15=1,D14/(380/3^0.5),(D14/(380*3^0.5)))</f>
        <v>0</v>
      </c>
      <c r="E19" s="585"/>
      <c r="F19" s="196"/>
      <c r="G19" s="370"/>
      <c r="I19" s="402" t="s">
        <v>1527</v>
      </c>
      <c r="J19" s="385" t="s">
        <v>9</v>
      </c>
      <c r="K19" s="590">
        <f>IF(K15=1,K14/(380/3^0.5),(K14/(380*3^0.5)))</f>
        <v>0.2430948501851056</v>
      </c>
      <c r="L19" s="591"/>
    </row>
    <row r="20" spans="1:12" ht="30" customHeight="1" thickBot="1">
      <c r="A20" s="193"/>
      <c r="B20" s="408" t="s">
        <v>1536</v>
      </c>
      <c r="C20" s="404" t="s">
        <v>9</v>
      </c>
      <c r="D20" s="610" t="e">
        <f>D16/D18</f>
        <v>#DIV/0!</v>
      </c>
      <c r="E20" s="611"/>
      <c r="F20" s="196"/>
      <c r="G20" s="370"/>
      <c r="I20" s="403" t="s">
        <v>1527</v>
      </c>
      <c r="J20" s="404" t="s">
        <v>9</v>
      </c>
      <c r="K20" s="588">
        <f>K16/K18</f>
        <v>0.81874999999999998</v>
      </c>
      <c r="L20" s="589"/>
    </row>
    <row r="21" spans="1:12" ht="9.75" customHeight="1">
      <c r="A21" s="193"/>
      <c r="B21" s="393" t="s">
        <v>1536</v>
      </c>
      <c r="C21" s="394" t="s">
        <v>9</v>
      </c>
      <c r="D21" s="595">
        <v>1</v>
      </c>
      <c r="E21" s="595"/>
      <c r="F21" s="395"/>
      <c r="G21" s="396"/>
      <c r="H21" s="397"/>
      <c r="I21" s="393" t="s">
        <v>1527</v>
      </c>
      <c r="J21" s="394" t="s">
        <v>9</v>
      </c>
      <c r="K21" s="595">
        <v>1</v>
      </c>
      <c r="L21" s="595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92"/>
      <c r="C24" s="593"/>
      <c r="D24" s="593"/>
      <c r="E24" s="594"/>
      <c r="I24" s="592"/>
      <c r="J24" s="593"/>
      <c r="K24" s="593"/>
      <c r="L24" s="594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9" priority="5" stopIfTrue="1" operator="greaterThan">
      <formula>0.89</formula>
    </cfRule>
    <cfRule type="cellIs" dxfId="2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20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2"/>
      <c r="C1" s="612"/>
      <c r="D1" s="612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131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126939000</v>
      </c>
    </row>
    <row r="10" spans="2:11" ht="20.100000000000001" customHeight="1">
      <c r="B10" s="238" t="s">
        <v>1445</v>
      </c>
      <c r="C10" s="239" t="s">
        <v>9</v>
      </c>
      <c r="D10" s="245">
        <f ca="1">RAB!K204</f>
        <v>293287943.55084997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5865758.8710169997</v>
      </c>
    </row>
    <row r="12" spans="2:11" ht="9" customHeight="1">
      <c r="B12" s="613"/>
      <c r="C12" s="613"/>
      <c r="D12" s="613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MOH FAIZIN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1630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/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131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20" t="s">
        <v>1356</v>
      </c>
      <c r="C3" s="620"/>
      <c r="D3" s="620"/>
      <c r="E3" s="620"/>
      <c r="F3" s="252" t="str">
        <f>DATA!D14</f>
        <v>MOH FAIZIN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4" t="s">
        <v>1348</v>
      </c>
      <c r="C5" s="614" t="s">
        <v>1357</v>
      </c>
      <c r="D5" s="619" t="s">
        <v>1358</v>
      </c>
      <c r="E5" s="619" t="s">
        <v>1359</v>
      </c>
      <c r="F5" s="614" t="s">
        <v>1360</v>
      </c>
      <c r="G5" s="614"/>
      <c r="H5" s="614"/>
      <c r="I5" s="614"/>
      <c r="J5" s="614"/>
      <c r="K5" s="614" t="s">
        <v>1361</v>
      </c>
      <c r="L5" s="614"/>
      <c r="M5" s="254"/>
      <c r="N5" s="617" t="s">
        <v>1362</v>
      </c>
      <c r="O5" s="619" t="s">
        <v>1363</v>
      </c>
      <c r="P5" s="619" t="s">
        <v>1364</v>
      </c>
      <c r="Q5" s="619" t="s">
        <v>1365</v>
      </c>
      <c r="R5" s="255"/>
      <c r="S5" s="256"/>
      <c r="T5" s="615" t="s">
        <v>1366</v>
      </c>
      <c r="U5" s="257"/>
    </row>
    <row r="6" spans="1:21" ht="20.100000000000001" customHeight="1">
      <c r="B6" s="614"/>
      <c r="C6" s="614"/>
      <c r="D6" s="614"/>
      <c r="E6" s="614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8"/>
      <c r="O6" s="614"/>
      <c r="P6" s="614"/>
      <c r="Q6" s="614"/>
      <c r="R6" s="255"/>
      <c r="S6" s="256"/>
      <c r="T6" s="614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20960</v>
      </c>
      <c r="D7" s="263">
        <f>C7*4/24</f>
        <v>3493.3333333333335</v>
      </c>
      <c r="E7" s="263">
        <f>C7-D7</f>
        <v>17466.666666666668</v>
      </c>
      <c r="F7" s="264">
        <f ca="1">DATA!D10/1000000</f>
        <v>293.28794355085</v>
      </c>
      <c r="G7" s="265">
        <f ca="1">DATA!$D$11/1000000</f>
        <v>5.8657588710169994</v>
      </c>
      <c r="H7" s="265">
        <f>C7*DATA!$D$5/1000000</f>
        <v>22.723260961782803</v>
      </c>
      <c r="I7" s="265">
        <f>(C7*DATA!$D$5*DATA!$D$7)/1000000</f>
        <v>0.51127337164011299</v>
      </c>
      <c r="J7" s="263">
        <f ca="1">SUM(F7:I7)</f>
        <v>322.38823675528994</v>
      </c>
      <c r="K7" s="266">
        <f>DATA!D9/1000000</f>
        <v>126.93899999999999</v>
      </c>
      <c r="L7" s="263">
        <f>((D7*DATA!$D$23)/1000000)+((E7*DATA!$D$24)/1000000)</f>
        <v>30.280912000000004</v>
      </c>
      <c r="M7" s="263">
        <f>K7+L7</f>
        <v>157.21991199999999</v>
      </c>
      <c r="N7" s="263">
        <f ca="1">M7-J7</f>
        <v>-165.16832475528994</v>
      </c>
      <c r="O7" s="261">
        <v>1</v>
      </c>
      <c r="P7" s="263">
        <f ca="1">O7*N7</f>
        <v>-165.16832475528994</v>
      </c>
      <c r="Q7" s="263">
        <f ca="1">P7</f>
        <v>-165.16832475528994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62880</v>
      </c>
      <c r="D8" s="263">
        <f>C8*4/24</f>
        <v>10480</v>
      </c>
      <c r="E8" s="263">
        <f t="shared" ref="E8:E32" si="0">C8-D8</f>
        <v>52400</v>
      </c>
      <c r="F8" s="261"/>
      <c r="G8" s="265">
        <f ca="1">DATA!$D$11/1000000</f>
        <v>5.8657588710169994</v>
      </c>
      <c r="H8" s="265">
        <f>C8*DATA!$D$5/1000000</f>
        <v>68.169782885348411</v>
      </c>
      <c r="I8" s="265">
        <f>(C8*DATA!$D$5*DATA!$D$7)/1000000</f>
        <v>1.533820114920339</v>
      </c>
      <c r="J8" s="263">
        <f t="shared" ref="J8:J32" ca="1" si="1">SUM(F8:I8)</f>
        <v>75.56936187128575</v>
      </c>
      <c r="K8" s="268"/>
      <c r="L8" s="263">
        <f>((D8*DATA!$D$23)/1000000)+((E8*DATA!$D$24)/1000000)</f>
        <v>90.842736000000002</v>
      </c>
      <c r="M8" s="263">
        <f t="shared" ref="M8:M32" si="2">K8+L8</f>
        <v>90.842736000000002</v>
      </c>
      <c r="N8" s="263">
        <f ca="1">M8-J8</f>
        <v>15.273374128714252</v>
      </c>
      <c r="O8" s="262">
        <f>1/(1+'[93]Asumsi I'!$C$3)^(KKF!A8)</f>
        <v>0.89285714285714279</v>
      </c>
      <c r="P8" s="263">
        <f ca="1">O8*N8</f>
        <v>13.63694118635201</v>
      </c>
      <c r="Q8" s="263">
        <f ca="1">Q7+P8</f>
        <v>-151.53138356893794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62880</v>
      </c>
      <c r="D9" s="263">
        <f t="shared" ref="D9:D32" si="5">C9*4/24</f>
        <v>10480</v>
      </c>
      <c r="E9" s="263">
        <f t="shared" si="0"/>
        <v>52400</v>
      </c>
      <c r="F9" s="261"/>
      <c r="G9" s="265">
        <f ca="1">DATA!$D$11/1000000</f>
        <v>5.8657588710169994</v>
      </c>
      <c r="H9" s="265">
        <f>C9*DATA!$D$5/1000000</f>
        <v>68.169782885348411</v>
      </c>
      <c r="I9" s="265">
        <f>(C9*DATA!$D$5*DATA!$D$7)/1000000</f>
        <v>1.533820114920339</v>
      </c>
      <c r="J9" s="263">
        <f t="shared" ca="1" si="1"/>
        <v>75.56936187128575</v>
      </c>
      <c r="K9" s="263"/>
      <c r="L9" s="263">
        <f>((D9*DATA!$D$23)/1000000)+((E9*DATA!$D$24)/1000000)</f>
        <v>90.842736000000002</v>
      </c>
      <c r="M9" s="263">
        <f t="shared" si="2"/>
        <v>90.842736000000002</v>
      </c>
      <c r="N9" s="263">
        <f t="shared" ref="N9:N32" ca="1" si="6">M9-J9</f>
        <v>15.273374128714252</v>
      </c>
      <c r="O9" s="269">
        <f>1/(1+'[93]Asumsi I'!$C$3)^(KKF!A9)</f>
        <v>0.79719387755102034</v>
      </c>
      <c r="P9" s="263">
        <f t="shared" ref="P9:P32" ca="1" si="7">O9*N9</f>
        <v>12.175840344957152</v>
      </c>
      <c r="Q9" s="263">
        <f ca="1">Q8+P9</f>
        <v>-139.35554322398079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62880</v>
      </c>
      <c r="D10" s="263">
        <f t="shared" si="5"/>
        <v>10480</v>
      </c>
      <c r="E10" s="263">
        <f t="shared" si="0"/>
        <v>52400</v>
      </c>
      <c r="F10" s="261"/>
      <c r="G10" s="265">
        <f ca="1">DATA!$D$11/1000000</f>
        <v>5.8657588710169994</v>
      </c>
      <c r="H10" s="265">
        <f>C10*DATA!$D$5/1000000</f>
        <v>68.169782885348411</v>
      </c>
      <c r="I10" s="265">
        <f>(C10*DATA!$D$5*DATA!$D$7)/1000000</f>
        <v>1.533820114920339</v>
      </c>
      <c r="J10" s="263">
        <f t="shared" ca="1" si="1"/>
        <v>75.56936187128575</v>
      </c>
      <c r="K10" s="261"/>
      <c r="L10" s="263">
        <f>((D10*DATA!$D$23)/1000000)+((E10*DATA!$D$24)/1000000)</f>
        <v>90.842736000000002</v>
      </c>
      <c r="M10" s="263">
        <f t="shared" si="2"/>
        <v>90.842736000000002</v>
      </c>
      <c r="N10" s="263">
        <f t="shared" ca="1" si="6"/>
        <v>15.273374128714252</v>
      </c>
      <c r="O10" s="262">
        <f>1/(1+'[93]Asumsi I'!$C$3)^(KKF!A10)</f>
        <v>0.71178024781341087</v>
      </c>
      <c r="P10" s="263">
        <f t="shared" ca="1" si="7"/>
        <v>10.871286022283169</v>
      </c>
      <c r="Q10" s="263">
        <f t="shared" ref="Q10:Q30" ca="1" si="9">Q9+P10</f>
        <v>-128.48425720169763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62880</v>
      </c>
      <c r="D11" s="263">
        <f t="shared" si="5"/>
        <v>10480</v>
      </c>
      <c r="E11" s="263">
        <f t="shared" si="0"/>
        <v>52400</v>
      </c>
      <c r="F11" s="261"/>
      <c r="G11" s="265">
        <f ca="1">DATA!$D$11/1000000</f>
        <v>5.8657588710169994</v>
      </c>
      <c r="H11" s="265">
        <f>C11*DATA!$D$5/1000000</f>
        <v>68.169782885348411</v>
      </c>
      <c r="I11" s="265">
        <f>(C11*DATA!$D$5*DATA!$D$7)/1000000</f>
        <v>1.533820114920339</v>
      </c>
      <c r="J11" s="263">
        <f t="shared" ca="1" si="1"/>
        <v>75.56936187128575</v>
      </c>
      <c r="K11" s="261"/>
      <c r="L11" s="263">
        <f>((D11*DATA!$D$23)/1000000)+((E11*DATA!$D$24)/1000000)</f>
        <v>90.842736000000002</v>
      </c>
      <c r="M11" s="263">
        <f t="shared" si="2"/>
        <v>90.842736000000002</v>
      </c>
      <c r="N11" s="263">
        <f t="shared" ca="1" si="6"/>
        <v>15.273374128714252</v>
      </c>
      <c r="O11" s="262">
        <f>1/(1+'[93]Asumsi I'!$C$3)^(KKF!A11)</f>
        <v>0.63551807840483121</v>
      </c>
      <c r="P11" s="263">
        <f t="shared" ca="1" si="7"/>
        <v>9.7065053770385443</v>
      </c>
      <c r="Q11" s="263">
        <f t="shared" ca="1" si="9"/>
        <v>-118.77775182465909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62880</v>
      </c>
      <c r="D12" s="263">
        <f t="shared" si="5"/>
        <v>10480</v>
      </c>
      <c r="E12" s="263">
        <f t="shared" si="0"/>
        <v>52400</v>
      </c>
      <c r="F12" s="261"/>
      <c r="G12" s="265">
        <f ca="1">DATA!$D$11/1000000</f>
        <v>5.8657588710169994</v>
      </c>
      <c r="H12" s="265">
        <f>C12*DATA!$D$5/1000000</f>
        <v>68.169782885348411</v>
      </c>
      <c r="I12" s="265">
        <f>(C12*DATA!$D$5*DATA!$D$7)/1000000</f>
        <v>1.533820114920339</v>
      </c>
      <c r="J12" s="263">
        <f t="shared" ca="1" si="1"/>
        <v>75.56936187128575</v>
      </c>
      <c r="K12" s="261"/>
      <c r="L12" s="263">
        <f>((D12*DATA!$D$23)/1000000)+((E12*DATA!$D$24)/1000000)</f>
        <v>90.842736000000002</v>
      </c>
      <c r="M12" s="263">
        <f t="shared" si="2"/>
        <v>90.842736000000002</v>
      </c>
      <c r="N12" s="263">
        <f t="shared" ca="1" si="6"/>
        <v>15.273374128714252</v>
      </c>
      <c r="O12" s="262">
        <f>1/(1+'[93]Asumsi I'!$C$3)^(KKF!A12)</f>
        <v>0.56742685571859919</v>
      </c>
      <c r="P12" s="263">
        <f t="shared" ca="1" si="7"/>
        <v>8.6665226580701269</v>
      </c>
      <c r="Q12" s="263">
        <f t="shared" ca="1" si="9"/>
        <v>-110.11122916658897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62880</v>
      </c>
      <c r="D13" s="263">
        <f t="shared" si="5"/>
        <v>10480</v>
      </c>
      <c r="E13" s="263">
        <f t="shared" si="0"/>
        <v>52400</v>
      </c>
      <c r="F13" s="261"/>
      <c r="G13" s="265">
        <f ca="1">DATA!$D$11/1000000</f>
        <v>5.8657588710169994</v>
      </c>
      <c r="H13" s="265">
        <f>C13*DATA!$D$5/1000000</f>
        <v>68.169782885348411</v>
      </c>
      <c r="I13" s="265">
        <f>(C13*DATA!$D$5*DATA!$D$7)/1000000</f>
        <v>1.533820114920339</v>
      </c>
      <c r="J13" s="263">
        <f t="shared" ca="1" si="1"/>
        <v>75.56936187128575</v>
      </c>
      <c r="K13" s="261"/>
      <c r="L13" s="263">
        <f>((D13*DATA!$D$23)/1000000)+((E13*DATA!$D$24)/1000000)</f>
        <v>90.842736000000002</v>
      </c>
      <c r="M13" s="263">
        <f t="shared" si="2"/>
        <v>90.842736000000002</v>
      </c>
      <c r="N13" s="263">
        <f t="shared" ca="1" si="6"/>
        <v>15.273374128714252</v>
      </c>
      <c r="O13" s="262">
        <f>1/(1+'[93]Asumsi I'!$C$3)^(KKF!A13)</f>
        <v>0.50663112117732068</v>
      </c>
      <c r="P13" s="263">
        <f t="shared" ca="1" si="7"/>
        <v>7.7379666589911853</v>
      </c>
      <c r="Q13" s="263">
        <f t="shared" ca="1" si="9"/>
        <v>-102.37326250759779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62880</v>
      </c>
      <c r="D14" s="263">
        <f t="shared" si="5"/>
        <v>10480</v>
      </c>
      <c r="E14" s="263">
        <f t="shared" si="0"/>
        <v>52400</v>
      </c>
      <c r="F14" s="261"/>
      <c r="G14" s="265">
        <f ca="1">DATA!$D$11/1000000</f>
        <v>5.8657588710169994</v>
      </c>
      <c r="H14" s="265">
        <f>C14*DATA!$D$5/1000000</f>
        <v>68.169782885348411</v>
      </c>
      <c r="I14" s="265">
        <f>(C14*DATA!$D$5*DATA!$D$7)/1000000</f>
        <v>1.533820114920339</v>
      </c>
      <c r="J14" s="263">
        <f t="shared" ca="1" si="1"/>
        <v>75.56936187128575</v>
      </c>
      <c r="K14" s="261"/>
      <c r="L14" s="263">
        <f>((D14*DATA!$D$23)/1000000)+((E14*DATA!$D$24)/1000000)</f>
        <v>90.842736000000002</v>
      </c>
      <c r="M14" s="263">
        <f t="shared" si="2"/>
        <v>90.842736000000002</v>
      </c>
      <c r="N14" s="263">
        <f t="shared" ca="1" si="6"/>
        <v>15.273374128714252</v>
      </c>
      <c r="O14" s="262">
        <f>1/(1+'[93]Asumsi I'!$C$3)^(KKF!A14)</f>
        <v>0.45234921533689343</v>
      </c>
      <c r="P14" s="263">
        <f t="shared" ca="1" si="7"/>
        <v>6.9088988026707003</v>
      </c>
      <c r="Q14" s="263">
        <f t="shared" ca="1" si="9"/>
        <v>-95.464363704927081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62880</v>
      </c>
      <c r="D15" s="263">
        <f t="shared" si="5"/>
        <v>10480</v>
      </c>
      <c r="E15" s="263">
        <f t="shared" si="0"/>
        <v>52400</v>
      </c>
      <c r="F15" s="261"/>
      <c r="G15" s="265">
        <f ca="1">DATA!$D$11/1000000</f>
        <v>5.8657588710169994</v>
      </c>
      <c r="H15" s="265">
        <f>C15*DATA!$D$5/1000000</f>
        <v>68.169782885348411</v>
      </c>
      <c r="I15" s="265">
        <f>(C15*DATA!$D$5*DATA!$D$7)/1000000</f>
        <v>1.533820114920339</v>
      </c>
      <c r="J15" s="263">
        <f t="shared" ca="1" si="1"/>
        <v>75.56936187128575</v>
      </c>
      <c r="K15" s="261"/>
      <c r="L15" s="263">
        <f>((D15*DATA!$D$23)/1000000)+((E15*DATA!$D$24)/1000000)</f>
        <v>90.842736000000002</v>
      </c>
      <c r="M15" s="263">
        <f t="shared" si="2"/>
        <v>90.842736000000002</v>
      </c>
      <c r="N15" s="263">
        <f t="shared" ca="1" si="6"/>
        <v>15.273374128714252</v>
      </c>
      <c r="O15" s="262">
        <f>1/(1+'[93]Asumsi I'!$C$3)^(KKF!A15)</f>
        <v>0.4038832279793691</v>
      </c>
      <c r="P15" s="263">
        <f t="shared" ca="1" si="7"/>
        <v>6.1686596452416964</v>
      </c>
      <c r="Q15" s="263">
        <f t="shared" ca="1" si="9"/>
        <v>-89.295704059685391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62880</v>
      </c>
      <c r="D16" s="263">
        <f t="shared" si="5"/>
        <v>10480</v>
      </c>
      <c r="E16" s="263">
        <f t="shared" si="0"/>
        <v>52400</v>
      </c>
      <c r="F16" s="261"/>
      <c r="G16" s="265">
        <f ca="1">DATA!$D$11/1000000</f>
        <v>5.8657588710169994</v>
      </c>
      <c r="H16" s="265">
        <f>C16*DATA!$D$5/1000000</f>
        <v>68.169782885348411</v>
      </c>
      <c r="I16" s="265">
        <f>(C16*DATA!$D$5*DATA!$D$7)/1000000</f>
        <v>1.533820114920339</v>
      </c>
      <c r="J16" s="263">
        <f t="shared" ca="1" si="1"/>
        <v>75.56936187128575</v>
      </c>
      <c r="K16" s="261"/>
      <c r="L16" s="263">
        <f>((D16*DATA!$D$23)/1000000)+((E16*DATA!$D$24)/1000000)</f>
        <v>90.842736000000002</v>
      </c>
      <c r="M16" s="263">
        <f t="shared" si="2"/>
        <v>90.842736000000002</v>
      </c>
      <c r="N16" s="263">
        <f t="shared" ca="1" si="6"/>
        <v>15.273374128714252</v>
      </c>
      <c r="O16" s="262">
        <f>1/(1+'[93]Asumsi I'!$C$3)^(KKF!A16)</f>
        <v>0.36061002498157957</v>
      </c>
      <c r="P16" s="263">
        <f t="shared" ca="1" si="7"/>
        <v>5.5077318261086576</v>
      </c>
      <c r="Q16" s="263">
        <f t="shared" ca="1" si="9"/>
        <v>-83.787972233576738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62880</v>
      </c>
      <c r="D17" s="263">
        <f t="shared" si="5"/>
        <v>10480</v>
      </c>
      <c r="E17" s="263">
        <f t="shared" si="0"/>
        <v>52400</v>
      </c>
      <c r="F17" s="261"/>
      <c r="G17" s="265">
        <f ca="1">DATA!$D$11/1000000</f>
        <v>5.8657588710169994</v>
      </c>
      <c r="H17" s="265">
        <f>C17*DATA!$D$5/1000000</f>
        <v>68.169782885348411</v>
      </c>
      <c r="I17" s="265">
        <f>(C17*DATA!$D$5*DATA!$D$7)/1000000</f>
        <v>1.533820114920339</v>
      </c>
      <c r="J17" s="263">
        <f t="shared" ca="1" si="1"/>
        <v>75.56936187128575</v>
      </c>
      <c r="K17" s="261"/>
      <c r="L17" s="263">
        <f>((D17*DATA!$D$23)/1000000)+((E17*DATA!$D$24)/1000000)</f>
        <v>90.842736000000002</v>
      </c>
      <c r="M17" s="263">
        <f t="shared" si="2"/>
        <v>90.842736000000002</v>
      </c>
      <c r="N17" s="263">
        <f t="shared" ca="1" si="6"/>
        <v>15.273374128714252</v>
      </c>
      <c r="O17" s="262">
        <f>1/(1+'[93]Asumsi I'!$C$3)^(KKF!A17)</f>
        <v>0.32197323659069599</v>
      </c>
      <c r="P17" s="263">
        <f t="shared" ca="1" si="7"/>
        <v>4.9176177018827287</v>
      </c>
      <c r="Q17" s="263">
        <f t="shared" ca="1" si="9"/>
        <v>-78.870354531694005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62880</v>
      </c>
      <c r="D18" s="263">
        <f t="shared" si="5"/>
        <v>10480</v>
      </c>
      <c r="E18" s="263">
        <f t="shared" si="0"/>
        <v>52400</v>
      </c>
      <c r="F18" s="261"/>
      <c r="G18" s="265">
        <f ca="1">DATA!$D$11/1000000</f>
        <v>5.8657588710169994</v>
      </c>
      <c r="H18" s="265">
        <f>C18*DATA!$D$5/1000000</f>
        <v>68.169782885348411</v>
      </c>
      <c r="I18" s="265">
        <f>(C18*DATA!$D$5*DATA!$D$7)/1000000</f>
        <v>1.533820114920339</v>
      </c>
      <c r="J18" s="263">
        <f t="shared" ca="1" si="1"/>
        <v>75.56936187128575</v>
      </c>
      <c r="K18" s="261"/>
      <c r="L18" s="263">
        <f>((D18*DATA!$D$23)/1000000)+((E18*DATA!$D$24)/1000000)</f>
        <v>90.842736000000002</v>
      </c>
      <c r="M18" s="263">
        <f t="shared" si="2"/>
        <v>90.842736000000002</v>
      </c>
      <c r="N18" s="263">
        <f t="shared" ca="1" si="6"/>
        <v>15.273374128714252</v>
      </c>
      <c r="O18" s="262">
        <f>1/(1+'[93]Asumsi I'!$C$3)^(KKF!A18)</f>
        <v>0.28747610409883567</v>
      </c>
      <c r="P18" s="263">
        <f t="shared" ca="1" si="7"/>
        <v>4.3907300909667217</v>
      </c>
      <c r="Q18" s="263">
        <f t="shared" ca="1" si="9"/>
        <v>-74.479624440727278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62880</v>
      </c>
      <c r="D19" s="263">
        <f t="shared" si="5"/>
        <v>10480</v>
      </c>
      <c r="E19" s="263">
        <f t="shared" si="0"/>
        <v>52400</v>
      </c>
      <c r="F19" s="261"/>
      <c r="G19" s="265">
        <f ca="1">DATA!$D$11/1000000</f>
        <v>5.8657588710169994</v>
      </c>
      <c r="H19" s="265">
        <f>C19*DATA!$D$5/1000000</f>
        <v>68.169782885348411</v>
      </c>
      <c r="I19" s="265">
        <f>(C19*DATA!$D$5*DATA!$D$7)/1000000</f>
        <v>1.533820114920339</v>
      </c>
      <c r="J19" s="263">
        <f t="shared" ca="1" si="1"/>
        <v>75.56936187128575</v>
      </c>
      <c r="K19" s="261"/>
      <c r="L19" s="263">
        <f>((D19*DATA!$D$23)/1000000)+((E19*DATA!$D$24)/1000000)</f>
        <v>90.842736000000002</v>
      </c>
      <c r="M19" s="263">
        <f t="shared" si="2"/>
        <v>90.842736000000002</v>
      </c>
      <c r="N19" s="263">
        <f t="shared" ca="1" si="6"/>
        <v>15.273374128714252</v>
      </c>
      <c r="O19" s="262">
        <f>1/(1+'[93]Asumsi I'!$C$3)^(KKF!A19)</f>
        <v>0.25667509294538904</v>
      </c>
      <c r="P19" s="263">
        <f t="shared" ca="1" si="7"/>
        <v>3.9202947240774311</v>
      </c>
      <c r="Q19" s="263">
        <f t="shared" ca="1" si="9"/>
        <v>-70.559329716649842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62880</v>
      </c>
      <c r="D20" s="263">
        <f t="shared" si="5"/>
        <v>10480</v>
      </c>
      <c r="E20" s="263">
        <f t="shared" si="0"/>
        <v>52400</v>
      </c>
      <c r="F20" s="261"/>
      <c r="G20" s="265">
        <f ca="1">DATA!$D$11/1000000</f>
        <v>5.8657588710169994</v>
      </c>
      <c r="H20" s="265">
        <f>C20*DATA!$D$5/1000000</f>
        <v>68.169782885348411</v>
      </c>
      <c r="I20" s="265">
        <f>(C20*DATA!$D$5*DATA!$D$7)/1000000</f>
        <v>1.533820114920339</v>
      </c>
      <c r="J20" s="263">
        <f t="shared" ca="1" si="1"/>
        <v>75.56936187128575</v>
      </c>
      <c r="K20" s="261"/>
      <c r="L20" s="263">
        <f>((D20*DATA!$D$23)/1000000)+((E20*DATA!$D$24)/1000000)</f>
        <v>90.842736000000002</v>
      </c>
      <c r="M20" s="263">
        <f t="shared" si="2"/>
        <v>90.842736000000002</v>
      </c>
      <c r="N20" s="263">
        <f t="shared" ca="1" si="6"/>
        <v>15.273374128714252</v>
      </c>
      <c r="O20" s="262">
        <f>1/(1+'[93]Asumsi I'!$C$3)^(KKF!A20)</f>
        <v>0.22917419012981158</v>
      </c>
      <c r="P20" s="263">
        <f t="shared" ca="1" si="7"/>
        <v>3.5002631464977054</v>
      </c>
      <c r="Q20" s="263">
        <f t="shared" ca="1" si="9"/>
        <v>-67.05906657015214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62880</v>
      </c>
      <c r="D21" s="263">
        <f t="shared" si="5"/>
        <v>10480</v>
      </c>
      <c r="E21" s="263">
        <f t="shared" si="0"/>
        <v>52400</v>
      </c>
      <c r="F21" s="261"/>
      <c r="G21" s="265">
        <f ca="1">DATA!$D$11/1000000</f>
        <v>5.8657588710169994</v>
      </c>
      <c r="H21" s="265">
        <f>C21*DATA!$D$5/1000000</f>
        <v>68.169782885348411</v>
      </c>
      <c r="I21" s="265">
        <f>(C21*DATA!$D$5*DATA!$D$7)/1000000</f>
        <v>1.533820114920339</v>
      </c>
      <c r="J21" s="263">
        <f t="shared" ca="1" si="1"/>
        <v>75.56936187128575</v>
      </c>
      <c r="K21" s="261"/>
      <c r="L21" s="263">
        <f>((D21*DATA!$D$23)/1000000)+((E21*DATA!$D$24)/1000000)</f>
        <v>90.842736000000002</v>
      </c>
      <c r="M21" s="263">
        <f t="shared" si="2"/>
        <v>90.842736000000002</v>
      </c>
      <c r="N21" s="263">
        <f t="shared" ca="1" si="6"/>
        <v>15.273374128714252</v>
      </c>
      <c r="O21" s="262">
        <f>1/(1+'[93]Asumsi I'!$C$3)^(KKF!A21)</f>
        <v>0.20461981261590317</v>
      </c>
      <c r="P21" s="263">
        <f t="shared" ca="1" si="7"/>
        <v>3.1252349522300937</v>
      </c>
      <c r="Q21" s="263">
        <f t="shared" ca="1" si="9"/>
        <v>-63.933831617922046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62880</v>
      </c>
      <c r="D22" s="263">
        <f t="shared" si="5"/>
        <v>10480</v>
      </c>
      <c r="E22" s="263">
        <f t="shared" si="0"/>
        <v>52400</v>
      </c>
      <c r="F22" s="261"/>
      <c r="G22" s="265">
        <f ca="1">DATA!$D$11/1000000</f>
        <v>5.8657588710169994</v>
      </c>
      <c r="H22" s="265">
        <f>C22*DATA!$D$5/1000000</f>
        <v>68.169782885348411</v>
      </c>
      <c r="I22" s="265">
        <f>(C22*DATA!$D$5*DATA!$D$7)/1000000</f>
        <v>1.533820114920339</v>
      </c>
      <c r="J22" s="263">
        <f t="shared" ca="1" si="1"/>
        <v>75.56936187128575</v>
      </c>
      <c r="K22" s="261"/>
      <c r="L22" s="263">
        <f>((D22*DATA!$D$23)/1000000)+((E22*DATA!$D$24)/1000000)</f>
        <v>90.842736000000002</v>
      </c>
      <c r="M22" s="263">
        <f t="shared" si="2"/>
        <v>90.842736000000002</v>
      </c>
      <c r="N22" s="263">
        <f t="shared" ca="1" si="6"/>
        <v>15.273374128714252</v>
      </c>
      <c r="O22" s="262">
        <f>1/(1+'[93]Asumsi I'!$C$3)^(KKF!A22)</f>
        <v>0.18269626126419927</v>
      </c>
      <c r="P22" s="263">
        <f t="shared" ca="1" si="7"/>
        <v>2.7903883502054407</v>
      </c>
      <c r="Q22" s="263">
        <f t="shared" ca="1" si="9"/>
        <v>-61.143443267716606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62880</v>
      </c>
      <c r="D23" s="263">
        <f t="shared" si="5"/>
        <v>10480</v>
      </c>
      <c r="E23" s="263">
        <f t="shared" si="0"/>
        <v>52400</v>
      </c>
      <c r="F23" s="261"/>
      <c r="G23" s="265">
        <f ca="1">DATA!$D$11/1000000</f>
        <v>5.8657588710169994</v>
      </c>
      <c r="H23" s="265">
        <f>C23*DATA!$D$5/1000000</f>
        <v>68.169782885348411</v>
      </c>
      <c r="I23" s="265">
        <f>(C23*DATA!$D$5*DATA!$D$7)/1000000</f>
        <v>1.533820114920339</v>
      </c>
      <c r="J23" s="263">
        <f t="shared" ca="1" si="1"/>
        <v>75.56936187128575</v>
      </c>
      <c r="K23" s="261"/>
      <c r="L23" s="263">
        <f>((D23*DATA!$D$23)/1000000)+((E23*DATA!$D$24)/1000000)</f>
        <v>90.842736000000002</v>
      </c>
      <c r="M23" s="263">
        <f t="shared" si="2"/>
        <v>90.842736000000002</v>
      </c>
      <c r="N23" s="263">
        <f t="shared" ca="1" si="6"/>
        <v>15.273374128714252</v>
      </c>
      <c r="O23" s="262">
        <f>1/(1+'[93]Asumsi I'!$C$3)^(KKF!A23)</f>
        <v>0.16312166184303503</v>
      </c>
      <c r="P23" s="263">
        <f t="shared" ca="1" si="7"/>
        <v>2.4914181698262858</v>
      </c>
      <c r="Q23" s="263">
        <f t="shared" ca="1" si="9"/>
        <v>-58.652025097890316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62880</v>
      </c>
      <c r="D24" s="263">
        <f t="shared" si="5"/>
        <v>10480</v>
      </c>
      <c r="E24" s="263">
        <f t="shared" si="0"/>
        <v>52400</v>
      </c>
      <c r="F24" s="261"/>
      <c r="G24" s="265">
        <f ca="1">DATA!$D$11/1000000</f>
        <v>5.8657588710169994</v>
      </c>
      <c r="H24" s="265">
        <f>C24*DATA!$D$5/1000000</f>
        <v>68.169782885348411</v>
      </c>
      <c r="I24" s="265">
        <f>(C24*DATA!$D$5*DATA!$D$7)/1000000</f>
        <v>1.533820114920339</v>
      </c>
      <c r="J24" s="263">
        <f t="shared" ca="1" si="1"/>
        <v>75.56936187128575</v>
      </c>
      <c r="K24" s="261"/>
      <c r="L24" s="263">
        <f>((D24*DATA!$D$23)/1000000)+((E24*DATA!$D$24)/1000000)</f>
        <v>90.842736000000002</v>
      </c>
      <c r="M24" s="263">
        <f t="shared" si="2"/>
        <v>90.842736000000002</v>
      </c>
      <c r="N24" s="263">
        <f t="shared" ca="1" si="6"/>
        <v>15.273374128714252</v>
      </c>
      <c r="O24" s="262">
        <f>1/(1+'[93]Asumsi I'!$C$3)^(KKF!A24)</f>
        <v>0.14564434093128129</v>
      </c>
      <c r="P24" s="263">
        <f t="shared" ca="1" si="7"/>
        <v>2.2244805087734698</v>
      </c>
      <c r="Q24" s="263">
        <f t="shared" ca="1" si="9"/>
        <v>-56.427544589116849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62880</v>
      </c>
      <c r="D25" s="263">
        <f t="shared" si="5"/>
        <v>10480</v>
      </c>
      <c r="E25" s="263">
        <f t="shared" si="0"/>
        <v>52400</v>
      </c>
      <c r="F25" s="261"/>
      <c r="G25" s="265">
        <f ca="1">DATA!$D$11/1000000</f>
        <v>5.8657588710169994</v>
      </c>
      <c r="H25" s="265">
        <f>C25*DATA!$D$5/1000000</f>
        <v>68.169782885348411</v>
      </c>
      <c r="I25" s="265">
        <f>(C25*DATA!$D$5*DATA!$D$7)/1000000</f>
        <v>1.533820114920339</v>
      </c>
      <c r="J25" s="263">
        <f t="shared" ca="1" si="1"/>
        <v>75.56936187128575</v>
      </c>
      <c r="K25" s="261"/>
      <c r="L25" s="263">
        <f>((D25*DATA!$D$23)/1000000)+((E25*DATA!$D$24)/1000000)</f>
        <v>90.842736000000002</v>
      </c>
      <c r="M25" s="263">
        <f t="shared" si="2"/>
        <v>90.842736000000002</v>
      </c>
      <c r="N25" s="263">
        <f t="shared" ca="1" si="6"/>
        <v>15.273374128714252</v>
      </c>
      <c r="O25" s="262">
        <f>1/(1+'[93]Asumsi I'!$C$3)^(KKF!A25)</f>
        <v>0.13003959011721541</v>
      </c>
      <c r="P25" s="263">
        <f t="shared" ca="1" si="7"/>
        <v>1.9861433114048834</v>
      </c>
      <c r="Q25" s="263">
        <f t="shared" ca="1" si="9"/>
        <v>-54.441401277711968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62880</v>
      </c>
      <c r="D26" s="263">
        <f t="shared" si="5"/>
        <v>10480</v>
      </c>
      <c r="E26" s="263">
        <f t="shared" si="0"/>
        <v>52400</v>
      </c>
      <c r="F26" s="261"/>
      <c r="G26" s="265">
        <f ca="1">DATA!$D$11/1000000</f>
        <v>5.8657588710169994</v>
      </c>
      <c r="H26" s="265">
        <f>C26*DATA!$D$5/1000000</f>
        <v>68.169782885348411</v>
      </c>
      <c r="I26" s="265">
        <f>(C26*DATA!$D$5*DATA!$D$7)/1000000</f>
        <v>1.533820114920339</v>
      </c>
      <c r="J26" s="263">
        <f t="shared" ca="1" si="1"/>
        <v>75.56936187128575</v>
      </c>
      <c r="K26" s="261"/>
      <c r="L26" s="263">
        <f>((D26*DATA!$D$23)/1000000)+((E26*DATA!$D$24)/1000000)</f>
        <v>90.842736000000002</v>
      </c>
      <c r="M26" s="263">
        <f t="shared" si="2"/>
        <v>90.842736000000002</v>
      </c>
      <c r="N26" s="263">
        <f t="shared" ca="1" si="6"/>
        <v>15.273374128714252</v>
      </c>
      <c r="O26" s="262">
        <f>1/(1+'[93]Asumsi I'!$C$3)^(KKF!A26)</f>
        <v>0.1161067768903709</v>
      </c>
      <c r="P26" s="263">
        <f t="shared" ca="1" si="7"/>
        <v>1.7733422423257887</v>
      </c>
      <c r="Q26" s="263">
        <f t="shared" ca="1" si="9"/>
        <v>-52.668059035386179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62880</v>
      </c>
      <c r="D27" s="263">
        <f t="shared" si="5"/>
        <v>10480</v>
      </c>
      <c r="E27" s="263">
        <f t="shared" si="0"/>
        <v>52400</v>
      </c>
      <c r="F27" s="261"/>
      <c r="G27" s="265">
        <f ca="1">DATA!$D$11/1000000</f>
        <v>5.8657588710169994</v>
      </c>
      <c r="H27" s="265">
        <f>C27*DATA!$D$5/1000000</f>
        <v>68.169782885348411</v>
      </c>
      <c r="I27" s="265">
        <f>(C27*DATA!$D$5*DATA!$D$7)/1000000</f>
        <v>1.533820114920339</v>
      </c>
      <c r="J27" s="263">
        <f t="shared" ca="1" si="1"/>
        <v>75.56936187128575</v>
      </c>
      <c r="K27" s="261"/>
      <c r="L27" s="263">
        <f>((D27*DATA!$D$23)/1000000)+((E27*DATA!$D$24)/1000000)</f>
        <v>90.842736000000002</v>
      </c>
      <c r="M27" s="263">
        <f t="shared" si="2"/>
        <v>90.842736000000002</v>
      </c>
      <c r="N27" s="263">
        <f t="shared" ca="1" si="6"/>
        <v>15.273374128714252</v>
      </c>
      <c r="O27" s="262">
        <f>1/(1+'[93]Asumsi I'!$C$3)^(KKF!A27)</f>
        <v>0.1036667650806883</v>
      </c>
      <c r="P27" s="263">
        <f t="shared" ca="1" si="7"/>
        <v>1.5833412877908828</v>
      </c>
      <c r="Q27" s="263">
        <f t="shared" ca="1" si="9"/>
        <v>-51.084717747595299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62880</v>
      </c>
      <c r="D28" s="263">
        <f t="shared" si="5"/>
        <v>10480</v>
      </c>
      <c r="E28" s="263">
        <f t="shared" si="0"/>
        <v>52400</v>
      </c>
      <c r="F28" s="261"/>
      <c r="G28" s="265">
        <f ca="1">DATA!$D$11/1000000</f>
        <v>5.8657588710169994</v>
      </c>
      <c r="H28" s="265">
        <f>C28*DATA!$D$5/1000000</f>
        <v>68.169782885348411</v>
      </c>
      <c r="I28" s="265">
        <f>(C28*DATA!$D$5*DATA!$D$7)/1000000</f>
        <v>1.533820114920339</v>
      </c>
      <c r="J28" s="263">
        <f t="shared" ca="1" si="1"/>
        <v>75.56936187128575</v>
      </c>
      <c r="K28" s="261"/>
      <c r="L28" s="263">
        <f>((D28*DATA!$D$23)/1000000)+((E28*DATA!$D$24)/1000000)</f>
        <v>90.842736000000002</v>
      </c>
      <c r="M28" s="263">
        <f t="shared" si="2"/>
        <v>90.842736000000002</v>
      </c>
      <c r="N28" s="263">
        <f t="shared" ca="1" si="6"/>
        <v>15.273374128714252</v>
      </c>
      <c r="O28" s="262">
        <f>1/(1+'[93]Asumsi I'!$C$3)^(KKF!A28)</f>
        <v>9.2559611679185971E-2</v>
      </c>
      <c r="P28" s="263">
        <f t="shared" ca="1" si="7"/>
        <v>1.4136975783847165</v>
      </c>
      <c r="Q28" s="263">
        <f t="shared" ca="1" si="9"/>
        <v>-49.671020169210585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62880</v>
      </c>
      <c r="D29" s="263">
        <f t="shared" si="5"/>
        <v>10480</v>
      </c>
      <c r="E29" s="263">
        <f t="shared" si="0"/>
        <v>52400</v>
      </c>
      <c r="F29" s="261"/>
      <c r="G29" s="265">
        <f ca="1">DATA!$D$11/1000000</f>
        <v>5.8657588710169994</v>
      </c>
      <c r="H29" s="265">
        <f>C29*DATA!$D$5/1000000</f>
        <v>68.169782885348411</v>
      </c>
      <c r="I29" s="265">
        <f>(C29*DATA!$D$5*DATA!$D$7)/1000000</f>
        <v>1.533820114920339</v>
      </c>
      <c r="J29" s="263">
        <f t="shared" ca="1" si="1"/>
        <v>75.56936187128575</v>
      </c>
      <c r="K29" s="261"/>
      <c r="L29" s="263">
        <f>((D29*DATA!$D$23)/1000000)+((E29*DATA!$D$24)/1000000)</f>
        <v>90.842736000000002</v>
      </c>
      <c r="M29" s="263">
        <f t="shared" si="2"/>
        <v>90.842736000000002</v>
      </c>
      <c r="N29" s="263">
        <f t="shared" ca="1" si="6"/>
        <v>15.273374128714252</v>
      </c>
      <c r="O29" s="262">
        <f>1/(1+'[93]Asumsi I'!$C$3)^(KKF!A29)</f>
        <v>8.2642510427844609E-2</v>
      </c>
      <c r="P29" s="263">
        <f t="shared" ca="1" si="7"/>
        <v>1.2622299807006396</v>
      </c>
      <c r="Q29" s="263">
        <f t="shared" ca="1" si="9"/>
        <v>-48.408790188509947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62880</v>
      </c>
      <c r="D30" s="263">
        <f t="shared" si="5"/>
        <v>10480</v>
      </c>
      <c r="E30" s="263">
        <f t="shared" si="0"/>
        <v>52400</v>
      </c>
      <c r="F30" s="261"/>
      <c r="G30" s="265">
        <f ca="1">DATA!$D$11/1000000</f>
        <v>5.8657588710169994</v>
      </c>
      <c r="H30" s="265">
        <f>C30*DATA!$D$5/1000000</f>
        <v>68.169782885348411</v>
      </c>
      <c r="I30" s="265">
        <f>(C30*DATA!$D$5*DATA!$D$7)/1000000</f>
        <v>1.533820114920339</v>
      </c>
      <c r="J30" s="263">
        <f t="shared" ca="1" si="1"/>
        <v>75.56936187128575</v>
      </c>
      <c r="K30" s="261"/>
      <c r="L30" s="263">
        <f>((D30*DATA!$D$23)/1000000)+((E30*DATA!$D$24)/1000000)</f>
        <v>90.842736000000002</v>
      </c>
      <c r="M30" s="263">
        <f t="shared" si="2"/>
        <v>90.842736000000002</v>
      </c>
      <c r="N30" s="263">
        <f t="shared" ca="1" si="6"/>
        <v>15.273374128714252</v>
      </c>
      <c r="O30" s="262">
        <f>1/(1+'[93]Asumsi I'!$C$3)^(KKF!A30)</f>
        <v>7.3787955739146982E-2</v>
      </c>
      <c r="P30" s="263">
        <f t="shared" ca="1" si="7"/>
        <v>1.1269910541969999</v>
      </c>
      <c r="Q30" s="263">
        <f t="shared" ca="1" si="9"/>
        <v>-47.281799134312948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62880</v>
      </c>
      <c r="D31" s="263">
        <f t="shared" si="5"/>
        <v>10480</v>
      </c>
      <c r="E31" s="263">
        <f t="shared" si="0"/>
        <v>52400</v>
      </c>
      <c r="F31" s="261"/>
      <c r="G31" s="265">
        <f ca="1">DATA!$D$11/1000000</f>
        <v>5.8657588710169994</v>
      </c>
      <c r="H31" s="265">
        <f>C31*DATA!$D$5/1000000</f>
        <v>68.169782885348411</v>
      </c>
      <c r="I31" s="265">
        <f>(C31*DATA!$D$5*DATA!$D$7)/1000000</f>
        <v>1.533820114920339</v>
      </c>
      <c r="J31" s="263">
        <f t="shared" ca="1" si="1"/>
        <v>75.56936187128575</v>
      </c>
      <c r="K31" s="261"/>
      <c r="L31" s="263">
        <f>((D31*DATA!$D$23)/1000000)+((E31*DATA!$D$24)/1000000)</f>
        <v>90.842736000000002</v>
      </c>
      <c r="M31" s="263">
        <f t="shared" si="2"/>
        <v>90.842736000000002</v>
      </c>
      <c r="N31" s="263">
        <f t="shared" ca="1" si="6"/>
        <v>15.273374128714252</v>
      </c>
      <c r="O31" s="262">
        <f>1/(1+'[93]Asumsi I'!$C$3)^(KKF!A31)</f>
        <v>6.5882103338524081E-2</v>
      </c>
      <c r="P31" s="263">
        <f t="shared" ca="1" si="7"/>
        <v>1.0062420126758926</v>
      </c>
      <c r="Q31" s="263">
        <f ca="1">Q30+P31</f>
        <v>-46.275557121637057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62880</v>
      </c>
      <c r="D32" s="263">
        <f t="shared" si="5"/>
        <v>10480</v>
      </c>
      <c r="E32" s="263">
        <f t="shared" si="0"/>
        <v>52400</v>
      </c>
      <c r="F32" s="261"/>
      <c r="G32" s="265">
        <f ca="1">DATA!$D$11/1000000</f>
        <v>5.8657588710169994</v>
      </c>
      <c r="H32" s="265">
        <f>C32*DATA!$D$5/1000000</f>
        <v>68.169782885348411</v>
      </c>
      <c r="I32" s="265">
        <f>(C32*DATA!$D$5*DATA!$D$7)/1000000</f>
        <v>1.533820114920339</v>
      </c>
      <c r="J32" s="263">
        <f t="shared" ca="1" si="1"/>
        <v>75.56936187128575</v>
      </c>
      <c r="K32" s="261"/>
      <c r="L32" s="263">
        <f>((D32*DATA!$D$23)/1000000)+((E32*DATA!$D$24)/1000000)</f>
        <v>90.842736000000002</v>
      </c>
      <c r="M32" s="263">
        <f t="shared" si="2"/>
        <v>90.842736000000002</v>
      </c>
      <c r="N32" s="263">
        <f t="shared" ca="1" si="6"/>
        <v>15.273374128714252</v>
      </c>
      <c r="O32" s="262">
        <f>1/(1+'[93]Asumsi I'!$C$3)^(KKF!A32)</f>
        <v>5.8823306552253637E-2</v>
      </c>
      <c r="P32" s="263">
        <f t="shared" ca="1" si="7"/>
        <v>0.8984303684606183</v>
      </c>
      <c r="Q32" s="263">
        <f ca="1">Q31+P32</f>
        <v>-45.377126753176441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6" t="s">
        <v>1373</v>
      </c>
      <c r="G33" s="616"/>
      <c r="H33" s="616"/>
      <c r="I33" s="271"/>
      <c r="J33" s="272">
        <f ca="1">SUM(J7:J32)</f>
        <v>2211.6222835374338</v>
      </c>
      <c r="K33" s="616" t="s">
        <v>1374</v>
      </c>
      <c r="L33" s="616"/>
      <c r="M33" s="272">
        <f>SUM(M7:M32)</f>
        <v>2428.288312000001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21.107859601840929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1.0979670127559102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-40.515291743907554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7.8487653722186357E-2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7" priority="1" stopIfTrue="1" operator="greaterThanOrEqual">
      <formula>$F$7</formula>
    </cfRule>
    <cfRule type="cellIs" dxfId="26" priority="2" stopIfTrue="1" operator="lessThan">
      <formula>$F$7</formula>
    </cfRule>
  </conditionalFormatting>
  <conditionalFormatting sqref="Q7:Q32">
    <cfRule type="cellIs" dxfId="25" priority="3" operator="lessThan">
      <formula>0</formula>
    </cfRule>
    <cfRule type="cellIs" dxfId="24" priority="4" operator="lessThan">
      <formula>0</formula>
    </cfRule>
    <cfRule type="cellIs" dxfId="23" priority="5" operator="lessThan">
      <formula>-6395.81</formula>
    </cfRule>
    <cfRule type="cellIs" dxfId="2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219"/>
  <sheetViews>
    <sheetView showGridLines="0" zoomScale="70" zoomScaleNormal="70" zoomScaleSheetLayoutView="70" workbookViewId="0">
      <pane ySplit="13" topLeftCell="A180" activePane="bottomLeft" state="frozen"/>
      <selection activeCell="H1093" sqref="H1093"/>
      <selection pane="bottomLeft" activeCell="I7" sqref="I7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40" t="s">
        <v>1036</v>
      </c>
      <c r="P3" s="640"/>
      <c r="Q3" s="293"/>
      <c r="T3" s="291"/>
      <c r="U3" s="292" t="s">
        <v>1041</v>
      </c>
      <c r="V3" s="291"/>
    </row>
    <row r="4" spans="1:22" ht="15.75" customHeight="1">
      <c r="B4" s="641" t="s">
        <v>1023</v>
      </c>
      <c r="C4" s="641"/>
      <c r="D4" s="641"/>
      <c r="E4" s="641"/>
      <c r="F4" s="641"/>
      <c r="G4" s="641"/>
      <c r="H4" s="641"/>
      <c r="I4" s="641"/>
      <c r="J4" s="641"/>
      <c r="K4" s="641"/>
      <c r="O4" s="640"/>
      <c r="P4" s="640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3" t="s">
        <v>1652</v>
      </c>
      <c r="H6" s="624"/>
      <c r="I6" s="624"/>
      <c r="J6" s="624"/>
      <c r="K6" s="624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1634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3" t="s">
        <v>0</v>
      </c>
      <c r="C11" s="645" t="s">
        <v>1</v>
      </c>
      <c r="D11" s="634" t="s">
        <v>42</v>
      </c>
      <c r="E11" s="634" t="s">
        <v>43</v>
      </c>
      <c r="F11" s="634" t="s">
        <v>2</v>
      </c>
      <c r="G11" s="648" t="s">
        <v>41</v>
      </c>
      <c r="H11" s="634" t="s">
        <v>3</v>
      </c>
      <c r="I11" s="634"/>
      <c r="J11" s="634"/>
      <c r="K11" s="635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4"/>
      <c r="C12" s="646"/>
      <c r="D12" s="638"/>
      <c r="E12" s="638"/>
      <c r="F12" s="638"/>
      <c r="G12" s="649"/>
      <c r="H12" s="636" t="s">
        <v>46</v>
      </c>
      <c r="I12" s="636" t="s">
        <v>5</v>
      </c>
      <c r="J12" s="638" t="s">
        <v>47</v>
      </c>
      <c r="K12" s="639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4"/>
      <c r="C13" s="647"/>
      <c r="D13" s="638"/>
      <c r="E13" s="638"/>
      <c r="F13" s="638"/>
      <c r="G13" s="650"/>
      <c r="H13" s="637"/>
      <c r="I13" s="637"/>
      <c r="J13" s="638"/>
      <c r="K13" s="639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ca="1">IF(OR(D14="MDU",D14="MDU-KD"),(IF($O$3="RAB NON MDU","PLN KD",G14*F14)),0)</f>
        <v>0</v>
      </c>
      <c r="I14" s="308">
        <f ca="1">IF(D14="HDW",G14*F14,0)</f>
        <v>0</v>
      </c>
      <c r="J14" s="308">
        <f ca="1">IF(D14="JASA",G14*F14,0)</f>
        <v>0</v>
      </c>
      <c r="K14" s="309">
        <f ca="1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79" ca="1" si="0">IF(OR(D15="MDU",D15="MDU-KD"),(IF($O$3="RAB NON MDU","PLN KD",G15*F15)),0)</f>
        <v>0</v>
      </c>
      <c r="I15" s="308">
        <f t="shared" ref="I15:I79" ca="1" si="1">IF(D15="HDW",G15*F15,0)</f>
        <v>0</v>
      </c>
      <c r="J15" s="308">
        <f t="shared" ref="J15:J79" ca="1" si="2">IF(D15="JASA",G15*F15,0)</f>
        <v>0</v>
      </c>
      <c r="K15" s="309">
        <f t="shared" ref="K15:K79" ca="1" si="3">SUM(H15:J15)</f>
        <v>0</v>
      </c>
      <c r="L15" s="289"/>
      <c r="M15" s="289" t="str">
        <f ca="1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ref="H16:H21" ca="1" si="4">IF(OR(D16="MDU",D16="MDU-KD"),(IF($O$3="RAB NON MDU","PLN KD",G16*F16)),0)</f>
        <v>0</v>
      </c>
      <c r="I16" s="308">
        <f t="shared" ref="I16:I21" ca="1" si="5">IF(D16="HDW",G16*F16,0)</f>
        <v>0</v>
      </c>
      <c r="J16" s="308">
        <f t="shared" ref="J16:J21" ca="1" si="6">IF(D16="JASA",G16*F16,0)</f>
        <v>0</v>
      </c>
      <c r="K16" s="309">
        <f t="shared" ref="K16:K21" ca="1" si="7">SUM(H16:J16)</f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>
        <v>1</v>
      </c>
      <c r="C17" s="109" t="s">
        <v>103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1</v>
      </c>
      <c r="G17" s="307">
        <f ca="1">IF(ISERROR(OFFSET('HARGA SATUAN'!$I$6,MATCH(RAB!C17,'HARGA SATUAN'!$C$7:$C$1495,0),0)),0,OFFSET('HARGA SATUAN'!$I$6,MATCH(RAB!C17,'HARGA SATUAN'!$C$7:$C$1495,0),0))</f>
        <v>5800000</v>
      </c>
      <c r="H17" s="308">
        <f t="shared" ca="1" si="4"/>
        <v>0</v>
      </c>
      <c r="I17" s="308">
        <f t="shared" ca="1" si="5"/>
        <v>5800000</v>
      </c>
      <c r="J17" s="308">
        <f t="shared" ca="1" si="6"/>
        <v>0</v>
      </c>
      <c r="K17" s="309">
        <f t="shared" ca="1" si="7"/>
        <v>5800000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>
        <v>2</v>
      </c>
      <c r="C18" s="109" t="s">
        <v>104</v>
      </c>
      <c r="D18" s="305" t="str">
        <f ca="1">IF(ISERROR(OFFSET('HARGA SATUAN'!$D$6,MATCH(RAB!C18,'HARGA SATUAN'!$C$7:$C$1495,0),0)),"",OFFSET('HARGA SATUAN'!$D$6,MATCH(RAB!C18,'HARGA SATUAN'!$C$7:$C$1495,0),0))</f>
        <v>HDW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19">
        <v>2</v>
      </c>
      <c r="G18" s="307">
        <f ca="1">IF(ISERROR(OFFSET('HARGA SATUAN'!$I$6,MATCH(RAB!C18,'HARGA SATUAN'!$C$7:$C$1495,0),0)),0,OFFSET('HARGA SATUAN'!$I$6,MATCH(RAB!C18,'HARGA SATUAN'!$C$7:$C$1495,0),0))</f>
        <v>6074400</v>
      </c>
      <c r="H18" s="308">
        <f t="shared" ref="H18:H19" ca="1" si="8">IF(OR(D18="MDU",D18="MDU-KD"),(IF($O$3="RAB NON MDU","PLN KD",G18*F18)),0)</f>
        <v>0</v>
      </c>
      <c r="I18" s="308">
        <f t="shared" ref="I18:I19" ca="1" si="9">IF(D18="HDW",G18*F18,0)</f>
        <v>12148800</v>
      </c>
      <c r="J18" s="308">
        <f t="shared" ref="J18:J19" ca="1" si="10">IF(D18="JASA",G18*F18,0)</f>
        <v>0</v>
      </c>
      <c r="K18" s="309">
        <f t="shared" ref="K18:K19" ca="1" si="11">SUM(H18:J18)</f>
        <v>12148800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0">
        <v>3</v>
      </c>
      <c r="C19" s="109" t="s">
        <v>461</v>
      </c>
      <c r="D19" s="305" t="str">
        <f ca="1">IF(ISERROR(OFFSET('HARGA SATUAN'!$D$6,MATCH(RAB!C19,'HARGA SATUAN'!$C$7:$C$1495,0),0)),"",OFFSET('HARGA SATUAN'!$D$6,MATCH(RAB!C19,'HARGA SATUAN'!$C$7:$C$1495,0),0))</f>
        <v>HDW</v>
      </c>
      <c r="E19" s="306" t="str">
        <f ca="1">IF(B19="+","Unit",IF(ISERROR(OFFSET('HARGA SATUAN'!$E$6,MATCH(RAB!C19,'HARGA SATUAN'!$C$7:$C$1495,0),0)),"",OFFSET('HARGA SATUAN'!$E$6,MATCH(RAB!C19,'HARGA SATUAN'!$C$7:$C$1495,0),0)))</f>
        <v>Set</v>
      </c>
      <c r="F19" s="419">
        <v>1</v>
      </c>
      <c r="G19" s="307">
        <f ca="1">IF(ISERROR(OFFSET('HARGA SATUAN'!$I$6,MATCH(RAB!C19,'HARGA SATUAN'!$C$7:$C$1495,0),0)),0,OFFSET('HARGA SATUAN'!$I$6,MATCH(RAB!C19,'HARGA SATUAN'!$C$7:$C$1495,0),0))</f>
        <v>200000</v>
      </c>
      <c r="H19" s="308">
        <f t="shared" ca="1" si="8"/>
        <v>0</v>
      </c>
      <c r="I19" s="308">
        <f t="shared" ca="1" si="9"/>
        <v>200000</v>
      </c>
      <c r="J19" s="308">
        <f t="shared" ca="1" si="10"/>
        <v>0</v>
      </c>
      <c r="K19" s="309">
        <f t="shared" ca="1" si="11"/>
        <v>200000</v>
      </c>
      <c r="L19" s="289"/>
      <c r="M19" s="289"/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20">
        <v>4</v>
      </c>
      <c r="C20" s="109" t="s">
        <v>6</v>
      </c>
      <c r="D20" s="305" t="str">
        <f ca="1">IF(ISERROR(OFFSET('HARGA SATUAN'!$D$6,MATCH(RAB!C20,'HARGA SATUAN'!$C$7:$C$1495,0),0)),"",OFFSET('HARGA SATUAN'!$D$6,MATCH(RAB!C20,'HARGA SATUAN'!$C$7:$C$1495,0),0))</f>
        <v>JASA</v>
      </c>
      <c r="E20" s="306" t="str">
        <f ca="1">IF(B20="+","Unit",IF(ISERROR(OFFSET('HARGA SATUAN'!$E$6,MATCH(RAB!C20,'HARGA SATUAN'!$C$7:$C$1495,0),0)),"",OFFSET('HARGA SATUAN'!$E$6,MATCH(RAB!C20,'HARGA SATUAN'!$C$7:$C$1495,0),0)))</f>
        <v>Btg</v>
      </c>
      <c r="F20" s="419">
        <v>3</v>
      </c>
      <c r="G20" s="307">
        <f ca="1">IF(ISERROR(OFFSET('HARGA SATUAN'!$I$6,MATCH(RAB!C20,'HARGA SATUAN'!$C$7:$C$1495,0),0)),0,OFFSET('HARGA SATUAN'!$I$6,MATCH(RAB!C20,'HARGA SATUAN'!$C$7:$C$1495,0),0))</f>
        <v>10066.666666666668</v>
      </c>
      <c r="H20" s="308">
        <f t="shared" ca="1" si="4"/>
        <v>0</v>
      </c>
      <c r="I20" s="308">
        <f t="shared" ca="1" si="5"/>
        <v>0</v>
      </c>
      <c r="J20" s="308">
        <f t="shared" ca="1" si="6"/>
        <v>30200.000000000004</v>
      </c>
      <c r="K20" s="309">
        <f t="shared" ca="1" si="7"/>
        <v>30200.000000000004</v>
      </c>
      <c r="L20" s="289"/>
      <c r="M20" s="289" t="str">
        <f>IF(AND(F20&gt;0,F16=0),"",IF(AND(ISBLANK(F20)=FALSE,K20=0),"WARNING",""))</f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18" t="s">
        <v>1601</v>
      </c>
      <c r="C21" s="421" t="s">
        <v>1605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19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4"/>
        <v>0</v>
      </c>
      <c r="I21" s="308">
        <f t="shared" ca="1" si="5"/>
        <v>0</v>
      </c>
      <c r="J21" s="308">
        <f t="shared" ca="1" si="6"/>
        <v>0</v>
      </c>
      <c r="K21" s="309">
        <f t="shared" ca="1" si="7"/>
        <v>0</v>
      </c>
      <c r="L21" s="289"/>
      <c r="M21" s="289" t="str">
        <f ca="1">IF(AND(F21&gt;0,F20=0),"",IF(AND(ISBLANK(F21)=FALSE,K21=0),"WARNING",""))</f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724" t="s">
        <v>1035</v>
      </c>
      <c r="C22" s="727" t="s">
        <v>1651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>Unit</v>
      </c>
      <c r="F22" s="451">
        <v>1</v>
      </c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24">
        <v>1</v>
      </c>
      <c r="C23" s="109" t="s">
        <v>1147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451">
        <f>F22*1</f>
        <v>1</v>
      </c>
      <c r="G23" s="307">
        <f ca="1">IF(ISERROR(OFFSET('HARGA SATUAN'!$I$6,MATCH(RAB!C23,'HARGA SATUAN'!$C$7:$C$1495,0),0)),0,OFFSET('HARGA SATUAN'!$I$6,MATCH(RAB!C23,'HARGA SATUAN'!$C$7:$C$1495,0),0))</f>
        <v>77674900</v>
      </c>
      <c r="H23" s="308">
        <f t="shared" ca="1" si="0"/>
        <v>77674900</v>
      </c>
      <c r="I23" s="308">
        <f t="shared" ca="1" si="1"/>
        <v>0</v>
      </c>
      <c r="J23" s="308">
        <f t="shared" ca="1" si="2"/>
        <v>0</v>
      </c>
      <c r="K23" s="309">
        <f t="shared" ca="1" si="3"/>
        <v>77674900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16">
        <v>2</v>
      </c>
      <c r="C24" s="517" t="s">
        <v>1627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3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0"/>
        <v>0</v>
      </c>
      <c r="I24" s="308">
        <f t="shared" ca="1" si="1"/>
        <v>0</v>
      </c>
      <c r="J24" s="308">
        <f t="shared" ca="1" si="2"/>
        <v>0</v>
      </c>
      <c r="K24" s="309">
        <f t="shared" ca="1" si="3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24"/>
      <c r="C25" s="517" t="s">
        <v>65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Mtr</v>
      </c>
      <c r="F25" s="451">
        <f>F22*(3*3)</f>
        <v>9</v>
      </c>
      <c r="G25" s="307">
        <f ca="1">IF(ISERROR(OFFSET('HARGA SATUAN'!$I$6,MATCH(RAB!C25,'HARGA SATUAN'!$C$7:$C$1495,0),0)),0,OFFSET('HARGA SATUAN'!$I$6,MATCH(RAB!C25,'HARGA SATUAN'!$C$7:$C$1495,0),0))</f>
        <v>14200</v>
      </c>
      <c r="H25" s="308">
        <f t="shared" ca="1" si="0"/>
        <v>127800</v>
      </c>
      <c r="I25" s="308">
        <f t="shared" ca="1" si="1"/>
        <v>0</v>
      </c>
      <c r="J25" s="308">
        <f t="shared" ca="1" si="2"/>
        <v>0</v>
      </c>
      <c r="K25" s="309">
        <f t="shared" ca="1" si="3"/>
        <v>127800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24"/>
      <c r="C26" s="517" t="s">
        <v>1628</v>
      </c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/>
      </c>
      <c r="F26" s="451">
        <f>F22*3</f>
        <v>3</v>
      </c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0"/>
        <v>0</v>
      </c>
      <c r="I26" s="308">
        <f t="shared" ca="1" si="1"/>
        <v>0</v>
      </c>
      <c r="J26" s="308">
        <f t="shared" ca="1" si="2"/>
        <v>0</v>
      </c>
      <c r="K26" s="309">
        <f t="shared" ca="1" si="3"/>
        <v>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24">
        <v>3</v>
      </c>
      <c r="C27" s="109" t="s">
        <v>559</v>
      </c>
      <c r="D27" s="305" t="str">
        <f ca="1">IF(ISERROR(OFFSET('HARGA SATUAN'!$D$6,MATCH(RAB!C27,'HARGA SATUAN'!$C$7:$C$1495,0),0)),"",OFFSET('HARGA SATUAN'!$D$6,MATCH(RAB!C27,'HARGA SATUAN'!$C$7:$C$1495,0),0))</f>
        <v>MDU-KD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1">
        <f>F22*3</f>
        <v>3</v>
      </c>
      <c r="G27" s="307">
        <f ca="1">IF(ISERROR(OFFSET('HARGA SATUAN'!$I$6,MATCH(RAB!C27,'HARGA SATUAN'!$C$7:$C$1495,0),0)),0,OFFSET('HARGA SATUAN'!$I$6,MATCH(RAB!C27,'HARGA SATUAN'!$C$7:$C$1495,0),0))</f>
        <v>725900</v>
      </c>
      <c r="H27" s="308">
        <f t="shared" ca="1" si="0"/>
        <v>2177700</v>
      </c>
      <c r="I27" s="308">
        <f t="shared" ca="1" si="1"/>
        <v>0</v>
      </c>
      <c r="J27" s="308">
        <f t="shared" ca="1" si="2"/>
        <v>0</v>
      </c>
      <c r="K27" s="309">
        <f t="shared" ca="1" si="3"/>
        <v>2177700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24">
        <v>4</v>
      </c>
      <c r="C28" s="727" t="s">
        <v>535</v>
      </c>
      <c r="D28" s="305" t="str">
        <f ca="1">IF(ISERROR(OFFSET('HARGA SATUAN'!$D$6,MATCH(RAB!C28,'HARGA SATUAN'!$C$7:$C$1495,0),0)),"",OFFSET('HARGA SATUAN'!$D$6,MATCH(RAB!C28,'HARGA SATUAN'!$C$7:$C$1495,0),0))</f>
        <v>MDU-KD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1">
        <f>F22*3</f>
        <v>3</v>
      </c>
      <c r="G28" s="307">
        <f ca="1">IF(ISERROR(OFFSET('HARGA SATUAN'!$I$6,MATCH(RAB!C28,'HARGA SATUAN'!$C$7:$C$1495,0),0)),0,OFFSET('HARGA SATUAN'!$I$6,MATCH(RAB!C28,'HARGA SATUAN'!$C$7:$C$1495,0),0))</f>
        <v>848250</v>
      </c>
      <c r="H28" s="308">
        <f t="shared" ca="1" si="0"/>
        <v>2544750</v>
      </c>
      <c r="I28" s="308">
        <f t="shared" ca="1" si="1"/>
        <v>0</v>
      </c>
      <c r="J28" s="308">
        <f t="shared" ca="1" si="2"/>
        <v>0</v>
      </c>
      <c r="K28" s="309">
        <f t="shared" ca="1" si="3"/>
        <v>2544750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24">
        <v>5</v>
      </c>
      <c r="C29" s="727" t="s">
        <v>55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1">
        <f>F22*3</f>
        <v>3</v>
      </c>
      <c r="G29" s="307">
        <f ca="1">IF(ISERROR(OFFSET('HARGA SATUAN'!$I$6,MATCH(RAB!C29,'HARGA SATUAN'!$C$7:$C$1495,0),0)),0,OFFSET('HARGA SATUAN'!$I$6,MATCH(RAB!C29,'HARGA SATUAN'!$C$7:$C$1495,0),0))</f>
        <v>18000</v>
      </c>
      <c r="H29" s="308">
        <f t="shared" ca="1" si="0"/>
        <v>0</v>
      </c>
      <c r="I29" s="308">
        <f t="shared" ca="1" si="1"/>
        <v>54000</v>
      </c>
      <c r="J29" s="308">
        <f t="shared" ca="1" si="2"/>
        <v>0</v>
      </c>
      <c r="K29" s="309">
        <f t="shared" ca="1" si="3"/>
        <v>54000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24">
        <v>6</v>
      </c>
      <c r="C30" s="727" t="s">
        <v>1615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1">
        <f>F22*13</f>
        <v>13</v>
      </c>
      <c r="G30" s="307">
        <f ca="1">IF(ISERROR(OFFSET('HARGA SATUAN'!$I$6,MATCH(RAB!C30,'HARGA SATUAN'!$C$7:$C$1495,0),0)),0,OFFSET('HARGA SATUAN'!$I$6,MATCH(RAB!C30,'HARGA SATUAN'!$C$7:$C$1495,0),0))</f>
        <v>49000</v>
      </c>
      <c r="H30" s="308">
        <f t="shared" ca="1" si="0"/>
        <v>0</v>
      </c>
      <c r="I30" s="308">
        <f t="shared" ca="1" si="1"/>
        <v>637000</v>
      </c>
      <c r="J30" s="308">
        <f t="shared" ca="1" si="2"/>
        <v>0</v>
      </c>
      <c r="K30" s="309">
        <f t="shared" ca="1" si="3"/>
        <v>637000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24">
        <v>7</v>
      </c>
      <c r="C31" s="727" t="s">
        <v>163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1">
        <f>F22*28</f>
        <v>28</v>
      </c>
      <c r="G31" s="307">
        <f ca="1">IF(ISERROR(OFFSET('HARGA SATUAN'!$I$6,MATCH(RAB!C31,'HARGA SATUAN'!$C$7:$C$1495,0),0)),0,OFFSET('HARGA SATUAN'!$I$6,MATCH(RAB!C31,'HARGA SATUAN'!$C$7:$C$1495,0),0))</f>
        <v>7938</v>
      </c>
      <c r="H31" s="308">
        <f t="shared" ca="1" si="0"/>
        <v>0</v>
      </c>
      <c r="I31" s="308">
        <f t="shared" ca="1" si="1"/>
        <v>222264</v>
      </c>
      <c r="J31" s="308">
        <f t="shared" ca="1" si="2"/>
        <v>0</v>
      </c>
      <c r="K31" s="309">
        <f t="shared" ca="1" si="3"/>
        <v>222264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24">
        <v>8</v>
      </c>
      <c r="C32" s="727" t="s">
        <v>176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1">
        <f>F22*2</f>
        <v>2</v>
      </c>
      <c r="G32" s="307">
        <f ca="1">IF(ISERROR(OFFSET('HARGA SATUAN'!$I$6,MATCH(RAB!C32,'HARGA SATUAN'!$C$7:$C$1495,0),0)),0,OFFSET('HARGA SATUAN'!$I$6,MATCH(RAB!C32,'HARGA SATUAN'!$C$7:$C$1495,0),0))</f>
        <v>404600</v>
      </c>
      <c r="H32" s="308">
        <f t="shared" ca="1" si="0"/>
        <v>0</v>
      </c>
      <c r="I32" s="308">
        <f t="shared" ca="1" si="1"/>
        <v>809200</v>
      </c>
      <c r="J32" s="308">
        <f t="shared" ca="1" si="2"/>
        <v>0</v>
      </c>
      <c r="K32" s="309">
        <f t="shared" ca="1" si="3"/>
        <v>809200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24">
        <v>9</v>
      </c>
      <c r="C33" s="727" t="s">
        <v>184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1">
        <f>F22*3</f>
        <v>3</v>
      </c>
      <c r="G33" s="307">
        <f ca="1">IF(ISERROR(OFFSET('HARGA SATUAN'!$I$6,MATCH(RAB!C33,'HARGA SATUAN'!$C$7:$C$1495,0),0)),0,OFFSET('HARGA SATUAN'!$I$6,MATCH(RAB!C33,'HARGA SATUAN'!$C$7:$C$1495,0),0))</f>
        <v>15900</v>
      </c>
      <c r="H33" s="308">
        <f t="shared" ca="1" si="0"/>
        <v>0</v>
      </c>
      <c r="I33" s="308">
        <f t="shared" ca="1" si="1"/>
        <v>47700</v>
      </c>
      <c r="J33" s="308">
        <f t="shared" ca="1" si="2"/>
        <v>0</v>
      </c>
      <c r="K33" s="309">
        <f t="shared" ca="1" si="3"/>
        <v>47700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24">
        <v>10</v>
      </c>
      <c r="C34" s="727" t="s">
        <v>593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1">
        <f>F22*5</f>
        <v>5</v>
      </c>
      <c r="G34" s="307">
        <f ca="1">IF(ISERROR(OFFSET('HARGA SATUAN'!$I$6,MATCH(RAB!C34,'HARGA SATUAN'!$C$7:$C$1495,0),0)),0,OFFSET('HARGA SATUAN'!$I$6,MATCH(RAB!C34,'HARGA SATUAN'!$C$7:$C$1495,0),0))</f>
        <v>380500</v>
      </c>
      <c r="H34" s="308">
        <f t="shared" ca="1" si="0"/>
        <v>0</v>
      </c>
      <c r="I34" s="308">
        <f t="shared" ca="1" si="1"/>
        <v>1902500</v>
      </c>
      <c r="J34" s="308">
        <f t="shared" ca="1" si="2"/>
        <v>0</v>
      </c>
      <c r="K34" s="309">
        <f t="shared" ca="1" si="3"/>
        <v>1902500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24">
        <v>11</v>
      </c>
      <c r="C35" s="727" t="s">
        <v>594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1">
        <f>F22*4</f>
        <v>4</v>
      </c>
      <c r="G35" s="307">
        <f ca="1">IF(ISERROR(OFFSET('HARGA SATUAN'!$I$6,MATCH(RAB!C35,'HARGA SATUAN'!$C$7:$C$1495,0),0)),0,OFFSET('HARGA SATUAN'!$I$6,MATCH(RAB!C35,'HARGA SATUAN'!$C$7:$C$1495,0),0))</f>
        <v>559200</v>
      </c>
      <c r="H35" s="308">
        <f t="shared" ca="1" si="0"/>
        <v>0</v>
      </c>
      <c r="I35" s="308">
        <f t="shared" ca="1" si="1"/>
        <v>2236800</v>
      </c>
      <c r="J35" s="308">
        <f t="shared" ca="1" si="2"/>
        <v>0</v>
      </c>
      <c r="K35" s="309">
        <f t="shared" ca="1" si="3"/>
        <v>2236800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24">
        <v>12</v>
      </c>
      <c r="C36" s="727" t="s">
        <v>208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1">
        <f>F22*3</f>
        <v>3</v>
      </c>
      <c r="G36" s="307">
        <f ca="1">IF(ISERROR(OFFSET('HARGA SATUAN'!$I$6,MATCH(RAB!C36,'HARGA SATUAN'!$C$7:$C$1495,0),0)),0,OFFSET('HARGA SATUAN'!$I$6,MATCH(RAB!C36,'HARGA SATUAN'!$C$7:$C$1495,0),0))</f>
        <v>173400</v>
      </c>
      <c r="H36" s="308">
        <f t="shared" ca="1" si="0"/>
        <v>0</v>
      </c>
      <c r="I36" s="308">
        <f t="shared" ca="1" si="1"/>
        <v>520200</v>
      </c>
      <c r="J36" s="308">
        <f t="shared" ca="1" si="2"/>
        <v>0</v>
      </c>
      <c r="K36" s="309">
        <f t="shared" ca="1" si="3"/>
        <v>520200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24">
        <v>13</v>
      </c>
      <c r="C37" s="727" t="s">
        <v>247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1">
        <f>F22*2</f>
        <v>2</v>
      </c>
      <c r="G37" s="307">
        <f ca="1">IF(ISERROR(OFFSET('HARGA SATUAN'!$I$6,MATCH(RAB!C37,'HARGA SATUAN'!$C$7:$C$1495,0),0)),0,OFFSET('HARGA SATUAN'!$I$6,MATCH(RAB!C37,'HARGA SATUAN'!$C$7:$C$1495,0),0))</f>
        <v>57690</v>
      </c>
      <c r="H37" s="308">
        <f t="shared" ca="1" si="0"/>
        <v>0</v>
      </c>
      <c r="I37" s="308">
        <f t="shared" ca="1" si="1"/>
        <v>115380</v>
      </c>
      <c r="J37" s="308">
        <f t="shared" ca="1" si="2"/>
        <v>0</v>
      </c>
      <c r="K37" s="309">
        <f t="shared" ca="1" si="3"/>
        <v>115380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24">
        <v>14</v>
      </c>
      <c r="C38" s="727" t="s">
        <v>248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1">
        <f>F22*2</f>
        <v>2</v>
      </c>
      <c r="G38" s="307">
        <f ca="1">IF(ISERROR(OFFSET('HARGA SATUAN'!$I$6,MATCH(RAB!C38,'HARGA SATUAN'!$C$7:$C$1495,0),0)),0,OFFSET('HARGA SATUAN'!$I$6,MATCH(RAB!C38,'HARGA SATUAN'!$C$7:$C$1495,0),0))</f>
        <v>60300</v>
      </c>
      <c r="H38" s="308">
        <f t="shared" ca="1" si="0"/>
        <v>0</v>
      </c>
      <c r="I38" s="308">
        <f t="shared" ca="1" si="1"/>
        <v>120600</v>
      </c>
      <c r="J38" s="308">
        <f t="shared" ca="1" si="2"/>
        <v>0</v>
      </c>
      <c r="K38" s="309">
        <f t="shared" ca="1" si="3"/>
        <v>120600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724">
        <v>15</v>
      </c>
      <c r="C39" s="727" t="s">
        <v>267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1">
        <f>F22*4</f>
        <v>4</v>
      </c>
      <c r="G39" s="307">
        <f ca="1">IF(ISERROR(OFFSET('HARGA SATUAN'!$I$6,MATCH(RAB!C39,'HARGA SATUAN'!$C$7:$C$1495,0),0)),0,OFFSET('HARGA SATUAN'!$I$6,MATCH(RAB!C39,'HARGA SATUAN'!$C$7:$C$1495,0),0))</f>
        <v>129000</v>
      </c>
      <c r="H39" s="308">
        <f t="shared" ca="1" si="0"/>
        <v>0</v>
      </c>
      <c r="I39" s="308">
        <f t="shared" ca="1" si="1"/>
        <v>516000</v>
      </c>
      <c r="J39" s="308">
        <f t="shared" ca="1" si="2"/>
        <v>0</v>
      </c>
      <c r="K39" s="309">
        <f t="shared" ca="1" si="3"/>
        <v>516000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724">
        <v>16</v>
      </c>
      <c r="C40" s="727" t="s">
        <v>787</v>
      </c>
      <c r="D40" s="305" t="str">
        <f ca="1">IF(ISERROR(OFFSET('HARGA SATUAN'!$D$6,MATCH(RAB!C40,'HARGA SATUAN'!$C$7:$C$1495,0),0)),"",OFFSET('HARGA SATUAN'!$D$6,MATCH(RAB!C40,'HARGA SATUAN'!$C$7:$C$1495,0),0))</f>
        <v>JASA</v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51">
        <f>F22*1</f>
        <v>1</v>
      </c>
      <c r="G40" s="307">
        <f ca="1">IF(ISERROR(OFFSET('HARGA SATUAN'!$I$6,MATCH(RAB!C40,'HARGA SATUAN'!$C$7:$C$1495,0),0)),0,OFFSET('HARGA SATUAN'!$I$6,MATCH(RAB!C40,'HARGA SATUAN'!$C$7:$C$1495,0),0))</f>
        <v>3784400</v>
      </c>
      <c r="H40" s="308">
        <f t="shared" ca="1" si="0"/>
        <v>0</v>
      </c>
      <c r="I40" s="308">
        <f t="shared" ca="1" si="1"/>
        <v>0</v>
      </c>
      <c r="J40" s="308">
        <f t="shared" ca="1" si="2"/>
        <v>3784400</v>
      </c>
      <c r="K40" s="309">
        <f t="shared" ca="1" si="3"/>
        <v>3784400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12"/>
      <c r="C41" s="513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1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0"/>
        <v>0</v>
      </c>
      <c r="I41" s="308">
        <f t="shared" ca="1" si="1"/>
        <v>0</v>
      </c>
      <c r="J41" s="308">
        <f t="shared" ca="1" si="2"/>
        <v>0</v>
      </c>
      <c r="K41" s="309">
        <f t="shared" ca="1" si="3"/>
        <v>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6" t="s">
        <v>1035</v>
      </c>
      <c r="C42" s="518" t="s">
        <v>1626</v>
      </c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>Unit</v>
      </c>
      <c r="F42" s="451">
        <v>2</v>
      </c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0"/>
        <v>0</v>
      </c>
      <c r="I42" s="308">
        <f t="shared" ca="1" si="1"/>
        <v>0</v>
      </c>
      <c r="J42" s="308">
        <f t="shared" ca="1" si="2"/>
        <v>0</v>
      </c>
      <c r="K42" s="309">
        <f t="shared" ca="1" si="3"/>
        <v>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6">
        <v>1</v>
      </c>
      <c r="C43" s="519" t="s">
        <v>29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1">
        <f>F42*1</f>
        <v>2</v>
      </c>
      <c r="G43" s="307">
        <f ca="1">IF(ISERROR(OFFSET('HARGA SATUAN'!$I$6,MATCH(RAB!C43,'HARGA SATUAN'!$C$7:$C$1495,0),0)),0,OFFSET('HARGA SATUAN'!$I$6,MATCH(RAB!C43,'HARGA SATUAN'!$C$7:$C$1495,0),0))</f>
        <v>185200</v>
      </c>
      <c r="H43" s="308">
        <f t="shared" ca="1" si="0"/>
        <v>0</v>
      </c>
      <c r="I43" s="308">
        <f t="shared" ca="1" si="1"/>
        <v>370400</v>
      </c>
      <c r="J43" s="308">
        <f t="shared" ca="1" si="2"/>
        <v>0</v>
      </c>
      <c r="K43" s="309">
        <f t="shared" ca="1" si="3"/>
        <v>370400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14">
        <v>2</v>
      </c>
      <c r="C44" s="515" t="s">
        <v>30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1">
        <f>F42*1</f>
        <v>2</v>
      </c>
      <c r="G44" s="307">
        <f ca="1">IF(ISERROR(OFFSET('HARGA SATUAN'!$I$6,MATCH(RAB!C44,'HARGA SATUAN'!$C$7:$C$1495,0),0)),0,OFFSET('HARGA SATUAN'!$I$6,MATCH(RAB!C44,'HARGA SATUAN'!$C$7:$C$1495,0),0))</f>
        <v>47459</v>
      </c>
      <c r="H44" s="308">
        <f t="shared" ca="1" si="0"/>
        <v>0</v>
      </c>
      <c r="I44" s="308">
        <f t="shared" ca="1" si="1"/>
        <v>94918</v>
      </c>
      <c r="J44" s="308">
        <f t="shared" ca="1" si="2"/>
        <v>0</v>
      </c>
      <c r="K44" s="309">
        <f t="shared" ca="1" si="3"/>
        <v>94918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14">
        <v>3</v>
      </c>
      <c r="C45" s="515" t="s">
        <v>31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1">
        <f>F42*1</f>
        <v>2</v>
      </c>
      <c r="G45" s="307">
        <f ca="1">IF(ISERROR(OFFSET('HARGA SATUAN'!$I$6,MATCH(RAB!C45,'HARGA SATUAN'!$C$7:$C$1495,0),0)),0,OFFSET('HARGA SATUAN'!$I$6,MATCH(RAB!C45,'HARGA SATUAN'!$C$7:$C$1495,0),0))</f>
        <v>4880</v>
      </c>
      <c r="H45" s="308">
        <f t="shared" ca="1" si="0"/>
        <v>0</v>
      </c>
      <c r="I45" s="308">
        <f t="shared" ca="1" si="1"/>
        <v>9760</v>
      </c>
      <c r="J45" s="308">
        <f t="shared" ca="1" si="2"/>
        <v>0</v>
      </c>
      <c r="K45" s="309">
        <f t="shared" ca="1" si="3"/>
        <v>9760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14">
        <v>4</v>
      </c>
      <c r="C46" s="515" t="s">
        <v>32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Mtr</v>
      </c>
      <c r="F46" s="451">
        <f>F42*10</f>
        <v>20</v>
      </c>
      <c r="G46" s="307">
        <f ca="1">IF(ISERROR(OFFSET('HARGA SATUAN'!$I$6,MATCH(RAB!C46,'HARGA SATUAN'!$C$7:$C$1495,0),0)),0,OFFSET('HARGA SATUAN'!$I$6,MATCH(RAB!C46,'HARGA SATUAN'!$C$7:$C$1495,0),0))</f>
        <v>30000</v>
      </c>
      <c r="H46" s="308">
        <f t="shared" ca="1" si="0"/>
        <v>0</v>
      </c>
      <c r="I46" s="308">
        <f t="shared" ca="1" si="1"/>
        <v>600000</v>
      </c>
      <c r="J46" s="308">
        <f t="shared" ca="1" si="2"/>
        <v>0</v>
      </c>
      <c r="K46" s="309">
        <f t="shared" ca="1" si="3"/>
        <v>600000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14">
        <v>5</v>
      </c>
      <c r="C47" s="515" t="s">
        <v>33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51">
        <f>F42*2</f>
        <v>4</v>
      </c>
      <c r="G47" s="307">
        <f ca="1">IF(ISERROR(OFFSET('HARGA SATUAN'!$I$6,MATCH(RAB!C47,'HARGA SATUAN'!$C$7:$C$1495,0),0)),0,OFFSET('HARGA SATUAN'!$I$6,MATCH(RAB!C47,'HARGA SATUAN'!$C$7:$C$1495,0),0))</f>
        <v>9500</v>
      </c>
      <c r="H47" s="308">
        <f t="shared" ca="1" si="0"/>
        <v>0</v>
      </c>
      <c r="I47" s="308">
        <f t="shared" ca="1" si="1"/>
        <v>38000</v>
      </c>
      <c r="J47" s="308">
        <f t="shared" ca="1" si="2"/>
        <v>0</v>
      </c>
      <c r="K47" s="309">
        <f t="shared" ca="1" si="3"/>
        <v>38000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14">
        <v>6</v>
      </c>
      <c r="C48" s="515" t="s">
        <v>34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1">
        <f>F42*5.5</f>
        <v>11</v>
      </c>
      <c r="G48" s="307">
        <f ca="1">IF(ISERROR(OFFSET('HARGA SATUAN'!$I$6,MATCH(RAB!C48,'HARGA SATUAN'!$C$7:$C$1495,0),0)),0,OFFSET('HARGA SATUAN'!$I$6,MATCH(RAB!C48,'HARGA SATUAN'!$C$7:$C$1495,0),0))</f>
        <v>6100</v>
      </c>
      <c r="H48" s="308">
        <f t="shared" ca="1" si="0"/>
        <v>0</v>
      </c>
      <c r="I48" s="308">
        <f t="shared" ca="1" si="1"/>
        <v>67100</v>
      </c>
      <c r="J48" s="308">
        <f t="shared" ca="1" si="2"/>
        <v>0</v>
      </c>
      <c r="K48" s="309">
        <f t="shared" ca="1" si="3"/>
        <v>67100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14">
        <v>7</v>
      </c>
      <c r="C49" s="515" t="s">
        <v>35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51">
        <f>F42*6</f>
        <v>12</v>
      </c>
      <c r="G49" s="307">
        <f ca="1">IF(ISERROR(OFFSET('HARGA SATUAN'!$I$6,MATCH(RAB!C49,'HARGA SATUAN'!$C$7:$C$1495,0),0)),0,OFFSET('HARGA SATUAN'!$I$6,MATCH(RAB!C49,'HARGA SATUAN'!$C$7:$C$1495,0),0))</f>
        <v>2300</v>
      </c>
      <c r="H49" s="308">
        <f t="shared" ca="1" si="0"/>
        <v>0</v>
      </c>
      <c r="I49" s="308">
        <f t="shared" ca="1" si="1"/>
        <v>27600</v>
      </c>
      <c r="J49" s="308">
        <f t="shared" ca="1" si="2"/>
        <v>0</v>
      </c>
      <c r="K49" s="309">
        <f t="shared" ca="1" si="3"/>
        <v>27600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14">
        <v>8</v>
      </c>
      <c r="C50" s="515" t="s">
        <v>1629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Mtr</v>
      </c>
      <c r="F50" s="451">
        <f>F42*4.8</f>
        <v>9.6</v>
      </c>
      <c r="G50" s="307">
        <f ca="1">IF(ISERROR(OFFSET('HARGA SATUAN'!$I$6,MATCH(RAB!C50,'HARGA SATUAN'!$C$7:$C$1495,0),0)),0,OFFSET('HARGA SATUAN'!$I$6,MATCH(RAB!C50,'HARGA SATUAN'!$C$7:$C$1495,0),0))</f>
        <v>23310</v>
      </c>
      <c r="H50" s="308">
        <f t="shared" ca="1" si="0"/>
        <v>0</v>
      </c>
      <c r="I50" s="308">
        <f t="shared" ca="1" si="1"/>
        <v>223776</v>
      </c>
      <c r="J50" s="308">
        <f t="shared" ca="1" si="2"/>
        <v>0</v>
      </c>
      <c r="K50" s="309">
        <f t="shared" ca="1" si="3"/>
        <v>223776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14">
        <v>9</v>
      </c>
      <c r="C51" s="515" t="s">
        <v>736</v>
      </c>
      <c r="D51" s="305" t="str">
        <f ca="1">IF(ISERROR(OFFSET('HARGA SATUAN'!$D$6,MATCH(RAB!C51,'HARGA SATUAN'!$C$7:$C$1495,0),0)),"",OFFSET('HARGA SATUAN'!$D$6,MATCH(RAB!C51,'HARGA SATUAN'!$C$7:$C$1495,0),0))</f>
        <v>JASA</v>
      </c>
      <c r="E51" s="306" t="str">
        <f ca="1">IF(B51="+","Unit",IF(ISERROR(OFFSET('HARGA SATUAN'!$E$6,MATCH(RAB!C51,'HARGA SATUAN'!$C$7:$C$1495,0),0)),"",OFFSET('HARGA SATUAN'!$E$6,MATCH(RAB!C51,'HARGA SATUAN'!$C$7:$C$1495,0),0)))</f>
        <v>Unit</v>
      </c>
      <c r="F51" s="451">
        <f>F42*1</f>
        <v>2</v>
      </c>
      <c r="G51" s="307">
        <f ca="1">IF(ISERROR(OFFSET('HARGA SATUAN'!$I$6,MATCH(RAB!C51,'HARGA SATUAN'!$C$7:$C$1495,0),0)),0,OFFSET('HARGA SATUAN'!$I$6,MATCH(RAB!C51,'HARGA SATUAN'!$C$7:$C$1495,0),0))</f>
        <v>65400</v>
      </c>
      <c r="H51" s="308">
        <f t="shared" ca="1" si="0"/>
        <v>0</v>
      </c>
      <c r="I51" s="308">
        <f t="shared" ca="1" si="1"/>
        <v>0</v>
      </c>
      <c r="J51" s="308">
        <f t="shared" ca="1" si="2"/>
        <v>130800</v>
      </c>
      <c r="K51" s="309">
        <f t="shared" ca="1" si="3"/>
        <v>130800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14"/>
      <c r="C52" s="515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1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0"/>
        <v>0</v>
      </c>
      <c r="I52" s="308">
        <f t="shared" ca="1" si="1"/>
        <v>0</v>
      </c>
      <c r="J52" s="308">
        <f t="shared" ca="1" si="2"/>
        <v>0</v>
      </c>
      <c r="K52" s="309">
        <f t="shared" ca="1" si="3"/>
        <v>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24" t="s">
        <v>1035</v>
      </c>
      <c r="C53" s="727" t="s">
        <v>1644</v>
      </c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51">
        <v>4</v>
      </c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0"/>
        <v>0</v>
      </c>
      <c r="I53" s="308">
        <f t="shared" ca="1" si="1"/>
        <v>0</v>
      </c>
      <c r="J53" s="308">
        <f t="shared" ca="1" si="2"/>
        <v>0</v>
      </c>
      <c r="K53" s="309">
        <f t="shared" ca="1" si="3"/>
        <v>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24">
        <v>1</v>
      </c>
      <c r="C54" s="727" t="s">
        <v>1608</v>
      </c>
      <c r="D54" s="305" t="str">
        <f ca="1">IF(ISERROR(OFFSET('HARGA SATUAN'!$D$6,MATCH(RAB!C54,'HARGA SATUAN'!$C$7:$C$1495,0),0)),"",OFFSET('HARGA SATUAN'!$D$6,MATCH(RAB!C54,'HARGA SATUAN'!$C$7:$C$1495,0),0))</f>
        <v>MDU-KD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51">
        <f>F53*1</f>
        <v>4</v>
      </c>
      <c r="G54" s="307">
        <f ca="1">IF(ISERROR(OFFSET('HARGA SATUAN'!$I$6,MATCH(RAB!C54,'HARGA SATUAN'!$C$7:$C$1495,0),0)),0,OFFSET('HARGA SATUAN'!$I$6,MATCH(RAB!C54,'HARGA SATUAN'!$C$7:$C$1495,0),0))</f>
        <v>176900</v>
      </c>
      <c r="H54" s="308">
        <f t="shared" ca="1" si="0"/>
        <v>707600</v>
      </c>
      <c r="I54" s="308">
        <f t="shared" ca="1" si="1"/>
        <v>0</v>
      </c>
      <c r="J54" s="308">
        <f t="shared" ca="1" si="2"/>
        <v>0</v>
      </c>
      <c r="K54" s="309">
        <f t="shared" ca="1" si="3"/>
        <v>707600</v>
      </c>
      <c r="L54" s="289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24">
        <v>2</v>
      </c>
      <c r="C55" s="727" t="s">
        <v>1609</v>
      </c>
      <c r="D55" s="305" t="str">
        <f ca="1">IF(ISERROR(OFFSET('HARGA SATUAN'!$D$6,MATCH(RAB!C55,'HARGA SATUAN'!$C$7:$C$1495,0),0)),"",OFFSET('HARGA SATUAN'!$D$6,MATCH(RAB!C55,'HARGA SATUAN'!$C$7:$C$1495,0),0))</f>
        <v>MDU-KD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51">
        <f>F53*2</f>
        <v>8</v>
      </c>
      <c r="G55" s="307">
        <f ca="1">IF(ISERROR(OFFSET('HARGA SATUAN'!$I$6,MATCH(RAB!C55,'HARGA SATUAN'!$C$7:$C$1495,0),0)),0,OFFSET('HARGA SATUAN'!$I$6,MATCH(RAB!C55,'HARGA SATUAN'!$C$7:$C$1495,0),0))</f>
        <v>235900</v>
      </c>
      <c r="H55" s="308">
        <f t="shared" ca="1" si="0"/>
        <v>1887200</v>
      </c>
      <c r="I55" s="308">
        <f t="shared" ca="1" si="1"/>
        <v>0</v>
      </c>
      <c r="J55" s="308">
        <f t="shared" ca="1" si="2"/>
        <v>0</v>
      </c>
      <c r="K55" s="309">
        <f t="shared" ca="1" si="3"/>
        <v>1887200</v>
      </c>
      <c r="L55" s="289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24">
        <v>3</v>
      </c>
      <c r="C56" s="727" t="s">
        <v>28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1">
        <f>F53*3</f>
        <v>12</v>
      </c>
      <c r="G56" s="307">
        <f ca="1">IF(ISERROR(OFFSET('HARGA SATUAN'!$I$6,MATCH(RAB!C56,'HARGA SATUAN'!$C$7:$C$1495,0),0)),0,OFFSET('HARGA SATUAN'!$I$6,MATCH(RAB!C56,'HARGA SATUAN'!$C$7:$C$1495,0),0))</f>
        <v>26500</v>
      </c>
      <c r="H56" s="308">
        <f t="shared" ca="1" si="0"/>
        <v>0</v>
      </c>
      <c r="I56" s="308">
        <f t="shared" ca="1" si="1"/>
        <v>318000</v>
      </c>
      <c r="J56" s="308">
        <f t="shared" ca="1" si="2"/>
        <v>0</v>
      </c>
      <c r="K56" s="309">
        <f t="shared" ca="1" si="3"/>
        <v>318000</v>
      </c>
      <c r="L56" s="289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24">
        <v>4</v>
      </c>
      <c r="C57" s="727" t="s">
        <v>163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51">
        <f>F53*2</f>
        <v>8</v>
      </c>
      <c r="G57" s="307">
        <f ca="1">IF(ISERROR(OFFSET('HARGA SATUAN'!$I$6,MATCH(RAB!C57,'HARGA SATUAN'!$C$7:$C$1495,0),0)),0,OFFSET('HARGA SATUAN'!$I$6,MATCH(RAB!C57,'HARGA SATUAN'!$C$7:$C$1495,0),0))</f>
        <v>7938</v>
      </c>
      <c r="H57" s="308">
        <f t="shared" ca="1" si="0"/>
        <v>0</v>
      </c>
      <c r="I57" s="308">
        <f t="shared" ca="1" si="1"/>
        <v>63504</v>
      </c>
      <c r="J57" s="308">
        <f t="shared" ca="1" si="2"/>
        <v>0</v>
      </c>
      <c r="K57" s="309">
        <f t="shared" ca="1" si="3"/>
        <v>63504</v>
      </c>
      <c r="L57" s="289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24">
        <v>5</v>
      </c>
      <c r="C58" s="727" t="s">
        <v>168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1">
        <f>F53*1</f>
        <v>4</v>
      </c>
      <c r="G58" s="307">
        <f ca="1">IF(ISERROR(OFFSET('HARGA SATUAN'!$I$6,MATCH(RAB!C58,'HARGA SATUAN'!$C$7:$C$1495,0),0)),0,OFFSET('HARGA SATUAN'!$I$6,MATCH(RAB!C58,'HARGA SATUAN'!$C$7:$C$1495,0),0))</f>
        <v>33600</v>
      </c>
      <c r="H58" s="308">
        <f t="shared" ca="1" si="0"/>
        <v>0</v>
      </c>
      <c r="I58" s="308">
        <f t="shared" ca="1" si="1"/>
        <v>134400</v>
      </c>
      <c r="J58" s="308">
        <f t="shared" ca="1" si="2"/>
        <v>0</v>
      </c>
      <c r="K58" s="309">
        <f t="shared" ca="1" si="3"/>
        <v>134400</v>
      </c>
      <c r="L58" s="289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724">
        <v>6</v>
      </c>
      <c r="C59" s="727" t="s">
        <v>173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51">
        <f>F53*2</f>
        <v>8</v>
      </c>
      <c r="G59" s="307">
        <f ca="1">IF(ISERROR(OFFSET('HARGA SATUAN'!$I$6,MATCH(RAB!C59,'HARGA SATUAN'!$C$7:$C$1495,0),0)),0,OFFSET('HARGA SATUAN'!$I$6,MATCH(RAB!C59,'HARGA SATUAN'!$C$7:$C$1495,0),0))</f>
        <v>45000</v>
      </c>
      <c r="H59" s="308">
        <f t="shared" ca="1" si="0"/>
        <v>0</v>
      </c>
      <c r="I59" s="308">
        <f t="shared" ca="1" si="1"/>
        <v>360000</v>
      </c>
      <c r="J59" s="308">
        <f t="shared" ca="1" si="2"/>
        <v>0</v>
      </c>
      <c r="K59" s="309">
        <f t="shared" ca="1" si="3"/>
        <v>360000</v>
      </c>
      <c r="L59" s="289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724">
        <v>7</v>
      </c>
      <c r="C60" s="727" t="s">
        <v>178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51">
        <f>F53*1</f>
        <v>4</v>
      </c>
      <c r="G60" s="307">
        <f ca="1">IF(ISERROR(OFFSET('HARGA SATUAN'!$I$6,MATCH(RAB!C60,'HARGA SATUAN'!$C$7:$C$1495,0),0)),0,OFFSET('HARGA SATUAN'!$I$6,MATCH(RAB!C60,'HARGA SATUAN'!$C$7:$C$1495,0),0))</f>
        <v>95000</v>
      </c>
      <c r="H60" s="308">
        <f t="shared" ca="1" si="0"/>
        <v>0</v>
      </c>
      <c r="I60" s="308">
        <f t="shared" ca="1" si="1"/>
        <v>380000</v>
      </c>
      <c r="J60" s="308">
        <f t="shared" ca="1" si="2"/>
        <v>0</v>
      </c>
      <c r="K60" s="309">
        <f t="shared" ca="1" si="3"/>
        <v>380000</v>
      </c>
      <c r="L60" s="289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724">
        <v>8</v>
      </c>
      <c r="C61" s="727" t="s">
        <v>593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51">
        <f>F53*1</f>
        <v>4</v>
      </c>
      <c r="G61" s="307">
        <f ca="1">IF(ISERROR(OFFSET('HARGA SATUAN'!$I$6,MATCH(RAB!C61,'HARGA SATUAN'!$C$7:$C$1495,0),0)),0,OFFSET('HARGA SATUAN'!$I$6,MATCH(RAB!C61,'HARGA SATUAN'!$C$7:$C$1495,0),0))</f>
        <v>380500</v>
      </c>
      <c r="H61" s="308">
        <f t="shared" ca="1" si="0"/>
        <v>0</v>
      </c>
      <c r="I61" s="308">
        <f t="shared" ca="1" si="1"/>
        <v>1522000</v>
      </c>
      <c r="J61" s="308">
        <f t="shared" ca="1" si="2"/>
        <v>0</v>
      </c>
      <c r="K61" s="309">
        <f t="shared" ca="1" si="3"/>
        <v>1522000</v>
      </c>
      <c r="L61" s="289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724">
        <v>9</v>
      </c>
      <c r="C62" s="727" t="s">
        <v>217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51">
        <f>F53*4</f>
        <v>16</v>
      </c>
      <c r="G62" s="307">
        <f ca="1">IF(ISERROR(OFFSET('HARGA SATUAN'!$I$6,MATCH(RAB!C62,'HARGA SATUAN'!$C$7:$C$1495,0),0)),0,OFFSET('HARGA SATUAN'!$I$6,MATCH(RAB!C62,'HARGA SATUAN'!$C$7:$C$1495,0),0))</f>
        <v>11400</v>
      </c>
      <c r="H62" s="308">
        <f t="shared" ca="1" si="0"/>
        <v>0</v>
      </c>
      <c r="I62" s="308">
        <f t="shared" ca="1" si="1"/>
        <v>182400</v>
      </c>
      <c r="J62" s="308">
        <f t="shared" ca="1" si="2"/>
        <v>0</v>
      </c>
      <c r="K62" s="309">
        <f t="shared" ca="1" si="3"/>
        <v>182400</v>
      </c>
      <c r="L62" s="289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724">
        <v>10</v>
      </c>
      <c r="C63" s="727" t="s">
        <v>247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451">
        <f>F53*1</f>
        <v>4</v>
      </c>
      <c r="G63" s="307">
        <f ca="1">IF(ISERROR(OFFSET('HARGA SATUAN'!$I$6,MATCH(RAB!C63,'HARGA SATUAN'!$C$7:$C$1495,0),0)),0,OFFSET('HARGA SATUAN'!$I$6,MATCH(RAB!C63,'HARGA SATUAN'!$C$7:$C$1495,0),0))</f>
        <v>57690</v>
      </c>
      <c r="H63" s="308">
        <f t="shared" ca="1" si="0"/>
        <v>0</v>
      </c>
      <c r="I63" s="308">
        <f t="shared" ca="1" si="1"/>
        <v>230760</v>
      </c>
      <c r="J63" s="308">
        <f t="shared" ca="1" si="2"/>
        <v>0</v>
      </c>
      <c r="K63" s="309">
        <f t="shared" ca="1" si="3"/>
        <v>230760</v>
      </c>
      <c r="L63" s="289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724">
        <v>11</v>
      </c>
      <c r="C64" s="727" t="s">
        <v>264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451">
        <f>F53*1</f>
        <v>4</v>
      </c>
      <c r="G64" s="307">
        <f ca="1">IF(ISERROR(OFFSET('HARGA SATUAN'!$I$6,MATCH(RAB!C64,'HARGA SATUAN'!$C$7:$C$1495,0),0)),0,OFFSET('HARGA SATUAN'!$I$6,MATCH(RAB!C64,'HARGA SATUAN'!$C$7:$C$1495,0),0))</f>
        <v>28000</v>
      </c>
      <c r="H64" s="308">
        <f t="shared" ca="1" si="0"/>
        <v>0</v>
      </c>
      <c r="I64" s="308">
        <f t="shared" ca="1" si="1"/>
        <v>112000</v>
      </c>
      <c r="J64" s="308">
        <f t="shared" ca="1" si="2"/>
        <v>0</v>
      </c>
      <c r="K64" s="309">
        <f t="shared" ca="1" si="3"/>
        <v>112000</v>
      </c>
      <c r="L64" s="289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724">
        <v>12</v>
      </c>
      <c r="C65" s="727" t="s">
        <v>38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Mtr</v>
      </c>
      <c r="F65" s="451">
        <f>6.2*F53</f>
        <v>24.8</v>
      </c>
      <c r="G65" s="307">
        <f ca="1">IF(ISERROR(OFFSET('HARGA SATUAN'!$I$6,MATCH(RAB!C65,'HARGA SATUAN'!$C$7:$C$1495,0),0)),0,OFFSET('HARGA SATUAN'!$I$6,MATCH(RAB!C65,'HARGA SATUAN'!$C$7:$C$1495,0),0))</f>
        <v>8550</v>
      </c>
      <c r="H65" s="308">
        <f t="shared" ca="1" si="0"/>
        <v>0</v>
      </c>
      <c r="I65" s="308">
        <f t="shared" ca="1" si="1"/>
        <v>212040</v>
      </c>
      <c r="J65" s="308">
        <f t="shared" ca="1" si="2"/>
        <v>0</v>
      </c>
      <c r="K65" s="309">
        <f t="shared" ca="1" si="3"/>
        <v>212040</v>
      </c>
      <c r="L65" s="289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724">
        <v>13</v>
      </c>
      <c r="C66" s="727" t="s">
        <v>26</v>
      </c>
      <c r="D66" s="305" t="str">
        <f ca="1">IF(ISERROR(OFFSET('HARGA SATUAN'!$D$6,MATCH(RAB!C66,'HARGA SATUAN'!$C$7:$C$1495,0),0)),"",OFFSET('HARGA SATUAN'!$D$6,MATCH(RAB!C66,'HARGA SATUAN'!$C$7:$C$1495,0),0))</f>
        <v>HDW</v>
      </c>
      <c r="E66" s="306" t="str">
        <f ca="1">IF(B66="+","Unit",IF(ISERROR(OFFSET('HARGA SATUAN'!$E$6,MATCH(RAB!C66,'HARGA SATUAN'!$C$7:$C$1495,0),0)),"",OFFSET('HARGA SATUAN'!$E$6,MATCH(RAB!C66,'HARGA SATUAN'!$C$7:$C$1495,0),0)))</f>
        <v>Bh</v>
      </c>
      <c r="F66" s="451">
        <f>F53*5</f>
        <v>20</v>
      </c>
      <c r="G66" s="307">
        <f ca="1">IF(ISERROR(OFFSET('HARGA SATUAN'!$I$6,MATCH(RAB!C66,'HARGA SATUAN'!$C$7:$C$1495,0),0)),0,OFFSET('HARGA SATUAN'!$I$6,MATCH(RAB!C66,'HARGA SATUAN'!$C$7:$C$1495,0),0))</f>
        <v>2500</v>
      </c>
      <c r="H66" s="308">
        <f t="shared" ca="1" si="0"/>
        <v>0</v>
      </c>
      <c r="I66" s="308">
        <f t="shared" ca="1" si="1"/>
        <v>50000</v>
      </c>
      <c r="J66" s="308">
        <f t="shared" ca="1" si="2"/>
        <v>0</v>
      </c>
      <c r="K66" s="309">
        <f t="shared" ca="1" si="3"/>
        <v>50000</v>
      </c>
      <c r="L66" s="289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724">
        <v>14</v>
      </c>
      <c r="C67" s="727" t="s">
        <v>687</v>
      </c>
      <c r="D67" s="305" t="str">
        <f ca="1">IF(ISERROR(OFFSET('HARGA SATUAN'!$D$6,MATCH(RAB!C67,'HARGA SATUAN'!$C$7:$C$1495,0),0)),"",OFFSET('HARGA SATUAN'!$D$6,MATCH(RAB!C67,'HARGA SATUAN'!$C$7:$C$1495,0),0))</f>
        <v>JASA</v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451">
        <f>F53*1</f>
        <v>4</v>
      </c>
      <c r="G67" s="307">
        <f ca="1">IF(ISERROR(OFFSET('HARGA SATUAN'!$I$6,MATCH(RAB!C67,'HARGA SATUAN'!$C$7:$C$1495,0),0)),0,OFFSET('HARGA SATUAN'!$I$6,MATCH(RAB!C67,'HARGA SATUAN'!$C$7:$C$1495,0),0))</f>
        <v>111000</v>
      </c>
      <c r="H67" s="308">
        <f t="shared" ca="1" si="0"/>
        <v>0</v>
      </c>
      <c r="I67" s="308">
        <f t="shared" ca="1" si="1"/>
        <v>0</v>
      </c>
      <c r="J67" s="308">
        <f t="shared" ca="1" si="2"/>
        <v>444000</v>
      </c>
      <c r="K67" s="309">
        <f t="shared" ca="1" si="3"/>
        <v>444000</v>
      </c>
      <c r="L67" s="289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514"/>
      <c r="C68" s="515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1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0"/>
        <v>0</v>
      </c>
      <c r="I68" s="308">
        <f t="shared" ca="1" si="1"/>
        <v>0</v>
      </c>
      <c r="J68" s="308">
        <f t="shared" ca="1" si="2"/>
        <v>0</v>
      </c>
      <c r="K68" s="309">
        <f t="shared" ca="1" si="3"/>
        <v>0</v>
      </c>
      <c r="L68" s="289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24" t="s">
        <v>1035</v>
      </c>
      <c r="C69" s="519" t="s">
        <v>1645</v>
      </c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>Unit</v>
      </c>
      <c r="F69" s="726">
        <v>3</v>
      </c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0"/>
        <v>0</v>
      </c>
      <c r="I69" s="308">
        <f t="shared" ca="1" si="1"/>
        <v>0</v>
      </c>
      <c r="J69" s="308">
        <f t="shared" ca="1" si="2"/>
        <v>0</v>
      </c>
      <c r="K69" s="309">
        <f t="shared" ca="1" si="3"/>
        <v>0</v>
      </c>
      <c r="L69" s="289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24">
        <v>1</v>
      </c>
      <c r="C70" s="519" t="s">
        <v>1608</v>
      </c>
      <c r="D70" s="305" t="str">
        <f ca="1">IF(ISERROR(OFFSET('HARGA SATUAN'!$D$6,MATCH(RAB!C70,'HARGA SATUAN'!$C$7:$C$1495,0),0)),"",OFFSET('HARGA SATUAN'!$D$6,MATCH(RAB!C70,'HARGA SATUAN'!$C$7:$C$1495,0),0))</f>
        <v>MDU-KD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726">
        <f>F69*2</f>
        <v>6</v>
      </c>
      <c r="G70" s="307">
        <f ca="1">IF(ISERROR(OFFSET('HARGA SATUAN'!$I$6,MATCH(RAB!C70,'HARGA SATUAN'!$C$7:$C$1495,0),0)),0,OFFSET('HARGA SATUAN'!$I$6,MATCH(RAB!C70,'HARGA SATUAN'!$C$7:$C$1495,0),0))</f>
        <v>176900</v>
      </c>
      <c r="H70" s="308">
        <f t="shared" ca="1" si="0"/>
        <v>1061400</v>
      </c>
      <c r="I70" s="308">
        <f t="shared" ca="1" si="1"/>
        <v>0</v>
      </c>
      <c r="J70" s="308">
        <f t="shared" ca="1" si="2"/>
        <v>0</v>
      </c>
      <c r="K70" s="309">
        <f t="shared" ca="1" si="3"/>
        <v>1061400</v>
      </c>
      <c r="L70" s="289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724">
        <v>2</v>
      </c>
      <c r="C71" s="519" t="s">
        <v>1609</v>
      </c>
      <c r="D71" s="305" t="str">
        <f ca="1">IF(ISERROR(OFFSET('HARGA SATUAN'!$D$6,MATCH(RAB!C71,'HARGA SATUAN'!$C$7:$C$1495,0),0)),"",OFFSET('HARGA SATUAN'!$D$6,MATCH(RAB!C71,'HARGA SATUAN'!$C$7:$C$1495,0),0))</f>
        <v>MDU-KD</v>
      </c>
      <c r="E71" s="306" t="str">
        <f ca="1">IF(B71="+","Unit",IF(ISERROR(OFFSET('HARGA SATUAN'!$E$6,MATCH(RAB!C71,'HARGA SATUAN'!$C$7:$C$1495,0),0)),"",OFFSET('HARGA SATUAN'!$E$6,MATCH(RAB!C71,'HARGA SATUAN'!$C$7:$C$1495,0),0)))</f>
        <v>Bh</v>
      </c>
      <c r="F71" s="726">
        <f>F69*4</f>
        <v>12</v>
      </c>
      <c r="G71" s="307">
        <f ca="1">IF(ISERROR(OFFSET('HARGA SATUAN'!$I$6,MATCH(RAB!C71,'HARGA SATUAN'!$C$7:$C$1495,0),0)),0,OFFSET('HARGA SATUAN'!$I$6,MATCH(RAB!C71,'HARGA SATUAN'!$C$7:$C$1495,0),0))</f>
        <v>235900</v>
      </c>
      <c r="H71" s="308">
        <f t="shared" ca="1" si="0"/>
        <v>2830800</v>
      </c>
      <c r="I71" s="308">
        <f t="shared" ca="1" si="1"/>
        <v>0</v>
      </c>
      <c r="J71" s="308">
        <f t="shared" ca="1" si="2"/>
        <v>0</v>
      </c>
      <c r="K71" s="309">
        <f t="shared" ca="1" si="3"/>
        <v>2830800</v>
      </c>
      <c r="L71" s="289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24">
        <v>3</v>
      </c>
      <c r="C72" s="519" t="s">
        <v>157</v>
      </c>
      <c r="D72" s="305" t="str">
        <f ca="1">IF(ISERROR(OFFSET('HARGA SATUAN'!$D$6,MATCH(RAB!C72,'HARGA SATUAN'!$C$7:$C$1495,0),0)),"",OFFSET('HARGA SATUAN'!$D$6,MATCH(RAB!C72,'HARGA SATUAN'!$C$7:$C$1495,0),0))</f>
        <v>HDW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726">
        <f>F69*2</f>
        <v>6</v>
      </c>
      <c r="G72" s="307">
        <f ca="1">IF(ISERROR(OFFSET('HARGA SATUAN'!$I$6,MATCH(RAB!C72,'HARGA SATUAN'!$C$7:$C$1495,0),0)),0,OFFSET('HARGA SATUAN'!$I$6,MATCH(RAB!C72,'HARGA SATUAN'!$C$7:$C$1495,0),0))</f>
        <v>40000</v>
      </c>
      <c r="H72" s="308">
        <f t="shared" ca="1" si="0"/>
        <v>0</v>
      </c>
      <c r="I72" s="308">
        <f t="shared" ca="1" si="1"/>
        <v>240000</v>
      </c>
      <c r="J72" s="308">
        <f t="shared" ca="1" si="2"/>
        <v>0</v>
      </c>
      <c r="K72" s="309">
        <f t="shared" ca="1" si="3"/>
        <v>240000</v>
      </c>
      <c r="L72" s="289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724">
        <v>4</v>
      </c>
      <c r="C73" s="519" t="s">
        <v>28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726">
        <f>F69*4</f>
        <v>12</v>
      </c>
      <c r="G73" s="307">
        <f ca="1">IF(ISERROR(OFFSET('HARGA SATUAN'!$I$6,MATCH(RAB!C73,'HARGA SATUAN'!$C$7:$C$1495,0),0)),0,OFFSET('HARGA SATUAN'!$I$6,MATCH(RAB!C73,'HARGA SATUAN'!$C$7:$C$1495,0),0))</f>
        <v>26500</v>
      </c>
      <c r="H73" s="308">
        <f t="shared" ca="1" si="0"/>
        <v>0</v>
      </c>
      <c r="I73" s="308">
        <f t="shared" ca="1" si="1"/>
        <v>318000</v>
      </c>
      <c r="J73" s="308">
        <f t="shared" ca="1" si="2"/>
        <v>0</v>
      </c>
      <c r="K73" s="309">
        <f t="shared" ca="1" si="3"/>
        <v>318000</v>
      </c>
      <c r="L73" s="289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24">
        <v>5</v>
      </c>
      <c r="C74" s="519" t="s">
        <v>163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726">
        <f>F69*4</f>
        <v>12</v>
      </c>
      <c r="G74" s="307">
        <f ca="1">IF(ISERROR(OFFSET('HARGA SATUAN'!$I$6,MATCH(RAB!C74,'HARGA SATUAN'!$C$7:$C$1495,0),0)),0,OFFSET('HARGA SATUAN'!$I$6,MATCH(RAB!C74,'HARGA SATUAN'!$C$7:$C$1495,0),0))</f>
        <v>7938</v>
      </c>
      <c r="H74" s="308">
        <f t="shared" ca="1" si="0"/>
        <v>0</v>
      </c>
      <c r="I74" s="308">
        <f t="shared" ca="1" si="1"/>
        <v>95256</v>
      </c>
      <c r="J74" s="308">
        <f t="shared" ca="1" si="2"/>
        <v>0</v>
      </c>
      <c r="K74" s="309">
        <f t="shared" ca="1" si="3"/>
        <v>95256</v>
      </c>
      <c r="L74" s="289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24">
        <v>6</v>
      </c>
      <c r="C75" s="519" t="s">
        <v>173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726">
        <f>F69*4</f>
        <v>12</v>
      </c>
      <c r="G75" s="307">
        <f ca="1">IF(ISERROR(OFFSET('HARGA SATUAN'!$I$6,MATCH(RAB!C75,'HARGA SATUAN'!$C$7:$C$1495,0),0)),0,OFFSET('HARGA SATUAN'!$I$6,MATCH(RAB!C75,'HARGA SATUAN'!$C$7:$C$1495,0),0))</f>
        <v>45000</v>
      </c>
      <c r="H75" s="308">
        <f t="shared" ca="1" si="0"/>
        <v>0</v>
      </c>
      <c r="I75" s="308">
        <f t="shared" ca="1" si="1"/>
        <v>540000</v>
      </c>
      <c r="J75" s="308">
        <f t="shared" ca="1" si="2"/>
        <v>0</v>
      </c>
      <c r="K75" s="309">
        <f t="shared" ca="1" si="3"/>
        <v>540000</v>
      </c>
      <c r="L75" s="289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24">
        <v>7</v>
      </c>
      <c r="C76" s="519" t="s">
        <v>175</v>
      </c>
      <c r="D76" s="305" t="str">
        <f ca="1">IF(ISERROR(OFFSET('HARGA SATUAN'!$D$6,MATCH(RAB!C76,'HARGA SATUAN'!$C$7:$C$1495,0),0)),"",OFFSET('HARGA SATUAN'!$D$6,MATCH(RAB!C76,'HARGA SATUAN'!$C$7:$C$1495,0),0))</f>
        <v>HDW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726">
        <f>F69*1</f>
        <v>3</v>
      </c>
      <c r="G76" s="307">
        <f ca="1">IF(ISERROR(OFFSET('HARGA SATUAN'!$I$6,MATCH(RAB!C76,'HARGA SATUAN'!$C$7:$C$1495,0),0)),0,OFFSET('HARGA SATUAN'!$I$6,MATCH(RAB!C76,'HARGA SATUAN'!$C$7:$C$1495,0),0))</f>
        <v>13100</v>
      </c>
      <c r="H76" s="308">
        <f t="shared" ca="1" si="0"/>
        <v>0</v>
      </c>
      <c r="I76" s="308">
        <f t="shared" ca="1" si="1"/>
        <v>39300</v>
      </c>
      <c r="J76" s="308">
        <f t="shared" ca="1" si="2"/>
        <v>0</v>
      </c>
      <c r="K76" s="309">
        <f t="shared" ca="1" si="3"/>
        <v>39300</v>
      </c>
      <c r="L76" s="289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724">
        <v>8</v>
      </c>
      <c r="C77" s="519" t="s">
        <v>178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726">
        <f>F69*2</f>
        <v>6</v>
      </c>
      <c r="G77" s="307">
        <f ca="1">IF(ISERROR(OFFSET('HARGA SATUAN'!$I$6,MATCH(RAB!C77,'HARGA SATUAN'!$C$7:$C$1495,0),0)),0,OFFSET('HARGA SATUAN'!$I$6,MATCH(RAB!C77,'HARGA SATUAN'!$C$7:$C$1495,0),0))</f>
        <v>95000</v>
      </c>
      <c r="H77" s="308">
        <f t="shared" ca="1" si="0"/>
        <v>0</v>
      </c>
      <c r="I77" s="308">
        <f t="shared" ca="1" si="1"/>
        <v>570000</v>
      </c>
      <c r="J77" s="308">
        <f t="shared" ca="1" si="2"/>
        <v>0</v>
      </c>
      <c r="K77" s="309">
        <f t="shared" ca="1" si="3"/>
        <v>570000</v>
      </c>
      <c r="L77" s="289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24">
        <v>9</v>
      </c>
      <c r="C78" s="519" t="s">
        <v>593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Bh</v>
      </c>
      <c r="F78" s="726">
        <f>F69*2</f>
        <v>6</v>
      </c>
      <c r="G78" s="307">
        <f ca="1">IF(ISERROR(OFFSET('HARGA SATUAN'!$I$6,MATCH(RAB!C78,'HARGA SATUAN'!$C$7:$C$1495,0),0)),0,OFFSET('HARGA SATUAN'!$I$6,MATCH(RAB!C78,'HARGA SATUAN'!$C$7:$C$1495,0),0))</f>
        <v>380500</v>
      </c>
      <c r="H78" s="308">
        <f t="shared" ca="1" si="0"/>
        <v>0</v>
      </c>
      <c r="I78" s="308">
        <f t="shared" ca="1" si="1"/>
        <v>2283000</v>
      </c>
      <c r="J78" s="308">
        <f t="shared" ca="1" si="2"/>
        <v>0</v>
      </c>
      <c r="K78" s="309">
        <f t="shared" ca="1" si="3"/>
        <v>2283000</v>
      </c>
      <c r="L78" s="289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724">
        <v>10</v>
      </c>
      <c r="C79" s="519" t="s">
        <v>217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Bh</v>
      </c>
      <c r="F79" s="726">
        <f>F69*8</f>
        <v>24</v>
      </c>
      <c r="G79" s="307">
        <f ca="1">IF(ISERROR(OFFSET('HARGA SATUAN'!$I$6,MATCH(RAB!C79,'HARGA SATUAN'!$C$7:$C$1495,0),0)),0,OFFSET('HARGA SATUAN'!$I$6,MATCH(RAB!C79,'HARGA SATUAN'!$C$7:$C$1495,0),0))</f>
        <v>11400</v>
      </c>
      <c r="H79" s="308">
        <f t="shared" ca="1" si="0"/>
        <v>0</v>
      </c>
      <c r="I79" s="308">
        <f t="shared" ca="1" si="1"/>
        <v>273600</v>
      </c>
      <c r="J79" s="308">
        <f t="shared" ca="1" si="2"/>
        <v>0</v>
      </c>
      <c r="K79" s="309">
        <f t="shared" ca="1" si="3"/>
        <v>273600</v>
      </c>
      <c r="L79" s="289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724">
        <v>11</v>
      </c>
      <c r="C80" s="730" t="s">
        <v>37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726">
        <f>F69*1</f>
        <v>3</v>
      </c>
      <c r="G80" s="307">
        <f ca="1">IF(ISERROR(OFFSET('HARGA SATUAN'!$I$6,MATCH(RAB!C80,'HARGA SATUAN'!$C$7:$C$1495,0),0)),0,OFFSET('HARGA SATUAN'!$I$6,MATCH(RAB!C80,'HARGA SATUAN'!$C$7:$C$1495,0),0))</f>
        <v>63500</v>
      </c>
      <c r="H80" s="308">
        <f t="shared" ref="H80:H128" ca="1" si="12">IF(OR(D80="MDU",D80="MDU-KD"),(IF($O$3="RAB NON MDU","PLN KD",G80*F80)),0)</f>
        <v>0</v>
      </c>
      <c r="I80" s="308">
        <f t="shared" ref="I80:I128" ca="1" si="13">IF(D80="HDW",G80*F80,0)</f>
        <v>190500</v>
      </c>
      <c r="J80" s="308">
        <f t="shared" ref="J80:J128" ca="1" si="14">IF(D80="JASA",G80*F80,0)</f>
        <v>0</v>
      </c>
      <c r="K80" s="309">
        <f t="shared" ref="K80:K128" ca="1" si="15">SUM(H80:J80)</f>
        <v>190500</v>
      </c>
      <c r="L80" s="289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724">
        <v>12</v>
      </c>
      <c r="C81" s="519" t="s">
        <v>264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726">
        <f>F69*1</f>
        <v>3</v>
      </c>
      <c r="G81" s="307">
        <f ca="1">IF(ISERROR(OFFSET('HARGA SATUAN'!$I$6,MATCH(RAB!C81,'HARGA SATUAN'!$C$7:$C$1495,0),0)),0,OFFSET('HARGA SATUAN'!$I$6,MATCH(RAB!C81,'HARGA SATUAN'!$C$7:$C$1495,0),0))</f>
        <v>28000</v>
      </c>
      <c r="H81" s="308">
        <f t="shared" ca="1" si="12"/>
        <v>0</v>
      </c>
      <c r="I81" s="308">
        <f t="shared" ca="1" si="13"/>
        <v>84000</v>
      </c>
      <c r="J81" s="308">
        <f t="shared" ca="1" si="14"/>
        <v>0</v>
      </c>
      <c r="K81" s="309">
        <f t="shared" ca="1" si="15"/>
        <v>84000</v>
      </c>
      <c r="L81" s="289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724">
        <v>13</v>
      </c>
      <c r="C82" s="519" t="s">
        <v>38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Mtr</v>
      </c>
      <c r="F82" s="726">
        <f>11.6*F69</f>
        <v>34.799999999999997</v>
      </c>
      <c r="G82" s="307">
        <f ca="1">IF(ISERROR(OFFSET('HARGA SATUAN'!$I$6,MATCH(RAB!C82,'HARGA SATUAN'!$C$7:$C$1495,0),0)),0,OFFSET('HARGA SATUAN'!$I$6,MATCH(RAB!C82,'HARGA SATUAN'!$C$7:$C$1495,0),0))</f>
        <v>8550</v>
      </c>
      <c r="H82" s="308">
        <f t="shared" ca="1" si="12"/>
        <v>0</v>
      </c>
      <c r="I82" s="308">
        <f t="shared" ca="1" si="13"/>
        <v>297540</v>
      </c>
      <c r="J82" s="308">
        <f t="shared" ca="1" si="14"/>
        <v>0</v>
      </c>
      <c r="K82" s="309">
        <f t="shared" ca="1" si="15"/>
        <v>297540</v>
      </c>
      <c r="L82" s="289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724">
        <v>14</v>
      </c>
      <c r="C83" s="519" t="s">
        <v>26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726">
        <f>F69*13</f>
        <v>39</v>
      </c>
      <c r="G83" s="307">
        <f ca="1">IF(ISERROR(OFFSET('HARGA SATUAN'!$I$6,MATCH(RAB!C83,'HARGA SATUAN'!$C$7:$C$1495,0),0)),0,OFFSET('HARGA SATUAN'!$I$6,MATCH(RAB!C83,'HARGA SATUAN'!$C$7:$C$1495,0),0))</f>
        <v>2500</v>
      </c>
      <c r="H83" s="308">
        <f t="shared" ca="1" si="12"/>
        <v>0</v>
      </c>
      <c r="I83" s="308">
        <f t="shared" ca="1" si="13"/>
        <v>97500</v>
      </c>
      <c r="J83" s="308">
        <f t="shared" ca="1" si="14"/>
        <v>0</v>
      </c>
      <c r="K83" s="309">
        <f t="shared" ca="1" si="15"/>
        <v>97500</v>
      </c>
      <c r="L83" s="289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724">
        <v>15</v>
      </c>
      <c r="C84" s="727" t="s">
        <v>693</v>
      </c>
      <c r="D84" s="305" t="str">
        <f ca="1">IF(ISERROR(OFFSET('HARGA SATUAN'!$D$6,MATCH(RAB!C84,'HARGA SATUAN'!$C$7:$C$1495,0),0)),"",OFFSET('HARGA SATUAN'!$D$6,MATCH(RAB!C84,'HARGA SATUAN'!$C$7:$C$1495,0),0))</f>
        <v>JASA</v>
      </c>
      <c r="E84" s="306" t="str">
        <f ca="1">IF(B84="+","Unit",IF(ISERROR(OFFSET('HARGA SATUAN'!$E$6,MATCH(RAB!C84,'HARGA SATUAN'!$C$7:$C$1495,0),0)),"",OFFSET('HARGA SATUAN'!$E$6,MATCH(RAB!C84,'HARGA SATUAN'!$C$7:$C$1495,0),0)))</f>
        <v>Unit</v>
      </c>
      <c r="F84" s="726">
        <f>F69*1</f>
        <v>3</v>
      </c>
      <c r="G84" s="307">
        <f ca="1">IF(ISERROR(OFFSET('HARGA SATUAN'!$I$6,MATCH(RAB!C84,'HARGA SATUAN'!$C$7:$C$1495,0),0)),0,OFFSET('HARGA SATUAN'!$I$6,MATCH(RAB!C84,'HARGA SATUAN'!$C$7:$C$1495,0),0))</f>
        <v>132200</v>
      </c>
      <c r="H84" s="308">
        <f t="shared" ca="1" si="12"/>
        <v>0</v>
      </c>
      <c r="I84" s="308">
        <f t="shared" ca="1" si="13"/>
        <v>0</v>
      </c>
      <c r="J84" s="308">
        <f t="shared" ca="1" si="14"/>
        <v>396600</v>
      </c>
      <c r="K84" s="309">
        <f t="shared" ca="1" si="15"/>
        <v>396600</v>
      </c>
      <c r="L84" s="289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514"/>
      <c r="C85" s="515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51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12"/>
        <v>0</v>
      </c>
      <c r="I85" s="308">
        <f t="shared" ca="1" si="13"/>
        <v>0</v>
      </c>
      <c r="J85" s="308">
        <f t="shared" ca="1" si="14"/>
        <v>0</v>
      </c>
      <c r="K85" s="309">
        <f t="shared" ca="1" si="15"/>
        <v>0</v>
      </c>
      <c r="L85" s="289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724" t="s">
        <v>1035</v>
      </c>
      <c r="C86" s="727" t="s">
        <v>1647</v>
      </c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>Unit</v>
      </c>
      <c r="F86" s="726">
        <v>3</v>
      </c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12"/>
        <v>0</v>
      </c>
      <c r="I86" s="308">
        <f t="shared" ca="1" si="13"/>
        <v>0</v>
      </c>
      <c r="J86" s="308">
        <f t="shared" ca="1" si="14"/>
        <v>0</v>
      </c>
      <c r="K86" s="309">
        <f t="shared" ca="1" si="15"/>
        <v>0</v>
      </c>
      <c r="L86" s="289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 ht="30">
      <c r="A87" s="283"/>
      <c r="B87" s="724">
        <v>1</v>
      </c>
      <c r="C87" s="727" t="s">
        <v>1650</v>
      </c>
      <c r="D87" s="305" t="s">
        <v>44</v>
      </c>
      <c r="E87" s="306" t="s">
        <v>24</v>
      </c>
      <c r="F87" s="726">
        <f>F86*3</f>
        <v>9</v>
      </c>
      <c r="G87" s="307">
        <v>205700</v>
      </c>
      <c r="H87" s="308">
        <f t="shared" si="12"/>
        <v>1851300</v>
      </c>
      <c r="I87" s="308">
        <f t="shared" si="13"/>
        <v>0</v>
      </c>
      <c r="J87" s="308">
        <f t="shared" si="14"/>
        <v>0</v>
      </c>
      <c r="K87" s="309">
        <f t="shared" si="15"/>
        <v>1851300</v>
      </c>
      <c r="L87" s="289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724">
        <v>2</v>
      </c>
      <c r="C88" s="727" t="s">
        <v>152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Mtr</v>
      </c>
      <c r="F88" s="726">
        <f>F86*1</f>
        <v>3</v>
      </c>
      <c r="G88" s="307">
        <f ca="1">IF(ISERROR(OFFSET('HARGA SATUAN'!$I$6,MATCH(RAB!C88,'HARGA SATUAN'!$C$7:$C$1495,0),0)),0,OFFSET('HARGA SATUAN'!$I$6,MATCH(RAB!C88,'HARGA SATUAN'!$C$7:$C$1495,0),0))</f>
        <v>7789</v>
      </c>
      <c r="H88" s="308">
        <f t="shared" ca="1" si="12"/>
        <v>0</v>
      </c>
      <c r="I88" s="308">
        <f t="shared" ca="1" si="13"/>
        <v>23367</v>
      </c>
      <c r="J88" s="308">
        <f t="shared" ca="1" si="14"/>
        <v>0</v>
      </c>
      <c r="K88" s="309">
        <f t="shared" ca="1" si="15"/>
        <v>23367</v>
      </c>
      <c r="L88" s="289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724">
        <v>3</v>
      </c>
      <c r="C89" s="727" t="s">
        <v>157</v>
      </c>
      <c r="D89" s="305" t="str">
        <f ca="1">IF(ISERROR(OFFSET('HARGA SATUAN'!$D$6,MATCH(RAB!C89,'HARGA SATUAN'!$C$7:$C$1495,0),0)),"",OFFSET('HARGA SATUAN'!$D$6,MATCH(RAB!C89,'HARGA SATUAN'!$C$7:$C$1495,0),0))</f>
        <v>HDW</v>
      </c>
      <c r="E89" s="306" t="str">
        <f ca="1">IF(B89="+","Unit",IF(ISERROR(OFFSET('HARGA SATUAN'!$E$6,MATCH(RAB!C89,'HARGA SATUAN'!$C$7:$C$1495,0),0)),"",OFFSET('HARGA SATUAN'!$E$6,MATCH(RAB!C89,'HARGA SATUAN'!$C$7:$C$1495,0),0)))</f>
        <v>Bh</v>
      </c>
      <c r="F89" s="726">
        <f>F86*2</f>
        <v>6</v>
      </c>
      <c r="G89" s="307">
        <f ca="1">IF(ISERROR(OFFSET('HARGA SATUAN'!$I$6,MATCH(RAB!C89,'HARGA SATUAN'!$C$7:$C$1495,0),0)),0,OFFSET('HARGA SATUAN'!$I$6,MATCH(RAB!C89,'HARGA SATUAN'!$C$7:$C$1495,0),0))</f>
        <v>40000</v>
      </c>
      <c r="H89" s="308">
        <f t="shared" ca="1" si="12"/>
        <v>0</v>
      </c>
      <c r="I89" s="308">
        <f t="shared" ca="1" si="13"/>
        <v>240000</v>
      </c>
      <c r="J89" s="308">
        <f t="shared" ca="1" si="14"/>
        <v>0</v>
      </c>
      <c r="K89" s="309">
        <f t="shared" ca="1" si="15"/>
        <v>240000</v>
      </c>
      <c r="L89" s="289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724">
        <v>4</v>
      </c>
      <c r="C90" s="727" t="s">
        <v>28</v>
      </c>
      <c r="D90" s="305" t="str">
        <f ca="1">IF(ISERROR(OFFSET('HARGA SATUAN'!$D$6,MATCH(RAB!C90,'HARGA SATUAN'!$C$7:$C$1495,0),0)),"",OFFSET('HARGA SATUAN'!$D$6,MATCH(RAB!C90,'HARGA SATUAN'!$C$7:$C$1495,0),0))</f>
        <v>HDW</v>
      </c>
      <c r="E90" s="306" t="str">
        <f ca="1">IF(B90="+","Unit",IF(ISERROR(OFFSET('HARGA SATUAN'!$E$6,MATCH(RAB!C90,'HARGA SATUAN'!$C$7:$C$1495,0),0)),"",OFFSET('HARGA SATUAN'!$E$6,MATCH(RAB!C90,'HARGA SATUAN'!$C$7:$C$1495,0),0)))</f>
        <v>Bh</v>
      </c>
      <c r="F90" s="726">
        <f>F86*1</f>
        <v>3</v>
      </c>
      <c r="G90" s="307">
        <f ca="1">IF(ISERROR(OFFSET('HARGA SATUAN'!$I$6,MATCH(RAB!C90,'HARGA SATUAN'!$C$7:$C$1495,0),0)),0,OFFSET('HARGA SATUAN'!$I$6,MATCH(RAB!C90,'HARGA SATUAN'!$C$7:$C$1495,0),0))</f>
        <v>26500</v>
      </c>
      <c r="H90" s="308">
        <f t="shared" ca="1" si="12"/>
        <v>0</v>
      </c>
      <c r="I90" s="308">
        <f t="shared" ca="1" si="13"/>
        <v>79500</v>
      </c>
      <c r="J90" s="308">
        <f t="shared" ca="1" si="14"/>
        <v>0</v>
      </c>
      <c r="K90" s="309">
        <f t="shared" ca="1" si="15"/>
        <v>79500</v>
      </c>
      <c r="L90" s="289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724">
        <v>5</v>
      </c>
      <c r="C91" s="727" t="s">
        <v>163</v>
      </c>
      <c r="D91" s="305" t="str">
        <f ca="1">IF(ISERROR(OFFSET('HARGA SATUAN'!$D$6,MATCH(RAB!C91,'HARGA SATUAN'!$C$7:$C$1495,0),0)),"",OFFSET('HARGA SATUAN'!$D$6,MATCH(RAB!C91,'HARGA SATUAN'!$C$7:$C$1495,0),0))</f>
        <v>HDW</v>
      </c>
      <c r="E91" s="306" t="str">
        <f ca="1">IF(B91="+","Unit",IF(ISERROR(OFFSET('HARGA SATUAN'!$E$6,MATCH(RAB!C91,'HARGA SATUAN'!$C$7:$C$1495,0),0)),"",OFFSET('HARGA SATUAN'!$E$6,MATCH(RAB!C91,'HARGA SATUAN'!$C$7:$C$1495,0),0)))</f>
        <v>Bh</v>
      </c>
      <c r="F91" s="726">
        <f>F86*4</f>
        <v>12</v>
      </c>
      <c r="G91" s="307">
        <f ca="1">IF(ISERROR(OFFSET('HARGA SATUAN'!$I$6,MATCH(RAB!C91,'HARGA SATUAN'!$C$7:$C$1495,0),0)),0,OFFSET('HARGA SATUAN'!$I$6,MATCH(RAB!C91,'HARGA SATUAN'!$C$7:$C$1495,0),0))</f>
        <v>7938</v>
      </c>
      <c r="H91" s="308">
        <f t="shared" ca="1" si="12"/>
        <v>0</v>
      </c>
      <c r="I91" s="308">
        <f t="shared" ca="1" si="13"/>
        <v>95256</v>
      </c>
      <c r="J91" s="308">
        <f t="shared" ca="1" si="14"/>
        <v>0</v>
      </c>
      <c r="K91" s="309">
        <f t="shared" ca="1" si="15"/>
        <v>95256</v>
      </c>
      <c r="L91" s="289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724">
        <v>6</v>
      </c>
      <c r="C92" s="727" t="s">
        <v>173</v>
      </c>
      <c r="D92" s="305" t="str">
        <f ca="1">IF(ISERROR(OFFSET('HARGA SATUAN'!$D$6,MATCH(RAB!C92,'HARGA SATUAN'!$C$7:$C$1495,0),0)),"",OFFSET('HARGA SATUAN'!$D$6,MATCH(RAB!C92,'HARGA SATUAN'!$C$7:$C$1495,0),0))</f>
        <v>HDW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726">
        <f>F86*4</f>
        <v>12</v>
      </c>
      <c r="G92" s="307">
        <f ca="1">IF(ISERROR(OFFSET('HARGA SATUAN'!$I$6,MATCH(RAB!C92,'HARGA SATUAN'!$C$7:$C$1495,0),0)),0,OFFSET('HARGA SATUAN'!$I$6,MATCH(RAB!C92,'HARGA SATUAN'!$C$7:$C$1495,0),0))</f>
        <v>45000</v>
      </c>
      <c r="H92" s="308">
        <f t="shared" ca="1" si="12"/>
        <v>0</v>
      </c>
      <c r="I92" s="308">
        <f t="shared" ca="1" si="13"/>
        <v>540000</v>
      </c>
      <c r="J92" s="308">
        <f t="shared" ca="1" si="14"/>
        <v>0</v>
      </c>
      <c r="K92" s="309">
        <f t="shared" ca="1" si="15"/>
        <v>540000</v>
      </c>
      <c r="L92" s="289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724">
        <v>7</v>
      </c>
      <c r="C93" s="727" t="s">
        <v>179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Bh</v>
      </c>
      <c r="F93" s="726">
        <f>F86*1</f>
        <v>3</v>
      </c>
      <c r="G93" s="307">
        <f ca="1">IF(ISERROR(OFFSET('HARGA SATUAN'!$I$6,MATCH(RAB!C93,'HARGA SATUAN'!$C$7:$C$1495,0),0)),0,OFFSET('HARGA SATUAN'!$I$6,MATCH(RAB!C93,'HARGA SATUAN'!$C$7:$C$1495,0),0))</f>
        <v>15500</v>
      </c>
      <c r="H93" s="308">
        <f t="shared" ca="1" si="12"/>
        <v>0</v>
      </c>
      <c r="I93" s="308">
        <f t="shared" ca="1" si="13"/>
        <v>46500</v>
      </c>
      <c r="J93" s="308">
        <f t="shared" ca="1" si="14"/>
        <v>0</v>
      </c>
      <c r="K93" s="309">
        <f t="shared" ca="1" si="15"/>
        <v>46500</v>
      </c>
      <c r="L93" s="289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724">
        <v>8</v>
      </c>
      <c r="C94" s="727" t="s">
        <v>593</v>
      </c>
      <c r="D94" s="305" t="str">
        <f ca="1">IF(ISERROR(OFFSET('HARGA SATUAN'!$D$6,MATCH(RAB!C94,'HARGA SATUAN'!$C$7:$C$1495,0),0)),"",OFFSET('HARGA SATUAN'!$D$6,MATCH(RAB!C94,'HARGA SATUAN'!$C$7:$C$1495,0),0))</f>
        <v>HDW</v>
      </c>
      <c r="E94" s="306" t="str">
        <f ca="1">IF(B94="+","Unit",IF(ISERROR(OFFSET('HARGA SATUAN'!$E$6,MATCH(RAB!C94,'HARGA SATUAN'!$C$7:$C$1495,0),0)),"",OFFSET('HARGA SATUAN'!$E$6,MATCH(RAB!C94,'HARGA SATUAN'!$C$7:$C$1495,0),0)))</f>
        <v>Bh</v>
      </c>
      <c r="F94" s="726">
        <f>F86*2</f>
        <v>6</v>
      </c>
      <c r="G94" s="307">
        <f ca="1">IF(ISERROR(OFFSET('HARGA SATUAN'!$I$6,MATCH(RAB!C94,'HARGA SATUAN'!$C$7:$C$1495,0),0)),0,OFFSET('HARGA SATUAN'!$I$6,MATCH(RAB!C94,'HARGA SATUAN'!$C$7:$C$1495,0),0))</f>
        <v>380500</v>
      </c>
      <c r="H94" s="308">
        <f t="shared" ca="1" si="12"/>
        <v>0</v>
      </c>
      <c r="I94" s="308">
        <f t="shared" ca="1" si="13"/>
        <v>2283000</v>
      </c>
      <c r="J94" s="308">
        <f t="shared" ca="1" si="14"/>
        <v>0</v>
      </c>
      <c r="K94" s="309">
        <f t="shared" ca="1" si="15"/>
        <v>2283000</v>
      </c>
      <c r="L94" s="289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724">
        <v>9</v>
      </c>
      <c r="C95" s="727" t="s">
        <v>217</v>
      </c>
      <c r="D95" s="305" t="str">
        <f ca="1">IF(ISERROR(OFFSET('HARGA SATUAN'!$D$6,MATCH(RAB!C95,'HARGA SATUAN'!$C$7:$C$1495,0),0)),"",OFFSET('HARGA SATUAN'!$D$6,MATCH(RAB!C95,'HARGA SATUAN'!$C$7:$C$1495,0),0))</f>
        <v>HDW</v>
      </c>
      <c r="E95" s="306" t="str">
        <f ca="1">IF(B95="+","Unit",IF(ISERROR(OFFSET('HARGA SATUAN'!$E$6,MATCH(RAB!C95,'HARGA SATUAN'!$C$7:$C$1495,0),0)),"",OFFSET('HARGA SATUAN'!$E$6,MATCH(RAB!C95,'HARGA SATUAN'!$C$7:$C$1495,0),0)))</f>
        <v>Bh</v>
      </c>
      <c r="F95" s="726">
        <f>F86*4</f>
        <v>12</v>
      </c>
      <c r="G95" s="307">
        <f ca="1">IF(ISERROR(OFFSET('HARGA SATUAN'!$I$6,MATCH(RAB!C95,'HARGA SATUAN'!$C$7:$C$1495,0),0)),0,OFFSET('HARGA SATUAN'!$I$6,MATCH(RAB!C95,'HARGA SATUAN'!$C$7:$C$1495,0),0))</f>
        <v>11400</v>
      </c>
      <c r="H95" s="308">
        <f t="shared" ca="1" si="12"/>
        <v>0</v>
      </c>
      <c r="I95" s="308">
        <f t="shared" ca="1" si="13"/>
        <v>136800</v>
      </c>
      <c r="J95" s="308">
        <f t="shared" ca="1" si="14"/>
        <v>0</v>
      </c>
      <c r="K95" s="309">
        <f t="shared" ca="1" si="15"/>
        <v>136800</v>
      </c>
      <c r="L95" s="289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724">
        <v>10</v>
      </c>
      <c r="C96" s="727" t="s">
        <v>218</v>
      </c>
      <c r="D96" s="305" t="str">
        <f ca="1">IF(ISERROR(OFFSET('HARGA SATUAN'!$D$6,MATCH(RAB!C96,'HARGA SATUAN'!$C$7:$C$1495,0),0)),"",OFFSET('HARGA SATUAN'!$D$6,MATCH(RAB!C96,'HARGA SATUAN'!$C$7:$C$1495,0),0))</f>
        <v>HDW</v>
      </c>
      <c r="E96" s="306" t="str">
        <f ca="1">IF(B96="+","Unit",IF(ISERROR(OFFSET('HARGA SATUAN'!$E$6,MATCH(RAB!C96,'HARGA SATUAN'!$C$7:$C$1495,0),0)),"",OFFSET('HARGA SATUAN'!$E$6,MATCH(RAB!C96,'HARGA SATUAN'!$C$7:$C$1495,0),0)))</f>
        <v>Bh</v>
      </c>
      <c r="F96" s="726">
        <f>F86*2</f>
        <v>6</v>
      </c>
      <c r="G96" s="307">
        <f ca="1">IF(ISERROR(OFFSET('HARGA SATUAN'!$I$6,MATCH(RAB!C96,'HARGA SATUAN'!$C$7:$C$1495,0),0)),0,OFFSET('HARGA SATUAN'!$I$6,MATCH(RAB!C96,'HARGA SATUAN'!$C$7:$C$1495,0),0))</f>
        <v>29600</v>
      </c>
      <c r="H96" s="308">
        <f t="shared" ca="1" si="12"/>
        <v>0</v>
      </c>
      <c r="I96" s="308">
        <f t="shared" ca="1" si="13"/>
        <v>177600</v>
      </c>
      <c r="J96" s="308">
        <f t="shared" ca="1" si="14"/>
        <v>0</v>
      </c>
      <c r="K96" s="309">
        <f t="shared" ca="1" si="15"/>
        <v>177600</v>
      </c>
      <c r="L96" s="289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724">
        <v>11</v>
      </c>
      <c r="C97" s="727" t="s">
        <v>223</v>
      </c>
      <c r="D97" s="305" t="str">
        <f ca="1">IF(ISERROR(OFFSET('HARGA SATUAN'!$D$6,MATCH(RAB!C97,'HARGA SATUAN'!$C$7:$C$1495,0),0)),"",OFFSET('HARGA SATUAN'!$D$6,MATCH(RAB!C97,'HARGA SATUAN'!$C$7:$C$1495,0),0))</f>
        <v>HDW</v>
      </c>
      <c r="E97" s="306" t="str">
        <f ca="1">IF(B97="+","Unit",IF(ISERROR(OFFSET('HARGA SATUAN'!$E$6,MATCH(RAB!C97,'HARGA SATUAN'!$C$7:$C$1495,0),0)),"",OFFSET('HARGA SATUAN'!$E$6,MATCH(RAB!C97,'HARGA SATUAN'!$C$7:$C$1495,0),0)))</f>
        <v>Bh</v>
      </c>
      <c r="F97" s="726">
        <f>F86*1</f>
        <v>3</v>
      </c>
      <c r="G97" s="307">
        <f ca="1">IF(ISERROR(OFFSET('HARGA SATUAN'!$I$6,MATCH(RAB!C97,'HARGA SATUAN'!$C$7:$C$1495,0),0)),0,OFFSET('HARGA SATUAN'!$I$6,MATCH(RAB!C97,'HARGA SATUAN'!$C$7:$C$1495,0),0))</f>
        <v>27815</v>
      </c>
      <c r="H97" s="308">
        <f t="shared" ca="1" si="12"/>
        <v>0</v>
      </c>
      <c r="I97" s="308">
        <f t="shared" ca="1" si="13"/>
        <v>83445</v>
      </c>
      <c r="J97" s="308">
        <f t="shared" ca="1" si="14"/>
        <v>0</v>
      </c>
      <c r="K97" s="309">
        <f t="shared" ca="1" si="15"/>
        <v>83445</v>
      </c>
      <c r="L97" s="289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724">
        <v>12</v>
      </c>
      <c r="C98" s="727" t="s">
        <v>25</v>
      </c>
      <c r="D98" s="305" t="str">
        <f ca="1">IF(ISERROR(OFFSET('HARGA SATUAN'!$D$6,MATCH(RAB!C98,'HARGA SATUAN'!$C$7:$C$1495,0),0)),"",OFFSET('HARGA SATUAN'!$D$6,MATCH(RAB!C98,'HARGA SATUAN'!$C$7:$C$1495,0),0))</f>
        <v>HDW</v>
      </c>
      <c r="E98" s="306" t="str">
        <f ca="1">IF(B98="+","Unit",IF(ISERROR(OFFSET('HARGA SATUAN'!$E$6,MATCH(RAB!C98,'HARGA SATUAN'!$C$7:$C$1495,0),0)),"",OFFSET('HARGA SATUAN'!$E$6,MATCH(RAB!C98,'HARGA SATUAN'!$C$7:$C$1495,0),0)))</f>
        <v>Bh</v>
      </c>
      <c r="F98" s="726">
        <f>F86*3</f>
        <v>9</v>
      </c>
      <c r="G98" s="307">
        <f ca="1">IF(ISERROR(OFFSET('HARGA SATUAN'!$I$6,MATCH(RAB!C98,'HARGA SATUAN'!$C$7:$C$1495,0),0)),0,OFFSET('HARGA SATUAN'!$I$6,MATCH(RAB!C98,'HARGA SATUAN'!$C$7:$C$1495,0),0))</f>
        <v>23936</v>
      </c>
      <c r="H98" s="308">
        <f t="shared" ca="1" si="12"/>
        <v>0</v>
      </c>
      <c r="I98" s="308">
        <f t="shared" ca="1" si="13"/>
        <v>215424</v>
      </c>
      <c r="J98" s="308">
        <f t="shared" ca="1" si="14"/>
        <v>0</v>
      </c>
      <c r="K98" s="309">
        <f t="shared" ca="1" si="15"/>
        <v>215424</v>
      </c>
      <c r="L98" s="289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724">
        <v>13</v>
      </c>
      <c r="C99" s="727" t="s">
        <v>37</v>
      </c>
      <c r="D99" s="305" t="str">
        <f ca="1">IF(ISERROR(OFFSET('HARGA SATUAN'!$D$6,MATCH(RAB!C99,'HARGA SATUAN'!$C$7:$C$1495,0),0)),"",OFFSET('HARGA SATUAN'!$D$6,MATCH(RAB!C99,'HARGA SATUAN'!$C$7:$C$1495,0),0))</f>
        <v>HDW</v>
      </c>
      <c r="E99" s="306" t="str">
        <f ca="1">IF(B99="+","Unit",IF(ISERROR(OFFSET('HARGA SATUAN'!$E$6,MATCH(RAB!C99,'HARGA SATUAN'!$C$7:$C$1495,0),0)),"",OFFSET('HARGA SATUAN'!$E$6,MATCH(RAB!C99,'HARGA SATUAN'!$C$7:$C$1495,0),0)))</f>
        <v>Bh</v>
      </c>
      <c r="F99" s="726">
        <f>F86*1</f>
        <v>3</v>
      </c>
      <c r="G99" s="307">
        <f ca="1">IF(ISERROR(OFFSET('HARGA SATUAN'!$I$6,MATCH(RAB!C99,'HARGA SATUAN'!$C$7:$C$1495,0),0)),0,OFFSET('HARGA SATUAN'!$I$6,MATCH(RAB!C99,'HARGA SATUAN'!$C$7:$C$1495,0),0))</f>
        <v>63500</v>
      </c>
      <c r="H99" s="308">
        <f t="shared" ca="1" si="12"/>
        <v>0</v>
      </c>
      <c r="I99" s="308">
        <f t="shared" ca="1" si="13"/>
        <v>190500</v>
      </c>
      <c r="J99" s="308">
        <f t="shared" ca="1" si="14"/>
        <v>0</v>
      </c>
      <c r="K99" s="309">
        <f t="shared" ca="1" si="15"/>
        <v>190500</v>
      </c>
      <c r="L99" s="289"/>
      <c r="M99" s="289"/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724">
        <v>14</v>
      </c>
      <c r="C100" s="727" t="s">
        <v>247</v>
      </c>
      <c r="D100" s="305" t="str">
        <f ca="1">IF(ISERROR(OFFSET('HARGA SATUAN'!$D$6,MATCH(RAB!C100,'HARGA SATUAN'!$C$7:$C$1495,0),0)),"",OFFSET('HARGA SATUAN'!$D$6,MATCH(RAB!C100,'HARGA SATUAN'!$C$7:$C$1495,0),0))</f>
        <v>HDW</v>
      </c>
      <c r="E100" s="306" t="str">
        <f ca="1">IF(B100="+","Unit",IF(ISERROR(OFFSET('HARGA SATUAN'!$E$6,MATCH(RAB!C100,'HARGA SATUAN'!$C$7:$C$1495,0),0)),"",OFFSET('HARGA SATUAN'!$E$6,MATCH(RAB!C100,'HARGA SATUAN'!$C$7:$C$1495,0),0)))</f>
        <v>Bh</v>
      </c>
      <c r="F100" s="726">
        <f>F86*1</f>
        <v>3</v>
      </c>
      <c r="G100" s="307">
        <f ca="1">IF(ISERROR(OFFSET('HARGA SATUAN'!$I$6,MATCH(RAB!C100,'HARGA SATUAN'!$C$7:$C$1495,0),0)),0,OFFSET('HARGA SATUAN'!$I$6,MATCH(RAB!C100,'HARGA SATUAN'!$C$7:$C$1495,0),0))</f>
        <v>57690</v>
      </c>
      <c r="H100" s="308">
        <f t="shared" ca="1" si="12"/>
        <v>0</v>
      </c>
      <c r="I100" s="308">
        <f t="shared" ca="1" si="13"/>
        <v>173070</v>
      </c>
      <c r="J100" s="308">
        <f t="shared" ca="1" si="14"/>
        <v>0</v>
      </c>
      <c r="K100" s="309">
        <f t="shared" ca="1" si="15"/>
        <v>173070</v>
      </c>
      <c r="L100" s="289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724">
        <v>15</v>
      </c>
      <c r="C101" s="727" t="s">
        <v>27</v>
      </c>
      <c r="D101" s="305" t="str">
        <f ca="1">IF(ISERROR(OFFSET('HARGA SATUAN'!$D$6,MATCH(RAB!C101,'HARGA SATUAN'!$C$7:$C$1495,0),0)),"",OFFSET('HARGA SATUAN'!$D$6,MATCH(RAB!C101,'HARGA SATUAN'!$C$7:$C$1495,0),0))</f>
        <v>HDW</v>
      </c>
      <c r="E101" s="306" t="str">
        <f ca="1">IF(B101="+","Unit",IF(ISERROR(OFFSET('HARGA SATUAN'!$E$6,MATCH(RAB!C101,'HARGA SATUAN'!$C$7:$C$1495,0),0)),"",OFFSET('HARGA SATUAN'!$E$6,MATCH(RAB!C101,'HARGA SATUAN'!$C$7:$C$1495,0),0)))</f>
        <v>Bh</v>
      </c>
      <c r="F101" s="726">
        <f>F86*3</f>
        <v>9</v>
      </c>
      <c r="G101" s="307">
        <f ca="1">IF(ISERROR(OFFSET('HARGA SATUAN'!$I$6,MATCH(RAB!C101,'HARGA SATUAN'!$C$7:$C$1495,0),0)),0,OFFSET('HARGA SATUAN'!$I$6,MATCH(RAB!C101,'HARGA SATUAN'!$C$7:$C$1495,0),0))</f>
        <v>16000</v>
      </c>
      <c r="H101" s="308">
        <f t="shared" ca="1" si="12"/>
        <v>0</v>
      </c>
      <c r="I101" s="308">
        <f t="shared" ca="1" si="13"/>
        <v>144000</v>
      </c>
      <c r="J101" s="308">
        <f t="shared" ca="1" si="14"/>
        <v>0</v>
      </c>
      <c r="K101" s="309">
        <f t="shared" ca="1" si="15"/>
        <v>144000</v>
      </c>
      <c r="L101" s="289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724">
        <v>16</v>
      </c>
      <c r="C102" s="727" t="s">
        <v>265</v>
      </c>
      <c r="D102" s="305" t="str">
        <f ca="1">IF(ISERROR(OFFSET('HARGA SATUAN'!$D$6,MATCH(RAB!C102,'HARGA SATUAN'!$C$7:$C$1495,0),0)),"",OFFSET('HARGA SATUAN'!$D$6,MATCH(RAB!C102,'HARGA SATUAN'!$C$7:$C$1495,0),0))</f>
        <v>HDW</v>
      </c>
      <c r="E102" s="306" t="str">
        <f ca="1">IF(B102="+","Unit",IF(ISERROR(OFFSET('HARGA SATUAN'!$E$6,MATCH(RAB!C102,'HARGA SATUAN'!$C$7:$C$1495,0),0)),"",OFFSET('HARGA SATUAN'!$E$6,MATCH(RAB!C102,'HARGA SATUAN'!$C$7:$C$1495,0),0)))</f>
        <v>Bh</v>
      </c>
      <c r="F102" s="726">
        <f>F86*1</f>
        <v>3</v>
      </c>
      <c r="G102" s="307">
        <f ca="1">IF(ISERROR(OFFSET('HARGA SATUAN'!$I$6,MATCH(RAB!C102,'HARGA SATUAN'!$C$7:$C$1495,0),0)),0,OFFSET('HARGA SATUAN'!$I$6,MATCH(RAB!C102,'HARGA SATUAN'!$C$7:$C$1495,0),0))</f>
        <v>33501.866666666669</v>
      </c>
      <c r="H102" s="308">
        <f t="shared" ca="1" si="12"/>
        <v>0</v>
      </c>
      <c r="I102" s="308">
        <f t="shared" ca="1" si="13"/>
        <v>100505.60000000001</v>
      </c>
      <c r="J102" s="308">
        <f t="shared" ca="1" si="14"/>
        <v>0</v>
      </c>
      <c r="K102" s="309">
        <f t="shared" ca="1" si="15"/>
        <v>100505.60000000001</v>
      </c>
      <c r="L102" s="289"/>
      <c r="M102" s="289"/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724">
        <v>17</v>
      </c>
      <c r="C103" s="727" t="s">
        <v>26</v>
      </c>
      <c r="D103" s="305" t="str">
        <f ca="1">IF(ISERROR(OFFSET('HARGA SATUAN'!$D$6,MATCH(RAB!C103,'HARGA SATUAN'!$C$7:$C$1495,0),0)),"",OFFSET('HARGA SATUAN'!$D$6,MATCH(RAB!C103,'HARGA SATUAN'!$C$7:$C$1495,0),0))</f>
        <v>HDW</v>
      </c>
      <c r="E103" s="306" t="str">
        <f ca="1">IF(B103="+","Unit",IF(ISERROR(OFFSET('HARGA SATUAN'!$E$6,MATCH(RAB!C103,'HARGA SATUAN'!$C$7:$C$1495,0),0)),"",OFFSET('HARGA SATUAN'!$E$6,MATCH(RAB!C103,'HARGA SATUAN'!$C$7:$C$1495,0),0)))</f>
        <v>Bh</v>
      </c>
      <c r="F103" s="726">
        <f>F86*11</f>
        <v>33</v>
      </c>
      <c r="G103" s="307">
        <f ca="1">IF(ISERROR(OFFSET('HARGA SATUAN'!$I$6,MATCH(RAB!C103,'HARGA SATUAN'!$C$7:$C$1495,0),0)),0,OFFSET('HARGA SATUAN'!$I$6,MATCH(RAB!C103,'HARGA SATUAN'!$C$7:$C$1495,0),0))</f>
        <v>2500</v>
      </c>
      <c r="H103" s="308">
        <f t="shared" ca="1" si="12"/>
        <v>0</v>
      </c>
      <c r="I103" s="308">
        <f t="shared" ca="1" si="13"/>
        <v>82500</v>
      </c>
      <c r="J103" s="308">
        <f t="shared" ca="1" si="14"/>
        <v>0</v>
      </c>
      <c r="K103" s="309">
        <f t="shared" ca="1" si="15"/>
        <v>82500</v>
      </c>
      <c r="L103" s="289"/>
      <c r="M103" s="289"/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724">
        <v>18</v>
      </c>
      <c r="C104" s="727" t="s">
        <v>703</v>
      </c>
      <c r="D104" s="305" t="str">
        <f ca="1">IF(ISERROR(OFFSET('HARGA SATUAN'!$D$6,MATCH(RAB!C104,'HARGA SATUAN'!$C$7:$C$1495,0),0)),"",OFFSET('HARGA SATUAN'!$D$6,MATCH(RAB!C104,'HARGA SATUAN'!$C$7:$C$1495,0),0))</f>
        <v>JASA</v>
      </c>
      <c r="E104" s="306" t="str">
        <f ca="1">IF(B104="+","Unit",IF(ISERROR(OFFSET('HARGA SATUAN'!$E$6,MATCH(RAB!C104,'HARGA SATUAN'!$C$7:$C$1495,0),0)),"",OFFSET('HARGA SATUAN'!$E$6,MATCH(RAB!C104,'HARGA SATUAN'!$C$7:$C$1495,0),0)))</f>
        <v>Unit</v>
      </c>
      <c r="F104" s="726">
        <f>F86*1</f>
        <v>3</v>
      </c>
      <c r="G104" s="307">
        <f ca="1">IF(ISERROR(OFFSET('HARGA SATUAN'!$I$6,MATCH(RAB!C104,'HARGA SATUAN'!$C$7:$C$1495,0),0)),0,OFFSET('HARGA SATUAN'!$I$6,MATCH(RAB!C104,'HARGA SATUAN'!$C$7:$C$1495,0),0))</f>
        <v>134700</v>
      </c>
      <c r="H104" s="308">
        <f t="shared" ca="1" si="12"/>
        <v>0</v>
      </c>
      <c r="I104" s="308">
        <f t="shared" ca="1" si="13"/>
        <v>0</v>
      </c>
      <c r="J104" s="308">
        <f t="shared" ca="1" si="14"/>
        <v>404100</v>
      </c>
      <c r="K104" s="309">
        <f t="shared" ca="1" si="15"/>
        <v>404100</v>
      </c>
      <c r="L104" s="289"/>
      <c r="M104" s="289"/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514"/>
      <c r="C105" s="515"/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51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12"/>
        <v>0</v>
      </c>
      <c r="I105" s="308">
        <f t="shared" ca="1" si="13"/>
        <v>0</v>
      </c>
      <c r="J105" s="308">
        <f t="shared" ca="1" si="14"/>
        <v>0</v>
      </c>
      <c r="K105" s="309">
        <f t="shared" ca="1" si="15"/>
        <v>0</v>
      </c>
      <c r="L105" s="289"/>
      <c r="M105" s="289"/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724" t="s">
        <v>1035</v>
      </c>
      <c r="C106" s="727" t="s">
        <v>1646</v>
      </c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>Unit</v>
      </c>
      <c r="F106" s="451">
        <v>2</v>
      </c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12"/>
        <v>0</v>
      </c>
      <c r="I106" s="308">
        <f t="shared" ca="1" si="13"/>
        <v>0</v>
      </c>
      <c r="J106" s="308">
        <f t="shared" ca="1" si="14"/>
        <v>0</v>
      </c>
      <c r="K106" s="309">
        <f t="shared" ca="1" si="15"/>
        <v>0</v>
      </c>
      <c r="L106" s="289"/>
      <c r="M106" s="289"/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724">
        <v>1</v>
      </c>
      <c r="C107" s="727" t="s">
        <v>1608</v>
      </c>
      <c r="D107" s="305" t="str">
        <f ca="1">IF(ISERROR(OFFSET('HARGA SATUAN'!$D$6,MATCH(RAB!C107,'HARGA SATUAN'!$C$7:$C$1495,0),0)),"",OFFSET('HARGA SATUAN'!$D$6,MATCH(RAB!C107,'HARGA SATUAN'!$C$7:$C$1495,0),0))</f>
        <v>MDU-KD</v>
      </c>
      <c r="E107" s="306" t="str">
        <f ca="1">IF(B107="+","Unit",IF(ISERROR(OFFSET('HARGA SATUAN'!$E$6,MATCH(RAB!C107,'HARGA SATUAN'!$C$7:$C$1495,0),0)),"",OFFSET('HARGA SATUAN'!$E$6,MATCH(RAB!C107,'HARGA SATUAN'!$C$7:$C$1495,0),0)))</f>
        <v>Bh</v>
      </c>
      <c r="F107" s="451">
        <f>F106*1</f>
        <v>2</v>
      </c>
      <c r="G107" s="307">
        <f ca="1">IF(ISERROR(OFFSET('HARGA SATUAN'!$I$6,MATCH(RAB!C107,'HARGA SATUAN'!$C$7:$C$1495,0),0)),0,OFFSET('HARGA SATUAN'!$I$6,MATCH(RAB!C107,'HARGA SATUAN'!$C$7:$C$1495,0),0))</f>
        <v>176900</v>
      </c>
      <c r="H107" s="308">
        <f t="shared" ca="1" si="12"/>
        <v>353800</v>
      </c>
      <c r="I107" s="308">
        <f t="shared" ca="1" si="13"/>
        <v>0</v>
      </c>
      <c r="J107" s="308">
        <f t="shared" ca="1" si="14"/>
        <v>0</v>
      </c>
      <c r="K107" s="309">
        <f t="shared" ca="1" si="15"/>
        <v>353800</v>
      </c>
      <c r="L107" s="289"/>
      <c r="M107" s="289"/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724">
        <v>2</v>
      </c>
      <c r="C108" s="727" t="s">
        <v>1609</v>
      </c>
      <c r="D108" s="305" t="str">
        <f ca="1">IF(ISERROR(OFFSET('HARGA SATUAN'!$D$6,MATCH(RAB!C108,'HARGA SATUAN'!$C$7:$C$1495,0),0)),"",OFFSET('HARGA SATUAN'!$D$6,MATCH(RAB!C108,'HARGA SATUAN'!$C$7:$C$1495,0),0))</f>
        <v>MDU-KD</v>
      </c>
      <c r="E108" s="306" t="str">
        <f ca="1">IF(B108="+","Unit",IF(ISERROR(OFFSET('HARGA SATUAN'!$E$6,MATCH(RAB!C108,'HARGA SATUAN'!$C$7:$C$1495,0),0)),"",OFFSET('HARGA SATUAN'!$E$6,MATCH(RAB!C108,'HARGA SATUAN'!$C$7:$C$1495,0),0)))</f>
        <v>Bh</v>
      </c>
      <c r="F108" s="451">
        <f>F106*2</f>
        <v>4</v>
      </c>
      <c r="G108" s="307">
        <f ca="1">IF(ISERROR(OFFSET('HARGA SATUAN'!$I$6,MATCH(RAB!C108,'HARGA SATUAN'!$C$7:$C$1495,0),0)),0,OFFSET('HARGA SATUAN'!$I$6,MATCH(RAB!C108,'HARGA SATUAN'!$C$7:$C$1495,0),0))</f>
        <v>235900</v>
      </c>
      <c r="H108" s="308">
        <f t="shared" ca="1" si="12"/>
        <v>943600</v>
      </c>
      <c r="I108" s="308">
        <f t="shared" ca="1" si="13"/>
        <v>0</v>
      </c>
      <c r="J108" s="308">
        <f t="shared" ca="1" si="14"/>
        <v>0</v>
      </c>
      <c r="K108" s="309">
        <f t="shared" ca="1" si="15"/>
        <v>943600</v>
      </c>
      <c r="L108" s="289"/>
      <c r="M108" s="289"/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 ht="30">
      <c r="A109" s="283"/>
      <c r="B109" s="724">
        <v>3</v>
      </c>
      <c r="C109" s="727" t="s">
        <v>1650</v>
      </c>
      <c r="D109" s="305" t="s">
        <v>44</v>
      </c>
      <c r="E109" s="306" t="s">
        <v>24</v>
      </c>
      <c r="F109" s="726">
        <f>F106*6</f>
        <v>12</v>
      </c>
      <c r="G109" s="307">
        <v>205700</v>
      </c>
      <c r="H109" s="308">
        <f t="shared" si="12"/>
        <v>2468400</v>
      </c>
      <c r="I109" s="308">
        <f t="shared" si="13"/>
        <v>0</v>
      </c>
      <c r="J109" s="308">
        <f t="shared" si="14"/>
        <v>0</v>
      </c>
      <c r="K109" s="309">
        <f t="shared" si="15"/>
        <v>2468400</v>
      </c>
      <c r="L109" s="289"/>
      <c r="M109" s="289"/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724">
        <v>4</v>
      </c>
      <c r="C110" s="727" t="s">
        <v>152</v>
      </c>
      <c r="D110" s="305" t="str">
        <f ca="1">IF(ISERROR(OFFSET('HARGA SATUAN'!$D$6,MATCH(RAB!C110,'HARGA SATUAN'!$C$7:$C$1495,0),0)),"",OFFSET('HARGA SATUAN'!$D$6,MATCH(RAB!C110,'HARGA SATUAN'!$C$7:$C$1495,0),0))</f>
        <v>HDW</v>
      </c>
      <c r="E110" s="306" t="str">
        <f ca="1">IF(B110="+","Unit",IF(ISERROR(OFFSET('HARGA SATUAN'!$E$6,MATCH(RAB!C110,'HARGA SATUAN'!$C$7:$C$1495,0),0)),"",OFFSET('HARGA SATUAN'!$E$6,MATCH(RAB!C110,'HARGA SATUAN'!$C$7:$C$1495,0),0)))</f>
        <v>Mtr</v>
      </c>
      <c r="F110" s="451">
        <f>F106*2</f>
        <v>4</v>
      </c>
      <c r="G110" s="307">
        <f ca="1">IF(ISERROR(OFFSET('HARGA SATUAN'!$I$6,MATCH(RAB!C110,'HARGA SATUAN'!$C$7:$C$1495,0),0)),0,OFFSET('HARGA SATUAN'!$I$6,MATCH(RAB!C110,'HARGA SATUAN'!$C$7:$C$1495,0),0))</f>
        <v>7789</v>
      </c>
      <c r="H110" s="308">
        <f t="shared" ca="1" si="12"/>
        <v>0</v>
      </c>
      <c r="I110" s="308">
        <f t="shared" ca="1" si="13"/>
        <v>31156</v>
      </c>
      <c r="J110" s="308">
        <f t="shared" ca="1" si="14"/>
        <v>0</v>
      </c>
      <c r="K110" s="309">
        <f t="shared" ca="1" si="15"/>
        <v>31156</v>
      </c>
      <c r="L110" s="289"/>
      <c r="M110" s="289"/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731">
        <v>5</v>
      </c>
      <c r="C111" s="730" t="s">
        <v>157</v>
      </c>
      <c r="D111" s="305" t="str">
        <f ca="1">IF(ISERROR(OFFSET('HARGA SATUAN'!$D$6,MATCH(RAB!C111,'HARGA SATUAN'!$C$7:$C$1495,0),0)),"",OFFSET('HARGA SATUAN'!$D$6,MATCH(RAB!C111,'HARGA SATUAN'!$C$7:$C$1495,0),0))</f>
        <v>HDW</v>
      </c>
      <c r="E111" s="306" t="str">
        <f ca="1">IF(B111="+","Unit",IF(ISERROR(OFFSET('HARGA SATUAN'!$E$6,MATCH(RAB!C111,'HARGA SATUAN'!$C$7:$C$1495,0),0)),"",OFFSET('HARGA SATUAN'!$E$6,MATCH(RAB!C111,'HARGA SATUAN'!$C$7:$C$1495,0),0)))</f>
        <v>Bh</v>
      </c>
      <c r="F111" s="732">
        <f>F106*2</f>
        <v>4</v>
      </c>
      <c r="G111" s="307">
        <f ca="1">IF(ISERROR(OFFSET('HARGA SATUAN'!$I$6,MATCH(RAB!C111,'HARGA SATUAN'!$C$7:$C$1495,0),0)),0,OFFSET('HARGA SATUAN'!$I$6,MATCH(RAB!C111,'HARGA SATUAN'!$C$7:$C$1495,0),0))</f>
        <v>40000</v>
      </c>
      <c r="H111" s="308">
        <f t="shared" ca="1" si="12"/>
        <v>0</v>
      </c>
      <c r="I111" s="308">
        <f t="shared" ca="1" si="13"/>
        <v>160000</v>
      </c>
      <c r="J111" s="308">
        <f t="shared" ca="1" si="14"/>
        <v>0</v>
      </c>
      <c r="K111" s="309">
        <f t="shared" ca="1" si="15"/>
        <v>160000</v>
      </c>
      <c r="L111" s="289"/>
      <c r="M111" s="289"/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731">
        <v>6</v>
      </c>
      <c r="C112" s="730" t="s">
        <v>28</v>
      </c>
      <c r="D112" s="305" t="str">
        <f ca="1">IF(ISERROR(OFFSET('HARGA SATUAN'!$D$6,MATCH(RAB!C112,'HARGA SATUAN'!$C$7:$C$1495,0),0)),"",OFFSET('HARGA SATUAN'!$D$6,MATCH(RAB!C112,'HARGA SATUAN'!$C$7:$C$1495,0),0))</f>
        <v>HDW</v>
      </c>
      <c r="E112" s="306" t="str">
        <f ca="1">IF(B112="+","Unit",IF(ISERROR(OFFSET('HARGA SATUAN'!$E$6,MATCH(RAB!C112,'HARGA SATUAN'!$C$7:$C$1495,0),0)),"",OFFSET('HARGA SATUAN'!$E$6,MATCH(RAB!C112,'HARGA SATUAN'!$C$7:$C$1495,0),0)))</f>
        <v>Bh</v>
      </c>
      <c r="F112" s="732">
        <f>F106*3</f>
        <v>6</v>
      </c>
      <c r="G112" s="307">
        <f ca="1">IF(ISERROR(OFFSET('HARGA SATUAN'!$I$6,MATCH(RAB!C112,'HARGA SATUAN'!$C$7:$C$1495,0),0)),0,OFFSET('HARGA SATUAN'!$I$6,MATCH(RAB!C112,'HARGA SATUAN'!$C$7:$C$1495,0),0))</f>
        <v>26500</v>
      </c>
      <c r="H112" s="308">
        <f t="shared" ca="1" si="12"/>
        <v>0</v>
      </c>
      <c r="I112" s="308">
        <f t="shared" ca="1" si="13"/>
        <v>159000</v>
      </c>
      <c r="J112" s="308">
        <f t="shared" ca="1" si="14"/>
        <v>0</v>
      </c>
      <c r="K112" s="309">
        <f t="shared" ca="1" si="15"/>
        <v>159000</v>
      </c>
      <c r="L112" s="289"/>
      <c r="M112" s="289"/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731">
        <v>7</v>
      </c>
      <c r="C113" s="730" t="s">
        <v>163</v>
      </c>
      <c r="D113" s="305" t="str">
        <f ca="1">IF(ISERROR(OFFSET('HARGA SATUAN'!$D$6,MATCH(RAB!C113,'HARGA SATUAN'!$C$7:$C$1495,0),0)),"",OFFSET('HARGA SATUAN'!$D$6,MATCH(RAB!C113,'HARGA SATUAN'!$C$7:$C$1495,0),0))</f>
        <v>HDW</v>
      </c>
      <c r="E113" s="306" t="str">
        <f ca="1">IF(B113="+","Unit",IF(ISERROR(OFFSET('HARGA SATUAN'!$E$6,MATCH(RAB!C113,'HARGA SATUAN'!$C$7:$C$1495,0),0)),"",OFFSET('HARGA SATUAN'!$E$6,MATCH(RAB!C113,'HARGA SATUAN'!$C$7:$C$1495,0),0)))</f>
        <v>Bh</v>
      </c>
      <c r="F113" s="732">
        <f>F106*4</f>
        <v>8</v>
      </c>
      <c r="G113" s="307">
        <f ca="1">IF(ISERROR(OFFSET('HARGA SATUAN'!$I$6,MATCH(RAB!C113,'HARGA SATUAN'!$C$7:$C$1495,0),0)),0,OFFSET('HARGA SATUAN'!$I$6,MATCH(RAB!C113,'HARGA SATUAN'!$C$7:$C$1495,0),0))</f>
        <v>7938</v>
      </c>
      <c r="H113" s="308">
        <f t="shared" ca="1" si="12"/>
        <v>0</v>
      </c>
      <c r="I113" s="308">
        <f t="shared" ca="1" si="13"/>
        <v>63504</v>
      </c>
      <c r="J113" s="308">
        <f t="shared" ca="1" si="14"/>
        <v>0</v>
      </c>
      <c r="K113" s="309">
        <f t="shared" ca="1" si="15"/>
        <v>63504</v>
      </c>
      <c r="L113" s="289"/>
      <c r="M113" s="289"/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731">
        <v>8</v>
      </c>
      <c r="C114" s="730" t="s">
        <v>173</v>
      </c>
      <c r="D114" s="305" t="str">
        <f ca="1">IF(ISERROR(OFFSET('HARGA SATUAN'!$D$6,MATCH(RAB!C114,'HARGA SATUAN'!$C$7:$C$1495,0),0)),"",OFFSET('HARGA SATUAN'!$D$6,MATCH(RAB!C114,'HARGA SATUAN'!$C$7:$C$1495,0),0))</f>
        <v>HDW</v>
      </c>
      <c r="E114" s="306" t="str">
        <f ca="1">IF(B114="+","Unit",IF(ISERROR(OFFSET('HARGA SATUAN'!$E$6,MATCH(RAB!C114,'HARGA SATUAN'!$C$7:$C$1495,0),0)),"",OFFSET('HARGA SATUAN'!$E$6,MATCH(RAB!C114,'HARGA SATUAN'!$C$7:$C$1495,0),0)))</f>
        <v>Bh</v>
      </c>
      <c r="F114" s="732">
        <f>F106*4</f>
        <v>8</v>
      </c>
      <c r="G114" s="307">
        <f ca="1">IF(ISERROR(OFFSET('HARGA SATUAN'!$I$6,MATCH(RAB!C114,'HARGA SATUAN'!$C$7:$C$1495,0),0)),0,OFFSET('HARGA SATUAN'!$I$6,MATCH(RAB!C114,'HARGA SATUAN'!$C$7:$C$1495,0),0))</f>
        <v>45000</v>
      </c>
      <c r="H114" s="308">
        <f t="shared" ca="1" si="12"/>
        <v>0</v>
      </c>
      <c r="I114" s="308">
        <f t="shared" ca="1" si="13"/>
        <v>360000</v>
      </c>
      <c r="J114" s="308">
        <f t="shared" ca="1" si="14"/>
        <v>0</v>
      </c>
      <c r="K114" s="309">
        <f t="shared" ca="1" si="15"/>
        <v>360000</v>
      </c>
      <c r="L114" s="289"/>
      <c r="M114" s="289"/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731">
        <v>9</v>
      </c>
      <c r="C115" s="730" t="s">
        <v>178</v>
      </c>
      <c r="D115" s="305" t="str">
        <f ca="1">IF(ISERROR(OFFSET('HARGA SATUAN'!$D$6,MATCH(RAB!C115,'HARGA SATUAN'!$C$7:$C$1495,0),0)),"",OFFSET('HARGA SATUAN'!$D$6,MATCH(RAB!C115,'HARGA SATUAN'!$C$7:$C$1495,0),0))</f>
        <v>HDW</v>
      </c>
      <c r="E115" s="306" t="str">
        <f ca="1">IF(B115="+","Unit",IF(ISERROR(OFFSET('HARGA SATUAN'!$E$6,MATCH(RAB!C115,'HARGA SATUAN'!$C$7:$C$1495,0),0)),"",OFFSET('HARGA SATUAN'!$E$6,MATCH(RAB!C115,'HARGA SATUAN'!$C$7:$C$1495,0),0)))</f>
        <v>Bh</v>
      </c>
      <c r="F115" s="732">
        <f>F106*1</f>
        <v>2</v>
      </c>
      <c r="G115" s="307">
        <f ca="1">IF(ISERROR(OFFSET('HARGA SATUAN'!$I$6,MATCH(RAB!C115,'HARGA SATUAN'!$C$7:$C$1495,0),0)),0,OFFSET('HARGA SATUAN'!$I$6,MATCH(RAB!C115,'HARGA SATUAN'!$C$7:$C$1495,0),0))</f>
        <v>95000</v>
      </c>
      <c r="H115" s="308">
        <f t="shared" ca="1" si="12"/>
        <v>0</v>
      </c>
      <c r="I115" s="308">
        <f t="shared" ca="1" si="13"/>
        <v>190000</v>
      </c>
      <c r="J115" s="308">
        <f t="shared" ca="1" si="14"/>
        <v>0</v>
      </c>
      <c r="K115" s="309">
        <f t="shared" ca="1" si="15"/>
        <v>190000</v>
      </c>
      <c r="L115" s="289"/>
      <c r="M115" s="289"/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731">
        <v>10</v>
      </c>
      <c r="C116" s="730" t="s">
        <v>179</v>
      </c>
      <c r="D116" s="305" t="str">
        <f ca="1">IF(ISERROR(OFFSET('HARGA SATUAN'!$D$6,MATCH(RAB!C116,'HARGA SATUAN'!$C$7:$C$1495,0),0)),"",OFFSET('HARGA SATUAN'!$D$6,MATCH(RAB!C116,'HARGA SATUAN'!$C$7:$C$1495,0),0))</f>
        <v>HDW</v>
      </c>
      <c r="E116" s="306" t="str">
        <f ca="1">IF(B116="+","Unit",IF(ISERROR(OFFSET('HARGA SATUAN'!$E$6,MATCH(RAB!C116,'HARGA SATUAN'!$C$7:$C$1495,0),0)),"",OFFSET('HARGA SATUAN'!$E$6,MATCH(RAB!C116,'HARGA SATUAN'!$C$7:$C$1495,0),0)))</f>
        <v>Bh</v>
      </c>
      <c r="F116" s="732">
        <f>F106*2</f>
        <v>4</v>
      </c>
      <c r="G116" s="307">
        <f ca="1">IF(ISERROR(OFFSET('HARGA SATUAN'!$I$6,MATCH(RAB!C116,'HARGA SATUAN'!$C$7:$C$1495,0),0)),0,OFFSET('HARGA SATUAN'!$I$6,MATCH(RAB!C116,'HARGA SATUAN'!$C$7:$C$1495,0),0))</f>
        <v>15500</v>
      </c>
      <c r="H116" s="308">
        <f t="shared" ca="1" si="12"/>
        <v>0</v>
      </c>
      <c r="I116" s="308">
        <f t="shared" ca="1" si="13"/>
        <v>62000</v>
      </c>
      <c r="J116" s="308">
        <f t="shared" ca="1" si="14"/>
        <v>0</v>
      </c>
      <c r="K116" s="309">
        <f t="shared" ca="1" si="15"/>
        <v>62000</v>
      </c>
      <c r="L116" s="289"/>
      <c r="M116" s="289"/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731">
        <v>11</v>
      </c>
      <c r="C117" s="730" t="s">
        <v>181</v>
      </c>
      <c r="D117" s="305" t="str">
        <f ca="1">IF(ISERROR(OFFSET('HARGA SATUAN'!$D$6,MATCH(RAB!C117,'HARGA SATUAN'!$C$7:$C$1495,0),0)),"",OFFSET('HARGA SATUAN'!$D$6,MATCH(RAB!C117,'HARGA SATUAN'!$C$7:$C$1495,0),0))</f>
        <v>HDW</v>
      </c>
      <c r="E117" s="306" t="str">
        <f ca="1">IF(B117="+","Unit",IF(ISERROR(OFFSET('HARGA SATUAN'!$E$6,MATCH(RAB!C117,'HARGA SATUAN'!$C$7:$C$1495,0),0)),"",OFFSET('HARGA SATUAN'!$E$6,MATCH(RAB!C117,'HARGA SATUAN'!$C$7:$C$1495,0),0)))</f>
        <v>Bh</v>
      </c>
      <c r="F117" s="732">
        <f>F106*4</f>
        <v>8</v>
      </c>
      <c r="G117" s="307">
        <f ca="1">IF(ISERROR(OFFSET('HARGA SATUAN'!$I$6,MATCH(RAB!C117,'HARGA SATUAN'!$C$7:$C$1495,0),0)),0,OFFSET('HARGA SATUAN'!$I$6,MATCH(RAB!C117,'HARGA SATUAN'!$C$7:$C$1495,0),0))</f>
        <v>28100</v>
      </c>
      <c r="H117" s="308">
        <f t="shared" ca="1" si="12"/>
        <v>0</v>
      </c>
      <c r="I117" s="308">
        <f t="shared" ca="1" si="13"/>
        <v>224800</v>
      </c>
      <c r="J117" s="308">
        <f t="shared" ca="1" si="14"/>
        <v>0</v>
      </c>
      <c r="K117" s="309">
        <f t="shared" ca="1" si="15"/>
        <v>224800</v>
      </c>
      <c r="L117" s="289"/>
      <c r="M117" s="289"/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731">
        <v>12</v>
      </c>
      <c r="C118" s="730" t="s">
        <v>593</v>
      </c>
      <c r="D118" s="305" t="str">
        <f ca="1">IF(ISERROR(OFFSET('HARGA SATUAN'!$D$6,MATCH(RAB!C118,'HARGA SATUAN'!$C$7:$C$1495,0),0)),"",OFFSET('HARGA SATUAN'!$D$6,MATCH(RAB!C118,'HARGA SATUAN'!$C$7:$C$1495,0),0))</f>
        <v>HDW</v>
      </c>
      <c r="E118" s="306" t="str">
        <f ca="1">IF(B118="+","Unit",IF(ISERROR(OFFSET('HARGA SATUAN'!$E$6,MATCH(RAB!C118,'HARGA SATUAN'!$C$7:$C$1495,0),0)),"",OFFSET('HARGA SATUAN'!$E$6,MATCH(RAB!C118,'HARGA SATUAN'!$C$7:$C$1495,0),0)))</f>
        <v>Bh</v>
      </c>
      <c r="F118" s="732">
        <f>F106*2</f>
        <v>4</v>
      </c>
      <c r="G118" s="307">
        <f ca="1">IF(ISERROR(OFFSET('HARGA SATUAN'!$I$6,MATCH(RAB!C118,'HARGA SATUAN'!$C$7:$C$1495,0),0)),0,OFFSET('HARGA SATUAN'!$I$6,MATCH(RAB!C118,'HARGA SATUAN'!$C$7:$C$1495,0),0))</f>
        <v>380500</v>
      </c>
      <c r="H118" s="308">
        <f t="shared" ca="1" si="12"/>
        <v>0</v>
      </c>
      <c r="I118" s="308">
        <f t="shared" ca="1" si="13"/>
        <v>1522000</v>
      </c>
      <c r="J118" s="308">
        <f t="shared" ca="1" si="14"/>
        <v>0</v>
      </c>
      <c r="K118" s="309">
        <f t="shared" ca="1" si="15"/>
        <v>1522000</v>
      </c>
      <c r="L118" s="289"/>
      <c r="M118" s="289"/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731">
        <v>13</v>
      </c>
      <c r="C119" s="730" t="s">
        <v>217</v>
      </c>
      <c r="D119" s="305" t="str">
        <f ca="1">IF(ISERROR(OFFSET('HARGA SATUAN'!$D$6,MATCH(RAB!C119,'HARGA SATUAN'!$C$7:$C$1495,0),0)),"",OFFSET('HARGA SATUAN'!$D$6,MATCH(RAB!C119,'HARGA SATUAN'!$C$7:$C$1495,0),0))</f>
        <v>HDW</v>
      </c>
      <c r="E119" s="306" t="str">
        <f ca="1">IF(B119="+","Unit",IF(ISERROR(OFFSET('HARGA SATUAN'!$E$6,MATCH(RAB!C119,'HARGA SATUAN'!$C$7:$C$1495,0),0)),"",OFFSET('HARGA SATUAN'!$E$6,MATCH(RAB!C119,'HARGA SATUAN'!$C$7:$C$1495,0),0)))</f>
        <v>Bh</v>
      </c>
      <c r="F119" s="732">
        <f>F106*3</f>
        <v>6</v>
      </c>
      <c r="G119" s="307">
        <f ca="1">IF(ISERROR(OFFSET('HARGA SATUAN'!$I$6,MATCH(RAB!C119,'HARGA SATUAN'!$C$7:$C$1495,0),0)),0,OFFSET('HARGA SATUAN'!$I$6,MATCH(RAB!C119,'HARGA SATUAN'!$C$7:$C$1495,0),0))</f>
        <v>11400</v>
      </c>
      <c r="H119" s="308">
        <f t="shared" ca="1" si="12"/>
        <v>0</v>
      </c>
      <c r="I119" s="308">
        <f t="shared" ca="1" si="13"/>
        <v>68400</v>
      </c>
      <c r="J119" s="308">
        <f t="shared" ca="1" si="14"/>
        <v>0</v>
      </c>
      <c r="K119" s="309">
        <f t="shared" ca="1" si="15"/>
        <v>68400</v>
      </c>
      <c r="L119" s="289"/>
      <c r="M119" s="289"/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731">
        <v>14</v>
      </c>
      <c r="C120" s="730" t="s">
        <v>218</v>
      </c>
      <c r="D120" s="305" t="str">
        <f ca="1">IF(ISERROR(OFFSET('HARGA SATUAN'!$D$6,MATCH(RAB!C120,'HARGA SATUAN'!$C$7:$C$1495,0),0)),"",OFFSET('HARGA SATUAN'!$D$6,MATCH(RAB!C120,'HARGA SATUAN'!$C$7:$C$1495,0),0))</f>
        <v>HDW</v>
      </c>
      <c r="E120" s="306" t="str">
        <f ca="1">IF(B120="+","Unit",IF(ISERROR(OFFSET('HARGA SATUAN'!$E$6,MATCH(RAB!C120,'HARGA SATUAN'!$C$7:$C$1495,0),0)),"",OFFSET('HARGA SATUAN'!$E$6,MATCH(RAB!C120,'HARGA SATUAN'!$C$7:$C$1495,0),0)))</f>
        <v>Bh</v>
      </c>
      <c r="F120" s="732">
        <f>F106*4</f>
        <v>8</v>
      </c>
      <c r="G120" s="307">
        <f ca="1">IF(ISERROR(OFFSET('HARGA SATUAN'!$I$6,MATCH(RAB!C120,'HARGA SATUAN'!$C$7:$C$1495,0),0)),0,OFFSET('HARGA SATUAN'!$I$6,MATCH(RAB!C120,'HARGA SATUAN'!$C$7:$C$1495,0),0))</f>
        <v>29600</v>
      </c>
      <c r="H120" s="308">
        <f t="shared" ca="1" si="12"/>
        <v>0</v>
      </c>
      <c r="I120" s="308">
        <f t="shared" ca="1" si="13"/>
        <v>236800</v>
      </c>
      <c r="J120" s="308">
        <f t="shared" ca="1" si="14"/>
        <v>0</v>
      </c>
      <c r="K120" s="309">
        <f t="shared" ca="1" si="15"/>
        <v>236800</v>
      </c>
      <c r="L120" s="289"/>
      <c r="M120" s="289"/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731">
        <v>15</v>
      </c>
      <c r="C121" s="730" t="s">
        <v>223</v>
      </c>
      <c r="D121" s="305" t="str">
        <f ca="1">IF(ISERROR(OFFSET('HARGA SATUAN'!$D$6,MATCH(RAB!C121,'HARGA SATUAN'!$C$7:$C$1495,0),0)),"",OFFSET('HARGA SATUAN'!$D$6,MATCH(RAB!C121,'HARGA SATUAN'!$C$7:$C$1495,0),0))</f>
        <v>HDW</v>
      </c>
      <c r="E121" s="306" t="str">
        <f ca="1">IF(B121="+","Unit",IF(ISERROR(OFFSET('HARGA SATUAN'!$E$6,MATCH(RAB!C121,'HARGA SATUAN'!$C$7:$C$1495,0),0)),"",OFFSET('HARGA SATUAN'!$E$6,MATCH(RAB!C121,'HARGA SATUAN'!$C$7:$C$1495,0),0)))</f>
        <v>Bh</v>
      </c>
      <c r="F121" s="732">
        <f>F106*3</f>
        <v>6</v>
      </c>
      <c r="G121" s="307">
        <f ca="1">IF(ISERROR(OFFSET('HARGA SATUAN'!$I$6,MATCH(RAB!C121,'HARGA SATUAN'!$C$7:$C$1495,0),0)),0,OFFSET('HARGA SATUAN'!$I$6,MATCH(RAB!C121,'HARGA SATUAN'!$C$7:$C$1495,0),0))</f>
        <v>27815</v>
      </c>
      <c r="H121" s="308">
        <f t="shared" ca="1" si="12"/>
        <v>0</v>
      </c>
      <c r="I121" s="308">
        <f t="shared" ca="1" si="13"/>
        <v>166890</v>
      </c>
      <c r="J121" s="308">
        <f t="shared" ca="1" si="14"/>
        <v>0</v>
      </c>
      <c r="K121" s="309">
        <f t="shared" ca="1" si="15"/>
        <v>166890</v>
      </c>
      <c r="L121" s="289"/>
      <c r="M121" s="289"/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731">
        <v>16</v>
      </c>
      <c r="C122" s="730" t="s">
        <v>25</v>
      </c>
      <c r="D122" s="305" t="str">
        <f ca="1">IF(ISERROR(OFFSET('HARGA SATUAN'!$D$6,MATCH(RAB!C122,'HARGA SATUAN'!$C$7:$C$1495,0),0)),"",OFFSET('HARGA SATUAN'!$D$6,MATCH(RAB!C122,'HARGA SATUAN'!$C$7:$C$1495,0),0))</f>
        <v>HDW</v>
      </c>
      <c r="E122" s="306" t="str">
        <f ca="1">IF(B122="+","Unit",IF(ISERROR(OFFSET('HARGA SATUAN'!$E$6,MATCH(RAB!C122,'HARGA SATUAN'!$C$7:$C$1495,0),0)),"",OFFSET('HARGA SATUAN'!$E$6,MATCH(RAB!C122,'HARGA SATUAN'!$C$7:$C$1495,0),0)))</f>
        <v>Bh</v>
      </c>
      <c r="F122" s="732">
        <f>F106*9</f>
        <v>18</v>
      </c>
      <c r="G122" s="307">
        <f ca="1">IF(ISERROR(OFFSET('HARGA SATUAN'!$I$6,MATCH(RAB!C122,'HARGA SATUAN'!$C$7:$C$1495,0),0)),0,OFFSET('HARGA SATUAN'!$I$6,MATCH(RAB!C122,'HARGA SATUAN'!$C$7:$C$1495,0),0))</f>
        <v>23936</v>
      </c>
      <c r="H122" s="308">
        <f t="shared" ca="1" si="12"/>
        <v>0</v>
      </c>
      <c r="I122" s="308">
        <f t="shared" ca="1" si="13"/>
        <v>430848</v>
      </c>
      <c r="J122" s="308">
        <f t="shared" ca="1" si="14"/>
        <v>0</v>
      </c>
      <c r="K122" s="309">
        <f t="shared" ca="1" si="15"/>
        <v>430848</v>
      </c>
      <c r="L122" s="289"/>
      <c r="M122" s="289"/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731">
        <v>17</v>
      </c>
      <c r="C123" s="730" t="s">
        <v>37</v>
      </c>
      <c r="D123" s="305" t="str">
        <f ca="1">IF(ISERROR(OFFSET('HARGA SATUAN'!$D$6,MATCH(RAB!C123,'HARGA SATUAN'!$C$7:$C$1495,0),0)),"",OFFSET('HARGA SATUAN'!$D$6,MATCH(RAB!C123,'HARGA SATUAN'!$C$7:$C$1495,0),0))</f>
        <v>HDW</v>
      </c>
      <c r="E123" s="306" t="str">
        <f ca="1">IF(B123="+","Unit",IF(ISERROR(OFFSET('HARGA SATUAN'!$E$6,MATCH(RAB!C123,'HARGA SATUAN'!$C$7:$C$1495,0),0)),"",OFFSET('HARGA SATUAN'!$E$6,MATCH(RAB!C123,'HARGA SATUAN'!$C$7:$C$1495,0),0)))</f>
        <v>Bh</v>
      </c>
      <c r="F123" s="732">
        <f>F106*1</f>
        <v>2</v>
      </c>
      <c r="G123" s="307">
        <f ca="1">IF(ISERROR(OFFSET('HARGA SATUAN'!$I$6,MATCH(RAB!C123,'HARGA SATUAN'!$C$7:$C$1495,0),0)),0,OFFSET('HARGA SATUAN'!$I$6,MATCH(RAB!C123,'HARGA SATUAN'!$C$7:$C$1495,0),0))</f>
        <v>63500</v>
      </c>
      <c r="H123" s="308">
        <f t="shared" ca="1" si="12"/>
        <v>0</v>
      </c>
      <c r="I123" s="308">
        <f t="shared" ca="1" si="13"/>
        <v>127000</v>
      </c>
      <c r="J123" s="308">
        <f t="shared" ca="1" si="14"/>
        <v>0</v>
      </c>
      <c r="K123" s="309">
        <f t="shared" ca="1" si="15"/>
        <v>127000</v>
      </c>
      <c r="L123" s="289"/>
      <c r="M123" s="289"/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731">
        <v>18</v>
      </c>
      <c r="C124" s="730" t="s">
        <v>27</v>
      </c>
      <c r="D124" s="305" t="str">
        <f ca="1">IF(ISERROR(OFFSET('HARGA SATUAN'!$D$6,MATCH(RAB!C124,'HARGA SATUAN'!$C$7:$C$1495,0),0)),"",OFFSET('HARGA SATUAN'!$D$6,MATCH(RAB!C124,'HARGA SATUAN'!$C$7:$C$1495,0),0))</f>
        <v>HDW</v>
      </c>
      <c r="E124" s="306" t="str">
        <f ca="1">IF(B124="+","Unit",IF(ISERROR(OFFSET('HARGA SATUAN'!$E$6,MATCH(RAB!C124,'HARGA SATUAN'!$C$7:$C$1495,0),0)),"",OFFSET('HARGA SATUAN'!$E$6,MATCH(RAB!C124,'HARGA SATUAN'!$C$7:$C$1495,0),0)))</f>
        <v>Bh</v>
      </c>
      <c r="F124" s="732">
        <f>F106*8</f>
        <v>16</v>
      </c>
      <c r="G124" s="307">
        <f ca="1">IF(ISERROR(OFFSET('HARGA SATUAN'!$I$6,MATCH(RAB!C124,'HARGA SATUAN'!$C$7:$C$1495,0),0)),0,OFFSET('HARGA SATUAN'!$I$6,MATCH(RAB!C124,'HARGA SATUAN'!$C$7:$C$1495,0),0))</f>
        <v>16000</v>
      </c>
      <c r="H124" s="308">
        <f t="shared" ca="1" si="12"/>
        <v>0</v>
      </c>
      <c r="I124" s="308">
        <f t="shared" ca="1" si="13"/>
        <v>256000</v>
      </c>
      <c r="J124" s="308">
        <f t="shared" ca="1" si="14"/>
        <v>0</v>
      </c>
      <c r="K124" s="309">
        <f t="shared" ca="1" si="15"/>
        <v>256000</v>
      </c>
      <c r="L124" s="289"/>
      <c r="M124" s="289"/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731">
        <v>19</v>
      </c>
      <c r="C125" s="730" t="s">
        <v>265</v>
      </c>
      <c r="D125" s="305" t="str">
        <f ca="1">IF(ISERROR(OFFSET('HARGA SATUAN'!$D$6,MATCH(RAB!C125,'HARGA SATUAN'!$C$7:$C$1495,0),0)),"",OFFSET('HARGA SATUAN'!$D$6,MATCH(RAB!C125,'HARGA SATUAN'!$C$7:$C$1495,0),0))</f>
        <v>HDW</v>
      </c>
      <c r="E125" s="306" t="str">
        <f ca="1">IF(B125="+","Unit",IF(ISERROR(OFFSET('HARGA SATUAN'!$E$6,MATCH(RAB!C125,'HARGA SATUAN'!$C$7:$C$1495,0),0)),"",OFFSET('HARGA SATUAN'!$E$6,MATCH(RAB!C125,'HARGA SATUAN'!$C$7:$C$1495,0),0)))</f>
        <v>Bh</v>
      </c>
      <c r="F125" s="732">
        <f>F106*2</f>
        <v>4</v>
      </c>
      <c r="G125" s="307">
        <f ca="1">IF(ISERROR(OFFSET('HARGA SATUAN'!$I$6,MATCH(RAB!C125,'HARGA SATUAN'!$C$7:$C$1495,0),0)),0,OFFSET('HARGA SATUAN'!$I$6,MATCH(RAB!C125,'HARGA SATUAN'!$C$7:$C$1495,0),0))</f>
        <v>33501.866666666669</v>
      </c>
      <c r="H125" s="308">
        <f t="shared" ca="1" si="12"/>
        <v>0</v>
      </c>
      <c r="I125" s="308">
        <f t="shared" ca="1" si="13"/>
        <v>134007.46666666667</v>
      </c>
      <c r="J125" s="308">
        <f t="shared" ca="1" si="14"/>
        <v>0</v>
      </c>
      <c r="K125" s="309">
        <f t="shared" ca="1" si="15"/>
        <v>134007.46666666667</v>
      </c>
      <c r="L125" s="289"/>
      <c r="M125" s="289"/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731">
        <v>20</v>
      </c>
      <c r="C126" s="730" t="s">
        <v>38</v>
      </c>
      <c r="D126" s="305" t="str">
        <f ca="1">IF(ISERROR(OFFSET('HARGA SATUAN'!$D$6,MATCH(RAB!C126,'HARGA SATUAN'!$C$7:$C$1495,0),0)),"",OFFSET('HARGA SATUAN'!$D$6,MATCH(RAB!C126,'HARGA SATUAN'!$C$7:$C$1495,0),0))</f>
        <v>HDW</v>
      </c>
      <c r="E126" s="306" t="str">
        <f ca="1">IF(B126="+","Unit",IF(ISERROR(OFFSET('HARGA SATUAN'!$E$6,MATCH(RAB!C126,'HARGA SATUAN'!$C$7:$C$1495,0),0)),"",OFFSET('HARGA SATUAN'!$E$6,MATCH(RAB!C126,'HARGA SATUAN'!$C$7:$C$1495,0),0)))</f>
        <v>Mtr</v>
      </c>
      <c r="F126" s="732">
        <f>5.4*F106</f>
        <v>10.8</v>
      </c>
      <c r="G126" s="307">
        <f ca="1">IF(ISERROR(OFFSET('HARGA SATUAN'!$I$6,MATCH(RAB!C126,'HARGA SATUAN'!$C$7:$C$1495,0),0)),0,OFFSET('HARGA SATUAN'!$I$6,MATCH(RAB!C126,'HARGA SATUAN'!$C$7:$C$1495,0),0))</f>
        <v>8550</v>
      </c>
      <c r="H126" s="308">
        <f t="shared" ca="1" si="12"/>
        <v>0</v>
      </c>
      <c r="I126" s="308">
        <f t="shared" ca="1" si="13"/>
        <v>92340</v>
      </c>
      <c r="J126" s="308">
        <f t="shared" ca="1" si="14"/>
        <v>0</v>
      </c>
      <c r="K126" s="309">
        <f t="shared" ca="1" si="15"/>
        <v>92340</v>
      </c>
      <c r="L126" s="289"/>
      <c r="M126" s="289"/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731">
        <v>21</v>
      </c>
      <c r="C127" s="730" t="s">
        <v>26</v>
      </c>
      <c r="D127" s="305" t="str">
        <f ca="1">IF(ISERROR(OFFSET('HARGA SATUAN'!$D$6,MATCH(RAB!C127,'HARGA SATUAN'!$C$7:$C$1495,0),0)),"",OFFSET('HARGA SATUAN'!$D$6,MATCH(RAB!C127,'HARGA SATUAN'!$C$7:$C$1495,0),0))</f>
        <v>HDW</v>
      </c>
      <c r="E127" s="306" t="str">
        <f ca="1">IF(B127="+","Unit",IF(ISERROR(OFFSET('HARGA SATUAN'!$E$6,MATCH(RAB!C127,'HARGA SATUAN'!$C$7:$C$1495,0),0)),"",OFFSET('HARGA SATUAN'!$E$6,MATCH(RAB!C127,'HARGA SATUAN'!$C$7:$C$1495,0),0)))</f>
        <v>Bh</v>
      </c>
      <c r="F127" s="732">
        <f>F106*13</f>
        <v>26</v>
      </c>
      <c r="G127" s="307">
        <f ca="1">IF(ISERROR(OFFSET('HARGA SATUAN'!$I$6,MATCH(RAB!C127,'HARGA SATUAN'!$C$7:$C$1495,0),0)),0,OFFSET('HARGA SATUAN'!$I$6,MATCH(RAB!C127,'HARGA SATUAN'!$C$7:$C$1495,0),0))</f>
        <v>2500</v>
      </c>
      <c r="H127" s="308">
        <f t="shared" ca="1" si="12"/>
        <v>0</v>
      </c>
      <c r="I127" s="308">
        <f t="shared" ca="1" si="13"/>
        <v>65000</v>
      </c>
      <c r="J127" s="308">
        <f t="shared" ca="1" si="14"/>
        <v>0</v>
      </c>
      <c r="K127" s="309">
        <f t="shared" ca="1" si="15"/>
        <v>65000</v>
      </c>
      <c r="L127" s="289"/>
      <c r="M127" s="289"/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731">
        <v>22</v>
      </c>
      <c r="C128" s="727" t="s">
        <v>708</v>
      </c>
      <c r="D128" s="305" t="str">
        <f ca="1">IF(ISERROR(OFFSET('HARGA SATUAN'!$D$6,MATCH(RAB!C128,'HARGA SATUAN'!$C$7:$C$1495,0),0)),"",OFFSET('HARGA SATUAN'!$D$6,MATCH(RAB!C128,'HARGA SATUAN'!$C$7:$C$1495,0),0))</f>
        <v>JASA</v>
      </c>
      <c r="E128" s="306" t="str">
        <f ca="1">IF(B128="+","Unit",IF(ISERROR(OFFSET('HARGA SATUAN'!$E$6,MATCH(RAB!C128,'HARGA SATUAN'!$C$7:$C$1495,0),0)),"",OFFSET('HARGA SATUAN'!$E$6,MATCH(RAB!C128,'HARGA SATUAN'!$C$7:$C$1495,0),0)))</f>
        <v>Unit</v>
      </c>
      <c r="F128" s="732">
        <f>F106*1</f>
        <v>2</v>
      </c>
      <c r="G128" s="307">
        <f ca="1">IF(ISERROR(OFFSET('HARGA SATUAN'!$I$6,MATCH(RAB!C128,'HARGA SATUAN'!$C$7:$C$1495,0),0)),0,OFFSET('HARGA SATUAN'!$I$6,MATCH(RAB!C128,'HARGA SATUAN'!$C$7:$C$1495,0),0))</f>
        <v>254900</v>
      </c>
      <c r="H128" s="308">
        <f t="shared" ca="1" si="12"/>
        <v>0</v>
      </c>
      <c r="I128" s="308">
        <f t="shared" ca="1" si="13"/>
        <v>0</v>
      </c>
      <c r="J128" s="308">
        <f t="shared" ca="1" si="14"/>
        <v>509800</v>
      </c>
      <c r="K128" s="309">
        <f t="shared" ca="1" si="15"/>
        <v>509800</v>
      </c>
      <c r="L128" s="289"/>
      <c r="M128" s="289"/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514"/>
      <c r="C129" s="515"/>
      <c r="D129" s="305" t="str">
        <f ca="1">IF(ISERROR(OFFSET('HARGA SATUAN'!$D$6,MATCH(RAB!C129,'HARGA SATUAN'!$C$7:$C$1495,0),0)),"",OFFSET('HARGA SATUAN'!$D$6,MATCH(RAB!C129,'HARGA SATUAN'!$C$7:$C$1495,0),0))</f>
        <v/>
      </c>
      <c r="E129" s="306" t="str">
        <f ca="1">IF(B129="+","Unit",IF(ISERROR(OFFSET('HARGA SATUAN'!$E$6,MATCH(RAB!C129,'HARGA SATUAN'!$C$7:$C$1495,0),0)),"",OFFSET('HARGA SATUAN'!$E$6,MATCH(RAB!C129,'HARGA SATUAN'!$C$7:$C$1495,0),0)))</f>
        <v/>
      </c>
      <c r="F129" s="451"/>
      <c r="G129" s="307">
        <f ca="1">IF(ISERROR(OFFSET('HARGA SATUAN'!$I$6,MATCH(RAB!C129,'HARGA SATUAN'!$C$7:$C$1495,0),0)),0,OFFSET('HARGA SATUAN'!$I$6,MATCH(RAB!C129,'HARGA SATUAN'!$C$7:$C$1495,0),0))</f>
        <v>0</v>
      </c>
      <c r="H129" s="308">
        <f t="shared" ref="H129:H171" ca="1" si="16">IF(OR(D129="MDU",D129="MDU-KD"),(IF($O$3="RAB NON MDU","PLN KD",G129*F129)),0)</f>
        <v>0</v>
      </c>
      <c r="I129" s="308">
        <f t="shared" ref="I129:I171" ca="1" si="17">IF(D129="HDW",G129*F129,0)</f>
        <v>0</v>
      </c>
      <c r="J129" s="308">
        <f t="shared" ref="J129:J171" ca="1" si="18">IF(D129="JASA",G129*F129,0)</f>
        <v>0</v>
      </c>
      <c r="K129" s="309">
        <f t="shared" ref="K129:K171" ca="1" si="19">SUM(H129:J129)</f>
        <v>0</v>
      </c>
      <c r="L129" s="289"/>
      <c r="M129" s="289"/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520" t="s">
        <v>1035</v>
      </c>
      <c r="C130" s="521" t="s">
        <v>1632</v>
      </c>
      <c r="D130" s="305" t="str">
        <f ca="1">IF(ISERROR(OFFSET('HARGA SATUAN'!$D$6,MATCH(RAB!C130,'HARGA SATUAN'!$C$7:$C$1495,0),0)),"",OFFSET('HARGA SATUAN'!$D$6,MATCH(RAB!C130,'HARGA SATUAN'!$C$7:$C$1495,0),0))</f>
        <v/>
      </c>
      <c r="E130" s="306" t="str">
        <f ca="1">IF(B130="+","Unit",IF(ISERROR(OFFSET('HARGA SATUAN'!$E$6,MATCH(RAB!C130,'HARGA SATUAN'!$C$7:$C$1495,0),0)),"",OFFSET('HARGA SATUAN'!$E$6,MATCH(RAB!C130,'HARGA SATUAN'!$C$7:$C$1495,0),0)))</f>
        <v>Unit</v>
      </c>
      <c r="F130" s="451">
        <v>3</v>
      </c>
      <c r="G130" s="307">
        <f ca="1">IF(ISERROR(OFFSET('HARGA SATUAN'!$I$6,MATCH(RAB!C130,'HARGA SATUAN'!$C$7:$C$1495,0),0)),0,OFFSET('HARGA SATUAN'!$I$6,MATCH(RAB!C130,'HARGA SATUAN'!$C$7:$C$1495,0),0))</f>
        <v>0</v>
      </c>
      <c r="H130" s="308">
        <f t="shared" ca="1" si="16"/>
        <v>0</v>
      </c>
      <c r="I130" s="308">
        <f t="shared" ca="1" si="17"/>
        <v>0</v>
      </c>
      <c r="J130" s="308">
        <f t="shared" ca="1" si="18"/>
        <v>0</v>
      </c>
      <c r="K130" s="309">
        <f t="shared" ca="1" si="19"/>
        <v>0</v>
      </c>
      <c r="L130" s="289"/>
      <c r="M130" s="289"/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520">
        <v>1</v>
      </c>
      <c r="C131" s="521" t="s">
        <v>30</v>
      </c>
      <c r="D131" s="305" t="str">
        <f ca="1">IF(ISERROR(OFFSET('HARGA SATUAN'!$D$6,MATCH(RAB!C131,'HARGA SATUAN'!$C$7:$C$1495,0),0)),"",OFFSET('HARGA SATUAN'!$D$6,MATCH(RAB!C131,'HARGA SATUAN'!$C$7:$C$1495,0),0))</f>
        <v>HDW</v>
      </c>
      <c r="E131" s="306" t="str">
        <f ca="1">IF(B131="+","Unit",IF(ISERROR(OFFSET('HARGA SATUAN'!$E$6,MATCH(RAB!C131,'HARGA SATUAN'!$C$7:$C$1495,0),0)),"",OFFSET('HARGA SATUAN'!$E$6,MATCH(RAB!C131,'HARGA SATUAN'!$C$7:$C$1495,0),0)))</f>
        <v>Bh</v>
      </c>
      <c r="F131" s="451">
        <f>F130*1</f>
        <v>3</v>
      </c>
      <c r="G131" s="307">
        <f ca="1">IF(ISERROR(OFFSET('HARGA SATUAN'!$I$6,MATCH(RAB!C131,'HARGA SATUAN'!$C$7:$C$1495,0),0)),0,OFFSET('HARGA SATUAN'!$I$6,MATCH(RAB!C131,'HARGA SATUAN'!$C$7:$C$1495,0),0))</f>
        <v>47459</v>
      </c>
      <c r="H131" s="308">
        <f t="shared" ca="1" si="16"/>
        <v>0</v>
      </c>
      <c r="I131" s="308">
        <f t="shared" ca="1" si="17"/>
        <v>142377</v>
      </c>
      <c r="J131" s="308">
        <f t="shared" ca="1" si="18"/>
        <v>0</v>
      </c>
      <c r="K131" s="309">
        <f t="shared" ca="1" si="19"/>
        <v>142377</v>
      </c>
      <c r="L131" s="289"/>
      <c r="M131" s="289"/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520">
        <v>2</v>
      </c>
      <c r="C132" s="521" t="s">
        <v>32</v>
      </c>
      <c r="D132" s="305" t="str">
        <f ca="1">IF(ISERROR(OFFSET('HARGA SATUAN'!$D$6,MATCH(RAB!C132,'HARGA SATUAN'!$C$7:$C$1495,0),0)),"",OFFSET('HARGA SATUAN'!$D$6,MATCH(RAB!C132,'HARGA SATUAN'!$C$7:$C$1495,0),0))</f>
        <v>HDW</v>
      </c>
      <c r="E132" s="306" t="str">
        <f ca="1">IF(B132="+","Unit",IF(ISERROR(OFFSET('HARGA SATUAN'!$E$6,MATCH(RAB!C132,'HARGA SATUAN'!$C$7:$C$1495,0),0)),"",OFFSET('HARGA SATUAN'!$E$6,MATCH(RAB!C132,'HARGA SATUAN'!$C$7:$C$1495,0),0)))</f>
        <v>Mtr</v>
      </c>
      <c r="F132" s="451">
        <f>F130*0.8</f>
        <v>2.4000000000000004</v>
      </c>
      <c r="G132" s="307">
        <f ca="1">IF(ISERROR(OFFSET('HARGA SATUAN'!$I$6,MATCH(RAB!C132,'HARGA SATUAN'!$C$7:$C$1495,0),0)),0,OFFSET('HARGA SATUAN'!$I$6,MATCH(RAB!C132,'HARGA SATUAN'!$C$7:$C$1495,0),0))</f>
        <v>30000</v>
      </c>
      <c r="H132" s="308">
        <f t="shared" ca="1" si="16"/>
        <v>0</v>
      </c>
      <c r="I132" s="308">
        <f t="shared" ca="1" si="17"/>
        <v>72000.000000000015</v>
      </c>
      <c r="J132" s="308">
        <f t="shared" ca="1" si="18"/>
        <v>0</v>
      </c>
      <c r="K132" s="309">
        <f t="shared" ca="1" si="19"/>
        <v>72000.000000000015</v>
      </c>
      <c r="L132" s="289"/>
      <c r="M132" s="289"/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520">
        <v>3</v>
      </c>
      <c r="C133" s="521" t="s">
        <v>33</v>
      </c>
      <c r="D133" s="305" t="str">
        <f ca="1">IF(ISERROR(OFFSET('HARGA SATUAN'!$D$6,MATCH(RAB!C133,'HARGA SATUAN'!$C$7:$C$1495,0),0)),"",OFFSET('HARGA SATUAN'!$D$6,MATCH(RAB!C133,'HARGA SATUAN'!$C$7:$C$1495,0),0))</f>
        <v>HDW</v>
      </c>
      <c r="E133" s="306" t="str">
        <f ca="1">IF(B133="+","Unit",IF(ISERROR(OFFSET('HARGA SATUAN'!$E$6,MATCH(RAB!C133,'HARGA SATUAN'!$C$7:$C$1495,0),0)),"",OFFSET('HARGA SATUAN'!$E$6,MATCH(RAB!C133,'HARGA SATUAN'!$C$7:$C$1495,0),0)))</f>
        <v>Bh</v>
      </c>
      <c r="F133" s="451">
        <f>F130*1</f>
        <v>3</v>
      </c>
      <c r="G133" s="307">
        <f ca="1">IF(ISERROR(OFFSET('HARGA SATUAN'!$I$6,MATCH(RAB!C133,'HARGA SATUAN'!$C$7:$C$1495,0),0)),0,OFFSET('HARGA SATUAN'!$I$6,MATCH(RAB!C133,'HARGA SATUAN'!$C$7:$C$1495,0),0))</f>
        <v>9500</v>
      </c>
      <c r="H133" s="308">
        <f t="shared" ca="1" si="16"/>
        <v>0</v>
      </c>
      <c r="I133" s="308">
        <f t="shared" ca="1" si="17"/>
        <v>28500</v>
      </c>
      <c r="J133" s="308">
        <f t="shared" ca="1" si="18"/>
        <v>0</v>
      </c>
      <c r="K133" s="309">
        <f t="shared" ca="1" si="19"/>
        <v>28500</v>
      </c>
      <c r="L133" s="289"/>
      <c r="M133" s="289"/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>
      <c r="A134" s="283"/>
      <c r="B134" s="520">
        <v>4</v>
      </c>
      <c r="C134" s="521" t="s">
        <v>737</v>
      </c>
      <c r="D134" s="305" t="str">
        <f ca="1">IF(ISERROR(OFFSET('HARGA SATUAN'!$D$6,MATCH(RAB!C134,'HARGA SATUAN'!$C$7:$C$1495,0),0)),"",OFFSET('HARGA SATUAN'!$D$6,MATCH(RAB!C134,'HARGA SATUAN'!$C$7:$C$1495,0),0))</f>
        <v>JASA</v>
      </c>
      <c r="E134" s="306" t="str">
        <f ca="1">IF(B134="+","Unit",IF(ISERROR(OFFSET('HARGA SATUAN'!$E$6,MATCH(RAB!C134,'HARGA SATUAN'!$C$7:$C$1495,0),0)),"",OFFSET('HARGA SATUAN'!$E$6,MATCH(RAB!C134,'HARGA SATUAN'!$C$7:$C$1495,0),0)))</f>
        <v>Unit</v>
      </c>
      <c r="F134" s="451">
        <f>F130*1</f>
        <v>3</v>
      </c>
      <c r="G134" s="307">
        <f ca="1">IF(ISERROR(OFFSET('HARGA SATUAN'!$I$6,MATCH(RAB!C134,'HARGA SATUAN'!$C$7:$C$1495,0),0)),0,OFFSET('HARGA SATUAN'!$I$6,MATCH(RAB!C134,'HARGA SATUAN'!$C$7:$C$1495,0),0))</f>
        <v>16200</v>
      </c>
      <c r="H134" s="308">
        <f t="shared" ca="1" si="16"/>
        <v>0</v>
      </c>
      <c r="I134" s="308">
        <f t="shared" ca="1" si="17"/>
        <v>0</v>
      </c>
      <c r="J134" s="308">
        <f t="shared" ca="1" si="18"/>
        <v>48600</v>
      </c>
      <c r="K134" s="309">
        <f t="shared" ca="1" si="19"/>
        <v>48600</v>
      </c>
      <c r="L134" s="289"/>
      <c r="M134" s="289"/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514"/>
      <c r="C135" s="515"/>
      <c r="D135" s="305" t="str">
        <f ca="1">IF(ISERROR(OFFSET('HARGA SATUAN'!$D$6,MATCH(RAB!C135,'HARGA SATUAN'!$C$7:$C$1495,0),0)),"",OFFSET('HARGA SATUAN'!$D$6,MATCH(RAB!C135,'HARGA SATUAN'!$C$7:$C$1495,0),0))</f>
        <v/>
      </c>
      <c r="E135" s="306" t="str">
        <f ca="1">IF(B135="+","Unit",IF(ISERROR(OFFSET('HARGA SATUAN'!$E$6,MATCH(RAB!C135,'HARGA SATUAN'!$C$7:$C$1495,0),0)),"",OFFSET('HARGA SATUAN'!$E$6,MATCH(RAB!C135,'HARGA SATUAN'!$C$7:$C$1495,0),0)))</f>
        <v/>
      </c>
      <c r="F135" s="451"/>
      <c r="G135" s="307">
        <f ca="1">IF(ISERROR(OFFSET('HARGA SATUAN'!$I$6,MATCH(RAB!C135,'HARGA SATUAN'!$C$7:$C$1495,0),0)),0,OFFSET('HARGA SATUAN'!$I$6,MATCH(RAB!C135,'HARGA SATUAN'!$C$7:$C$1495,0),0))</f>
        <v>0</v>
      </c>
      <c r="H135" s="308">
        <f t="shared" ca="1" si="16"/>
        <v>0</v>
      </c>
      <c r="I135" s="308">
        <f t="shared" ca="1" si="17"/>
        <v>0</v>
      </c>
      <c r="J135" s="308">
        <f t="shared" ca="1" si="18"/>
        <v>0</v>
      </c>
      <c r="K135" s="309">
        <f t="shared" ca="1" si="19"/>
        <v>0</v>
      </c>
      <c r="L135" s="289"/>
      <c r="M135" s="289"/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520" t="s">
        <v>1035</v>
      </c>
      <c r="C136" s="521" t="s">
        <v>1631</v>
      </c>
      <c r="D136" s="305" t="str">
        <f ca="1">IF(ISERROR(OFFSET('HARGA SATUAN'!$D$6,MATCH(RAB!C136,'HARGA SATUAN'!$C$7:$C$1495,0),0)),"",OFFSET('HARGA SATUAN'!$D$6,MATCH(RAB!C136,'HARGA SATUAN'!$C$7:$C$1495,0),0))</f>
        <v/>
      </c>
      <c r="E136" s="306" t="str">
        <f ca="1">IF(B136="+","Unit",IF(ISERROR(OFFSET('HARGA SATUAN'!$E$6,MATCH(RAB!C136,'HARGA SATUAN'!$C$7:$C$1495,0),0)),"",OFFSET('HARGA SATUAN'!$E$6,MATCH(RAB!C136,'HARGA SATUAN'!$C$7:$C$1495,0),0)))</f>
        <v>Unit</v>
      </c>
      <c r="F136" s="451">
        <v>1</v>
      </c>
      <c r="G136" s="307">
        <f ca="1">IF(ISERROR(OFFSET('HARGA SATUAN'!$I$6,MATCH(RAB!C136,'HARGA SATUAN'!$C$7:$C$1495,0),0)),0,OFFSET('HARGA SATUAN'!$I$6,MATCH(RAB!C136,'HARGA SATUAN'!$C$7:$C$1495,0),0))</f>
        <v>0</v>
      </c>
      <c r="H136" s="308">
        <f t="shared" ca="1" si="16"/>
        <v>0</v>
      </c>
      <c r="I136" s="308">
        <f t="shared" ca="1" si="17"/>
        <v>0</v>
      </c>
      <c r="J136" s="308">
        <f t="shared" ca="1" si="18"/>
        <v>0</v>
      </c>
      <c r="K136" s="309">
        <f t="shared" ca="1" si="19"/>
        <v>0</v>
      </c>
      <c r="L136" s="289"/>
      <c r="M136" s="289"/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>
      <c r="A137" s="283"/>
      <c r="B137" s="520">
        <v>1</v>
      </c>
      <c r="C137" s="521" t="s">
        <v>30</v>
      </c>
      <c r="D137" s="305" t="str">
        <f ca="1">IF(ISERROR(OFFSET('HARGA SATUAN'!$D$6,MATCH(RAB!C137,'HARGA SATUAN'!$C$7:$C$1495,0),0)),"",OFFSET('HARGA SATUAN'!$D$6,MATCH(RAB!C137,'HARGA SATUAN'!$C$7:$C$1495,0),0))</f>
        <v>HDW</v>
      </c>
      <c r="E137" s="306" t="str">
        <f ca="1">IF(B137="+","Unit",IF(ISERROR(OFFSET('HARGA SATUAN'!$E$6,MATCH(RAB!C137,'HARGA SATUAN'!$C$7:$C$1495,0),0)),"",OFFSET('HARGA SATUAN'!$E$6,MATCH(RAB!C137,'HARGA SATUAN'!$C$7:$C$1495,0),0)))</f>
        <v>Bh</v>
      </c>
      <c r="F137" s="451">
        <f>F136*1</f>
        <v>1</v>
      </c>
      <c r="G137" s="307">
        <f ca="1">IF(ISERROR(OFFSET('HARGA SATUAN'!$I$6,MATCH(RAB!C137,'HARGA SATUAN'!$C$7:$C$1495,0),0)),0,OFFSET('HARGA SATUAN'!$I$6,MATCH(RAB!C137,'HARGA SATUAN'!$C$7:$C$1495,0),0))</f>
        <v>47459</v>
      </c>
      <c r="H137" s="308">
        <f t="shared" ca="1" si="16"/>
        <v>0</v>
      </c>
      <c r="I137" s="308">
        <f t="shared" ca="1" si="17"/>
        <v>47459</v>
      </c>
      <c r="J137" s="308">
        <f t="shared" ca="1" si="18"/>
        <v>0</v>
      </c>
      <c r="K137" s="309">
        <f t="shared" ca="1" si="19"/>
        <v>47459</v>
      </c>
      <c r="L137" s="289"/>
      <c r="M137" s="289"/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>
      <c r="A138" s="283"/>
      <c r="B138" s="520">
        <v>2</v>
      </c>
      <c r="C138" s="521" t="s">
        <v>32</v>
      </c>
      <c r="D138" s="305" t="str">
        <f ca="1">IF(ISERROR(OFFSET('HARGA SATUAN'!$D$6,MATCH(RAB!C138,'HARGA SATUAN'!$C$7:$C$1495,0),0)),"",OFFSET('HARGA SATUAN'!$D$6,MATCH(RAB!C138,'HARGA SATUAN'!$C$7:$C$1495,0),0))</f>
        <v>HDW</v>
      </c>
      <c r="E138" s="306" t="str">
        <f ca="1">IF(B138="+","Unit",IF(ISERROR(OFFSET('HARGA SATUAN'!$E$6,MATCH(RAB!C138,'HARGA SATUAN'!$C$7:$C$1495,0),0)),"",OFFSET('HARGA SATUAN'!$E$6,MATCH(RAB!C138,'HARGA SATUAN'!$C$7:$C$1495,0),0)))</f>
        <v>Mtr</v>
      </c>
      <c r="F138" s="451">
        <f>F136*1</f>
        <v>1</v>
      </c>
      <c r="G138" s="307">
        <f ca="1">IF(ISERROR(OFFSET('HARGA SATUAN'!$I$6,MATCH(RAB!C138,'HARGA SATUAN'!$C$7:$C$1495,0),0)),0,OFFSET('HARGA SATUAN'!$I$6,MATCH(RAB!C138,'HARGA SATUAN'!$C$7:$C$1495,0),0))</f>
        <v>30000</v>
      </c>
      <c r="H138" s="308">
        <f t="shared" ca="1" si="16"/>
        <v>0</v>
      </c>
      <c r="I138" s="308">
        <f t="shared" ca="1" si="17"/>
        <v>30000</v>
      </c>
      <c r="J138" s="308">
        <f t="shared" ca="1" si="18"/>
        <v>0</v>
      </c>
      <c r="K138" s="309">
        <f t="shared" ca="1" si="19"/>
        <v>30000</v>
      </c>
      <c r="L138" s="289"/>
      <c r="M138" s="289"/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>
      <c r="A139" s="283"/>
      <c r="B139" s="520">
        <v>3</v>
      </c>
      <c r="C139" s="521" t="s">
        <v>33</v>
      </c>
      <c r="D139" s="305" t="str">
        <f ca="1">IF(ISERROR(OFFSET('HARGA SATUAN'!$D$6,MATCH(RAB!C139,'HARGA SATUAN'!$C$7:$C$1495,0),0)),"",OFFSET('HARGA SATUAN'!$D$6,MATCH(RAB!C139,'HARGA SATUAN'!$C$7:$C$1495,0),0))</f>
        <v>HDW</v>
      </c>
      <c r="E139" s="306" t="str">
        <f ca="1">IF(B139="+","Unit",IF(ISERROR(OFFSET('HARGA SATUAN'!$E$6,MATCH(RAB!C139,'HARGA SATUAN'!$C$7:$C$1495,0),0)),"",OFFSET('HARGA SATUAN'!$E$6,MATCH(RAB!C139,'HARGA SATUAN'!$C$7:$C$1495,0),0)))</f>
        <v>Bh</v>
      </c>
      <c r="F139" s="451">
        <f>F136*1</f>
        <v>1</v>
      </c>
      <c r="G139" s="307">
        <f ca="1">IF(ISERROR(OFFSET('HARGA SATUAN'!$I$6,MATCH(RAB!C139,'HARGA SATUAN'!$C$7:$C$1495,0),0)),0,OFFSET('HARGA SATUAN'!$I$6,MATCH(RAB!C139,'HARGA SATUAN'!$C$7:$C$1495,0),0))</f>
        <v>9500</v>
      </c>
      <c r="H139" s="308">
        <f t="shared" ca="1" si="16"/>
        <v>0</v>
      </c>
      <c r="I139" s="308">
        <f t="shared" ca="1" si="17"/>
        <v>9500</v>
      </c>
      <c r="J139" s="308">
        <f t="shared" ca="1" si="18"/>
        <v>0</v>
      </c>
      <c r="K139" s="309">
        <f t="shared" ca="1" si="19"/>
        <v>9500</v>
      </c>
      <c r="L139" s="289"/>
      <c r="M139" s="289"/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 s="317" customFormat="1">
      <c r="A140" s="283"/>
      <c r="B140" s="520">
        <v>4</v>
      </c>
      <c r="C140" s="521" t="s">
        <v>738</v>
      </c>
      <c r="D140" s="305" t="str">
        <f ca="1">IF(ISERROR(OFFSET('HARGA SATUAN'!$D$6,MATCH(RAB!C140,'HARGA SATUAN'!$C$7:$C$1495,0),0)),"",OFFSET('HARGA SATUAN'!$D$6,MATCH(RAB!C140,'HARGA SATUAN'!$C$7:$C$1495,0),0))</f>
        <v>JASA</v>
      </c>
      <c r="E140" s="306" t="str">
        <f ca="1">IF(B140="+","Unit",IF(ISERROR(OFFSET('HARGA SATUAN'!$E$6,MATCH(RAB!C140,'HARGA SATUAN'!$C$7:$C$1495,0),0)),"",OFFSET('HARGA SATUAN'!$E$6,MATCH(RAB!C140,'HARGA SATUAN'!$C$7:$C$1495,0),0)))</f>
        <v>Unit</v>
      </c>
      <c r="F140" s="451">
        <f>F136*1</f>
        <v>1</v>
      </c>
      <c r="G140" s="307">
        <f ca="1">IF(ISERROR(OFFSET('HARGA SATUAN'!$I$6,MATCH(RAB!C140,'HARGA SATUAN'!$C$7:$C$1495,0),0)),0,OFFSET('HARGA SATUAN'!$I$6,MATCH(RAB!C140,'HARGA SATUAN'!$C$7:$C$1495,0),0))</f>
        <v>21200</v>
      </c>
      <c r="H140" s="308">
        <f t="shared" ca="1" si="16"/>
        <v>0</v>
      </c>
      <c r="I140" s="308">
        <f t="shared" ca="1" si="17"/>
        <v>0</v>
      </c>
      <c r="J140" s="308">
        <f t="shared" ca="1" si="18"/>
        <v>21200</v>
      </c>
      <c r="K140" s="309">
        <f t="shared" ca="1" si="19"/>
        <v>21200</v>
      </c>
      <c r="L140" s="289"/>
      <c r="M140" s="289"/>
      <c r="N140" s="316"/>
      <c r="O140" s="310"/>
      <c r="P140" s="310"/>
      <c r="Q140" s="291"/>
      <c r="R140" s="283"/>
      <c r="S140" s="311"/>
      <c r="T140" s="288"/>
      <c r="U140" s="288"/>
      <c r="V140" s="288"/>
    </row>
    <row r="141" spans="1:22" s="317" customFormat="1">
      <c r="A141" s="283"/>
      <c r="B141" s="514"/>
      <c r="C141" s="515"/>
      <c r="D141" s="305" t="str">
        <f ca="1">IF(ISERROR(OFFSET('HARGA SATUAN'!$D$6,MATCH(RAB!C141,'HARGA SATUAN'!$C$7:$C$1495,0),0)),"",OFFSET('HARGA SATUAN'!$D$6,MATCH(RAB!C141,'HARGA SATUAN'!$C$7:$C$1495,0),0))</f>
        <v/>
      </c>
      <c r="E141" s="306" t="str">
        <f ca="1">IF(B141="+","Unit",IF(ISERROR(OFFSET('HARGA SATUAN'!$E$6,MATCH(RAB!C141,'HARGA SATUAN'!$C$7:$C$1495,0),0)),"",OFFSET('HARGA SATUAN'!$E$6,MATCH(RAB!C141,'HARGA SATUAN'!$C$7:$C$1495,0),0)))</f>
        <v/>
      </c>
      <c r="F141" s="451"/>
      <c r="G141" s="307">
        <f ca="1">IF(ISERROR(OFFSET('HARGA SATUAN'!$I$6,MATCH(RAB!C141,'HARGA SATUAN'!$C$7:$C$1495,0),0)),0,OFFSET('HARGA SATUAN'!$I$6,MATCH(RAB!C141,'HARGA SATUAN'!$C$7:$C$1495,0),0))</f>
        <v>0</v>
      </c>
      <c r="H141" s="308">
        <f t="shared" ca="1" si="16"/>
        <v>0</v>
      </c>
      <c r="I141" s="308">
        <f t="shared" ca="1" si="17"/>
        <v>0</v>
      </c>
      <c r="J141" s="308">
        <f t="shared" ca="1" si="18"/>
        <v>0</v>
      </c>
      <c r="K141" s="309">
        <f t="shared" ca="1" si="19"/>
        <v>0</v>
      </c>
      <c r="L141" s="289"/>
      <c r="M141" s="289"/>
      <c r="N141" s="316"/>
      <c r="O141" s="310"/>
      <c r="P141" s="310"/>
      <c r="Q141" s="291"/>
      <c r="R141" s="283"/>
      <c r="S141" s="311"/>
      <c r="T141" s="288"/>
      <c r="U141" s="288"/>
      <c r="V141" s="288"/>
    </row>
    <row r="142" spans="1:22" s="317" customFormat="1">
      <c r="A142" s="283"/>
      <c r="B142" s="724" t="s">
        <v>1035</v>
      </c>
      <c r="C142" s="727" t="s">
        <v>1641</v>
      </c>
      <c r="D142" s="305" t="str">
        <f ca="1">IF(ISERROR(OFFSET('HARGA SATUAN'!$D$6,MATCH(RAB!C142,'HARGA SATUAN'!$C$7:$C$1495,0),0)),"",OFFSET('HARGA SATUAN'!$D$6,MATCH(RAB!C142,'HARGA SATUAN'!$C$7:$C$1495,0),0))</f>
        <v/>
      </c>
      <c r="E142" s="306" t="str">
        <f ca="1">IF(B142="+","Unit",IF(ISERROR(OFFSET('HARGA SATUAN'!$E$6,MATCH(RAB!C142,'HARGA SATUAN'!$C$7:$C$1495,0),0)),"",OFFSET('HARGA SATUAN'!$E$6,MATCH(RAB!C142,'HARGA SATUAN'!$C$7:$C$1495,0),0)))</f>
        <v>Unit</v>
      </c>
      <c r="F142" s="522">
        <v>1</v>
      </c>
      <c r="G142" s="307">
        <f ca="1">IF(ISERROR(OFFSET('HARGA SATUAN'!$I$6,MATCH(RAB!C142,'HARGA SATUAN'!$C$7:$C$1495,0),0)),0,OFFSET('HARGA SATUAN'!$I$6,MATCH(RAB!C142,'HARGA SATUAN'!$C$7:$C$1495,0),0))</f>
        <v>0</v>
      </c>
      <c r="H142" s="308">
        <f t="shared" ca="1" si="16"/>
        <v>0</v>
      </c>
      <c r="I142" s="308">
        <f t="shared" ca="1" si="17"/>
        <v>0</v>
      </c>
      <c r="J142" s="308">
        <f t="shared" ca="1" si="18"/>
        <v>0</v>
      </c>
      <c r="K142" s="309">
        <f t="shared" ca="1" si="19"/>
        <v>0</v>
      </c>
      <c r="L142" s="289"/>
      <c r="M142" s="289"/>
      <c r="N142" s="316"/>
      <c r="O142" s="310"/>
      <c r="P142" s="310"/>
      <c r="Q142" s="291"/>
      <c r="R142" s="283"/>
      <c r="S142" s="311"/>
      <c r="T142" s="288"/>
      <c r="U142" s="288"/>
      <c r="V142" s="288"/>
    </row>
    <row r="143" spans="1:22" s="317" customFormat="1">
      <c r="A143" s="283"/>
      <c r="B143" s="728">
        <v>1</v>
      </c>
      <c r="C143" s="729" t="s">
        <v>597</v>
      </c>
      <c r="D143" s="305" t="str">
        <f ca="1">IF(ISERROR(OFFSET('HARGA SATUAN'!$D$6,MATCH(RAB!C143,'HARGA SATUAN'!$C$7:$C$1495,0),0)),"",OFFSET('HARGA SATUAN'!$D$6,MATCH(RAB!C143,'HARGA SATUAN'!$C$7:$C$1495,0),0))</f>
        <v>HDW</v>
      </c>
      <c r="E143" s="306" t="str">
        <f ca="1">IF(B143="+","Unit",IF(ISERROR(OFFSET('HARGA SATUAN'!$E$6,MATCH(RAB!C143,'HARGA SATUAN'!$C$7:$C$1495,0),0)),"",OFFSET('HARGA SATUAN'!$E$6,MATCH(RAB!C143,'HARGA SATUAN'!$C$7:$C$1495,0),0)))</f>
        <v>Bh</v>
      </c>
      <c r="F143" s="522">
        <f>F142*1</f>
        <v>1</v>
      </c>
      <c r="G143" s="307">
        <f ca="1">IF(ISERROR(OFFSET('HARGA SATUAN'!$I$6,MATCH(RAB!C143,'HARGA SATUAN'!$C$7:$C$1495,0),0)),0,OFFSET('HARGA SATUAN'!$I$6,MATCH(RAB!C143,'HARGA SATUAN'!$C$7:$C$1495,0),0))</f>
        <v>120900</v>
      </c>
      <c r="H143" s="308">
        <f t="shared" ca="1" si="16"/>
        <v>0</v>
      </c>
      <c r="I143" s="308">
        <f t="shared" ca="1" si="17"/>
        <v>120900</v>
      </c>
      <c r="J143" s="308">
        <f t="shared" ca="1" si="18"/>
        <v>0</v>
      </c>
      <c r="K143" s="309">
        <f t="shared" ca="1" si="19"/>
        <v>120900</v>
      </c>
      <c r="L143" s="289"/>
      <c r="M143" s="289"/>
      <c r="N143" s="316"/>
      <c r="O143" s="310"/>
      <c r="P143" s="310"/>
      <c r="Q143" s="291"/>
      <c r="R143" s="283"/>
      <c r="S143" s="311"/>
      <c r="T143" s="288"/>
      <c r="U143" s="288"/>
      <c r="V143" s="288"/>
    </row>
    <row r="144" spans="1:22" s="317" customFormat="1">
      <c r="A144" s="283"/>
      <c r="B144" s="516">
        <v>2</v>
      </c>
      <c r="C144" s="518" t="s">
        <v>261</v>
      </c>
      <c r="D144" s="305" t="str">
        <f ca="1">IF(ISERROR(OFFSET('HARGA SATUAN'!$D$6,MATCH(RAB!C144,'HARGA SATUAN'!$C$7:$C$1495,0),0)),"",OFFSET('HARGA SATUAN'!$D$6,MATCH(RAB!C144,'HARGA SATUAN'!$C$7:$C$1495,0),0))</f>
        <v>HDW</v>
      </c>
      <c r="E144" s="306" t="str">
        <f ca="1">IF(B144="+","Unit",IF(ISERROR(OFFSET('HARGA SATUAN'!$E$6,MATCH(RAB!C144,'HARGA SATUAN'!$C$7:$C$1495,0),0)),"",OFFSET('HARGA SATUAN'!$E$6,MATCH(RAB!C144,'HARGA SATUAN'!$C$7:$C$1495,0),0)))</f>
        <v>Bh</v>
      </c>
      <c r="F144" s="522">
        <f>F142*1</f>
        <v>1</v>
      </c>
      <c r="G144" s="307">
        <f ca="1">IF(ISERROR(OFFSET('HARGA SATUAN'!$I$6,MATCH(RAB!C144,'HARGA SATUAN'!$C$7:$C$1495,0),0)),0,OFFSET('HARGA SATUAN'!$I$6,MATCH(RAB!C144,'HARGA SATUAN'!$C$7:$C$1495,0),0))</f>
        <v>135800</v>
      </c>
      <c r="H144" s="308">
        <f t="shared" ca="1" si="16"/>
        <v>0</v>
      </c>
      <c r="I144" s="308">
        <f t="shared" ca="1" si="17"/>
        <v>135800</v>
      </c>
      <c r="J144" s="308">
        <f t="shared" ca="1" si="18"/>
        <v>0</v>
      </c>
      <c r="K144" s="309">
        <f t="shared" ca="1" si="19"/>
        <v>135800</v>
      </c>
      <c r="L144" s="289"/>
      <c r="M144" s="289"/>
      <c r="N144" s="316"/>
      <c r="O144" s="310"/>
      <c r="P144" s="310"/>
      <c r="Q144" s="291"/>
      <c r="R144" s="283"/>
      <c r="S144" s="311"/>
      <c r="T144" s="288"/>
      <c r="U144" s="288"/>
      <c r="V144" s="288"/>
    </row>
    <row r="145" spans="1:22" s="317" customFormat="1">
      <c r="A145" s="283"/>
      <c r="B145" s="516">
        <v>3</v>
      </c>
      <c r="C145" s="519" t="s">
        <v>214</v>
      </c>
      <c r="D145" s="305" t="str">
        <f ca="1">IF(ISERROR(OFFSET('HARGA SATUAN'!$D$6,MATCH(RAB!C145,'HARGA SATUAN'!$C$7:$C$1495,0),0)),"",OFFSET('HARGA SATUAN'!$D$6,MATCH(RAB!C145,'HARGA SATUAN'!$C$7:$C$1495,0),0))</f>
        <v>HDW</v>
      </c>
      <c r="E145" s="306" t="str">
        <f ca="1">IF(B145="+","Unit",IF(ISERROR(OFFSET('HARGA SATUAN'!$E$6,MATCH(RAB!C145,'HARGA SATUAN'!$C$7:$C$1495,0),0)),"",OFFSET('HARGA SATUAN'!$E$6,MATCH(RAB!C145,'HARGA SATUAN'!$C$7:$C$1495,0),0)))</f>
        <v>Bh</v>
      </c>
      <c r="F145" s="451">
        <f>F142*1</f>
        <v>1</v>
      </c>
      <c r="G145" s="307">
        <f ca="1">IF(ISERROR(OFFSET('HARGA SATUAN'!$I$6,MATCH(RAB!C145,'HARGA SATUAN'!$C$7:$C$1495,0),0)),0,OFFSET('HARGA SATUAN'!$I$6,MATCH(RAB!C145,'HARGA SATUAN'!$C$7:$C$1495,0),0))</f>
        <v>4500</v>
      </c>
      <c r="H145" s="308">
        <f t="shared" ca="1" si="16"/>
        <v>0</v>
      </c>
      <c r="I145" s="308">
        <f t="shared" ca="1" si="17"/>
        <v>4500</v>
      </c>
      <c r="J145" s="308">
        <f t="shared" ca="1" si="18"/>
        <v>0</v>
      </c>
      <c r="K145" s="309">
        <f t="shared" ca="1" si="19"/>
        <v>4500</v>
      </c>
      <c r="L145" s="289"/>
      <c r="M145" s="289"/>
      <c r="N145" s="316"/>
      <c r="O145" s="310"/>
      <c r="P145" s="310"/>
      <c r="Q145" s="291"/>
      <c r="R145" s="283"/>
      <c r="S145" s="311"/>
      <c r="T145" s="288"/>
      <c r="U145" s="288"/>
      <c r="V145" s="288"/>
    </row>
    <row r="146" spans="1:22" s="317" customFormat="1">
      <c r="A146" s="283"/>
      <c r="B146" s="724">
        <v>4</v>
      </c>
      <c r="C146" s="727" t="s">
        <v>768</v>
      </c>
      <c r="D146" s="305" t="str">
        <f ca="1">IF(ISERROR(OFFSET('HARGA SATUAN'!$D$6,MATCH(RAB!C146,'HARGA SATUAN'!$C$7:$C$1495,0),0)),"",OFFSET('HARGA SATUAN'!$D$6,MATCH(RAB!C146,'HARGA SATUAN'!$C$7:$C$1495,0),0))</f>
        <v>JASA</v>
      </c>
      <c r="E146" s="306" t="str">
        <f ca="1">IF(B146="+","Unit",IF(ISERROR(OFFSET('HARGA SATUAN'!$E$6,MATCH(RAB!C146,'HARGA SATUAN'!$C$7:$C$1495,0),0)),"",OFFSET('HARGA SATUAN'!$E$6,MATCH(RAB!C146,'HARGA SATUAN'!$C$7:$C$1495,0),0)))</f>
        <v>Unit</v>
      </c>
      <c r="F146" s="522">
        <f>F142*1</f>
        <v>1</v>
      </c>
      <c r="G146" s="307">
        <f ca="1">IF(ISERROR(OFFSET('HARGA SATUAN'!$I$6,MATCH(RAB!C146,'HARGA SATUAN'!$C$7:$C$1495,0),0)),0,OFFSET('HARGA SATUAN'!$I$6,MATCH(RAB!C146,'HARGA SATUAN'!$C$7:$C$1495,0),0))</f>
        <v>55500</v>
      </c>
      <c r="H146" s="308">
        <f t="shared" ca="1" si="16"/>
        <v>0</v>
      </c>
      <c r="I146" s="308">
        <f t="shared" ca="1" si="17"/>
        <v>0</v>
      </c>
      <c r="J146" s="308">
        <f t="shared" ca="1" si="18"/>
        <v>55500</v>
      </c>
      <c r="K146" s="309">
        <f t="shared" ca="1" si="19"/>
        <v>55500</v>
      </c>
      <c r="L146" s="289"/>
      <c r="M146" s="289"/>
      <c r="N146" s="316"/>
      <c r="O146" s="310"/>
      <c r="P146" s="310"/>
      <c r="Q146" s="291"/>
      <c r="R146" s="283"/>
      <c r="S146" s="311"/>
      <c r="T146" s="288"/>
      <c r="U146" s="288"/>
      <c r="V146" s="288"/>
    </row>
    <row r="147" spans="1:22" s="317" customFormat="1">
      <c r="A147" s="283"/>
      <c r="B147" s="514"/>
      <c r="C147" s="515"/>
      <c r="D147" s="305" t="str">
        <f ca="1">IF(ISERROR(OFFSET('HARGA SATUAN'!$D$6,MATCH(RAB!C147,'HARGA SATUAN'!$C$7:$C$1495,0),0)),"",OFFSET('HARGA SATUAN'!$D$6,MATCH(RAB!C147,'HARGA SATUAN'!$C$7:$C$1495,0),0))</f>
        <v/>
      </c>
      <c r="E147" s="306" t="str">
        <f ca="1">IF(B147="+","Unit",IF(ISERROR(OFFSET('HARGA SATUAN'!$E$6,MATCH(RAB!C147,'HARGA SATUAN'!$C$7:$C$1495,0),0)),"",OFFSET('HARGA SATUAN'!$E$6,MATCH(RAB!C147,'HARGA SATUAN'!$C$7:$C$1495,0),0)))</f>
        <v/>
      </c>
      <c r="F147" s="451"/>
      <c r="G147" s="307">
        <f ca="1">IF(ISERROR(OFFSET('HARGA SATUAN'!$I$6,MATCH(RAB!C147,'HARGA SATUAN'!$C$7:$C$1495,0),0)),0,OFFSET('HARGA SATUAN'!$I$6,MATCH(RAB!C147,'HARGA SATUAN'!$C$7:$C$1495,0),0))</f>
        <v>0</v>
      </c>
      <c r="H147" s="308">
        <f t="shared" ca="1" si="16"/>
        <v>0</v>
      </c>
      <c r="I147" s="308">
        <f t="shared" ca="1" si="17"/>
        <v>0</v>
      </c>
      <c r="J147" s="308">
        <f t="shared" ca="1" si="18"/>
        <v>0</v>
      </c>
      <c r="K147" s="309">
        <f t="shared" ca="1" si="19"/>
        <v>0</v>
      </c>
      <c r="L147" s="289"/>
      <c r="M147" s="289"/>
      <c r="N147" s="316"/>
      <c r="O147" s="310"/>
      <c r="P147" s="310"/>
      <c r="Q147" s="291"/>
      <c r="R147" s="283"/>
      <c r="S147" s="311"/>
      <c r="T147" s="288"/>
      <c r="U147" s="288"/>
      <c r="V147" s="288"/>
    </row>
    <row r="148" spans="1:22" s="317" customFormat="1">
      <c r="A148" s="283"/>
      <c r="B148" s="724" t="s">
        <v>1035</v>
      </c>
      <c r="C148" s="727" t="s">
        <v>1640</v>
      </c>
      <c r="D148" s="305" t="str">
        <f ca="1">IF(ISERROR(OFFSET('HARGA SATUAN'!$D$6,MATCH(RAB!C148,'HARGA SATUAN'!$C$7:$C$1495,0),0)),"",OFFSET('HARGA SATUAN'!$D$6,MATCH(RAB!C148,'HARGA SATUAN'!$C$7:$C$1495,0),0))</f>
        <v/>
      </c>
      <c r="E148" s="306" t="str">
        <f ca="1">IF(B148="+","Unit",IF(ISERROR(OFFSET('HARGA SATUAN'!$E$6,MATCH(RAB!C148,'HARGA SATUAN'!$C$7:$C$1495,0),0)),"",OFFSET('HARGA SATUAN'!$E$6,MATCH(RAB!C148,'HARGA SATUAN'!$C$7:$C$1495,0),0)))</f>
        <v>Unit</v>
      </c>
      <c r="F148" s="451">
        <v>1</v>
      </c>
      <c r="G148" s="307">
        <f ca="1">IF(ISERROR(OFFSET('HARGA SATUAN'!$I$6,MATCH(RAB!C148,'HARGA SATUAN'!$C$7:$C$1495,0),0)),0,OFFSET('HARGA SATUAN'!$I$6,MATCH(RAB!C148,'HARGA SATUAN'!$C$7:$C$1495,0),0))</f>
        <v>0</v>
      </c>
      <c r="H148" s="308">
        <f t="shared" ca="1" si="16"/>
        <v>0</v>
      </c>
      <c r="I148" s="308">
        <f t="shared" ca="1" si="17"/>
        <v>0</v>
      </c>
      <c r="J148" s="308">
        <f t="shared" ca="1" si="18"/>
        <v>0</v>
      </c>
      <c r="K148" s="309">
        <f t="shared" ca="1" si="19"/>
        <v>0</v>
      </c>
      <c r="L148" s="289"/>
      <c r="M148" s="289"/>
      <c r="N148" s="316"/>
      <c r="O148" s="310"/>
      <c r="P148" s="310"/>
      <c r="Q148" s="291"/>
      <c r="R148" s="283"/>
      <c r="S148" s="311"/>
      <c r="T148" s="288"/>
      <c r="U148" s="288"/>
      <c r="V148" s="288"/>
    </row>
    <row r="149" spans="1:22" s="317" customFormat="1">
      <c r="A149" s="283"/>
      <c r="B149" s="724">
        <v>1</v>
      </c>
      <c r="C149" s="727" t="s">
        <v>28</v>
      </c>
      <c r="D149" s="305" t="str">
        <f ca="1">IF(ISERROR(OFFSET('HARGA SATUAN'!$D$6,MATCH(RAB!C149,'HARGA SATUAN'!$C$7:$C$1495,0),0)),"",OFFSET('HARGA SATUAN'!$D$6,MATCH(RAB!C149,'HARGA SATUAN'!$C$7:$C$1495,0),0))</f>
        <v>HDW</v>
      </c>
      <c r="E149" s="306" t="str">
        <f ca="1">IF(B149="+","Unit",IF(ISERROR(OFFSET('HARGA SATUAN'!$E$6,MATCH(RAB!C149,'HARGA SATUAN'!$C$7:$C$1495,0),0)),"",OFFSET('HARGA SATUAN'!$E$6,MATCH(RAB!C149,'HARGA SATUAN'!$C$7:$C$1495,0),0)))</f>
        <v>Bh</v>
      </c>
      <c r="F149" s="451">
        <f>F148*1</f>
        <v>1</v>
      </c>
      <c r="G149" s="307">
        <f ca="1">IF(ISERROR(OFFSET('HARGA SATUAN'!$I$6,MATCH(RAB!C149,'HARGA SATUAN'!$C$7:$C$1495,0),0)),0,OFFSET('HARGA SATUAN'!$I$6,MATCH(RAB!C149,'HARGA SATUAN'!$C$7:$C$1495,0),0))</f>
        <v>26500</v>
      </c>
      <c r="H149" s="308">
        <f t="shared" ca="1" si="16"/>
        <v>0</v>
      </c>
      <c r="I149" s="308">
        <f t="shared" ca="1" si="17"/>
        <v>26500</v>
      </c>
      <c r="J149" s="308">
        <f t="shared" ca="1" si="18"/>
        <v>0</v>
      </c>
      <c r="K149" s="309">
        <f t="shared" ca="1" si="19"/>
        <v>26500</v>
      </c>
      <c r="L149" s="289"/>
      <c r="M149" s="289"/>
      <c r="N149" s="316"/>
      <c r="O149" s="310"/>
      <c r="P149" s="310"/>
      <c r="Q149" s="291"/>
      <c r="R149" s="283"/>
      <c r="S149" s="311"/>
      <c r="T149" s="288"/>
      <c r="U149" s="288"/>
      <c r="V149" s="288"/>
    </row>
    <row r="150" spans="1:22" s="317" customFormat="1">
      <c r="A150" s="283"/>
      <c r="B150" s="724">
        <v>2</v>
      </c>
      <c r="C150" s="727" t="s">
        <v>203</v>
      </c>
      <c r="D150" s="305" t="str">
        <f ca="1">IF(ISERROR(OFFSET('HARGA SATUAN'!$D$6,MATCH(RAB!C150,'HARGA SATUAN'!$C$7:$C$1495,0),0)),"",OFFSET('HARGA SATUAN'!$D$6,MATCH(RAB!C150,'HARGA SATUAN'!$C$7:$C$1495,0),0))</f>
        <v>HDW</v>
      </c>
      <c r="E150" s="306" t="str">
        <f ca="1">IF(B150="+","Unit",IF(ISERROR(OFFSET('HARGA SATUAN'!$E$6,MATCH(RAB!C150,'HARGA SATUAN'!$C$7:$C$1495,0),0)),"",OFFSET('HARGA SATUAN'!$E$6,MATCH(RAB!C150,'HARGA SATUAN'!$C$7:$C$1495,0),0)))</f>
        <v>Bh</v>
      </c>
      <c r="F150" s="451">
        <f>F148*1</f>
        <v>1</v>
      </c>
      <c r="G150" s="307">
        <f ca="1">IF(ISERROR(OFFSET('HARGA SATUAN'!$I$6,MATCH(RAB!C150,'HARGA SATUAN'!$C$7:$C$1495,0),0)),0,OFFSET('HARGA SATUAN'!$I$6,MATCH(RAB!C150,'HARGA SATUAN'!$C$7:$C$1495,0),0))</f>
        <v>12500</v>
      </c>
      <c r="H150" s="308">
        <f t="shared" ca="1" si="16"/>
        <v>0</v>
      </c>
      <c r="I150" s="308">
        <f t="shared" ca="1" si="17"/>
        <v>12500</v>
      </c>
      <c r="J150" s="308">
        <f t="shared" ca="1" si="18"/>
        <v>0</v>
      </c>
      <c r="K150" s="309">
        <f t="shared" ca="1" si="19"/>
        <v>12500</v>
      </c>
      <c r="L150" s="289"/>
      <c r="M150" s="289"/>
      <c r="N150" s="316"/>
      <c r="O150" s="310"/>
      <c r="P150" s="310"/>
      <c r="Q150" s="291"/>
      <c r="R150" s="283"/>
      <c r="S150" s="311"/>
      <c r="T150" s="288"/>
      <c r="U150" s="288"/>
      <c r="V150" s="288"/>
    </row>
    <row r="151" spans="1:22" s="317" customFormat="1">
      <c r="A151" s="283"/>
      <c r="B151" s="724">
        <v>3</v>
      </c>
      <c r="C151" s="727" t="s">
        <v>206</v>
      </c>
      <c r="D151" s="305" t="str">
        <f ca="1">IF(ISERROR(OFFSET('HARGA SATUAN'!$D$6,MATCH(RAB!C151,'HARGA SATUAN'!$C$7:$C$1495,0),0)),"",OFFSET('HARGA SATUAN'!$D$6,MATCH(RAB!C151,'HARGA SATUAN'!$C$7:$C$1495,0),0))</f>
        <v>HDW</v>
      </c>
      <c r="E151" s="306" t="str">
        <f ca="1">IF(B151="+","Unit",IF(ISERROR(OFFSET('HARGA SATUAN'!$E$6,MATCH(RAB!C151,'HARGA SATUAN'!$C$7:$C$1495,0),0)),"",OFFSET('HARGA SATUAN'!$E$6,MATCH(RAB!C151,'HARGA SATUAN'!$C$7:$C$1495,0),0)))</f>
        <v>Mtr</v>
      </c>
      <c r="F151" s="451">
        <f>F148*12</f>
        <v>12</v>
      </c>
      <c r="G151" s="307">
        <f ca="1">IF(ISERROR(OFFSET('HARGA SATUAN'!$I$6,MATCH(RAB!C151,'HARGA SATUAN'!$C$7:$C$1495,0),0)),0,OFFSET('HARGA SATUAN'!$I$6,MATCH(RAB!C151,'HARGA SATUAN'!$C$7:$C$1495,0),0))</f>
        <v>39204</v>
      </c>
      <c r="H151" s="308">
        <f t="shared" ca="1" si="16"/>
        <v>0</v>
      </c>
      <c r="I151" s="308">
        <f t="shared" ca="1" si="17"/>
        <v>470448</v>
      </c>
      <c r="J151" s="308">
        <f t="shared" ca="1" si="18"/>
        <v>0</v>
      </c>
      <c r="K151" s="309">
        <f t="shared" ca="1" si="19"/>
        <v>470448</v>
      </c>
      <c r="L151" s="289"/>
      <c r="M151" s="289"/>
      <c r="N151" s="316"/>
      <c r="O151" s="310"/>
      <c r="P151" s="310"/>
      <c r="Q151" s="291"/>
      <c r="R151" s="283"/>
      <c r="S151" s="311"/>
      <c r="T151" s="288"/>
      <c r="U151" s="288"/>
      <c r="V151" s="288"/>
    </row>
    <row r="152" spans="1:22" s="317" customFormat="1">
      <c r="A152" s="283"/>
      <c r="B152" s="724">
        <v>4</v>
      </c>
      <c r="C152" s="727" t="s">
        <v>287</v>
      </c>
      <c r="D152" s="305" t="str">
        <f ca="1">IF(ISERROR(OFFSET('HARGA SATUAN'!$D$6,MATCH(RAB!C152,'HARGA SATUAN'!$C$7:$C$1495,0),0)),"",OFFSET('HARGA SATUAN'!$D$6,MATCH(RAB!C152,'HARGA SATUAN'!$C$7:$C$1495,0),0))</f>
        <v>HDW</v>
      </c>
      <c r="E152" s="306" t="str">
        <f ca="1">IF(B152="+","Unit",IF(ISERROR(OFFSET('HARGA SATUAN'!$E$6,MATCH(RAB!C152,'HARGA SATUAN'!$C$7:$C$1495,0),0)),"",OFFSET('HARGA SATUAN'!$E$6,MATCH(RAB!C152,'HARGA SATUAN'!$C$7:$C$1495,0),0)))</f>
        <v>Bh</v>
      </c>
      <c r="F152" s="451">
        <f>F148*2</f>
        <v>2</v>
      </c>
      <c r="G152" s="307">
        <f ca="1">IF(ISERROR(OFFSET('HARGA SATUAN'!$I$6,MATCH(RAB!C152,'HARGA SATUAN'!$C$7:$C$1495,0),0)),0,OFFSET('HARGA SATUAN'!$I$6,MATCH(RAB!C152,'HARGA SATUAN'!$C$7:$C$1495,0),0))</f>
        <v>40000</v>
      </c>
      <c r="H152" s="308">
        <f t="shared" ca="1" si="16"/>
        <v>0</v>
      </c>
      <c r="I152" s="308">
        <f t="shared" ca="1" si="17"/>
        <v>80000</v>
      </c>
      <c r="J152" s="308">
        <f t="shared" ca="1" si="18"/>
        <v>0</v>
      </c>
      <c r="K152" s="309">
        <f t="shared" ca="1" si="19"/>
        <v>80000</v>
      </c>
      <c r="L152" s="289"/>
      <c r="M152" s="289"/>
      <c r="N152" s="316"/>
      <c r="O152" s="310"/>
      <c r="P152" s="310"/>
      <c r="Q152" s="291"/>
      <c r="R152" s="283"/>
      <c r="S152" s="311"/>
      <c r="T152" s="288"/>
      <c r="U152" s="288"/>
      <c r="V152" s="288"/>
    </row>
    <row r="153" spans="1:22" s="317" customFormat="1">
      <c r="A153" s="283"/>
      <c r="B153" s="724">
        <v>5</v>
      </c>
      <c r="C153" s="727" t="s">
        <v>26</v>
      </c>
      <c r="D153" s="305" t="str">
        <f ca="1">IF(ISERROR(OFFSET('HARGA SATUAN'!$D$6,MATCH(RAB!C153,'HARGA SATUAN'!$C$7:$C$1495,0),0)),"",OFFSET('HARGA SATUAN'!$D$6,MATCH(RAB!C153,'HARGA SATUAN'!$C$7:$C$1495,0),0))</f>
        <v>HDW</v>
      </c>
      <c r="E153" s="306" t="str">
        <f ca="1">IF(B153="+","Unit",IF(ISERROR(OFFSET('HARGA SATUAN'!$E$6,MATCH(RAB!C153,'HARGA SATUAN'!$C$7:$C$1495,0),0)),"",OFFSET('HARGA SATUAN'!$E$6,MATCH(RAB!C153,'HARGA SATUAN'!$C$7:$C$1495,0),0)))</f>
        <v>Bh</v>
      </c>
      <c r="F153" s="451">
        <f>F148*1</f>
        <v>1</v>
      </c>
      <c r="G153" s="307">
        <f ca="1">IF(ISERROR(OFFSET('HARGA SATUAN'!$I$6,MATCH(RAB!C153,'HARGA SATUAN'!$C$7:$C$1495,0),0)),0,OFFSET('HARGA SATUAN'!$I$6,MATCH(RAB!C153,'HARGA SATUAN'!$C$7:$C$1495,0),0))</f>
        <v>2500</v>
      </c>
      <c r="H153" s="308">
        <f t="shared" ca="1" si="16"/>
        <v>0</v>
      </c>
      <c r="I153" s="308">
        <f t="shared" ca="1" si="17"/>
        <v>2500</v>
      </c>
      <c r="J153" s="308">
        <f t="shared" ca="1" si="18"/>
        <v>0</v>
      </c>
      <c r="K153" s="309">
        <f t="shared" ca="1" si="19"/>
        <v>2500</v>
      </c>
      <c r="L153" s="289"/>
      <c r="M153" s="289"/>
      <c r="N153" s="316"/>
      <c r="O153" s="310"/>
      <c r="P153" s="310"/>
      <c r="Q153" s="291"/>
      <c r="R153" s="283"/>
      <c r="S153" s="311"/>
      <c r="T153" s="288"/>
      <c r="U153" s="288"/>
      <c r="V153" s="288"/>
    </row>
    <row r="154" spans="1:22" s="317" customFormat="1">
      <c r="A154" s="283"/>
      <c r="B154" s="724">
        <v>6</v>
      </c>
      <c r="C154" s="727" t="s">
        <v>760</v>
      </c>
      <c r="D154" s="305" t="str">
        <f ca="1">IF(ISERROR(OFFSET('HARGA SATUAN'!$D$6,MATCH(RAB!C154,'HARGA SATUAN'!$C$7:$C$1495,0),0)),"",OFFSET('HARGA SATUAN'!$D$6,MATCH(RAB!C154,'HARGA SATUAN'!$C$7:$C$1495,0),0))</f>
        <v>JASA</v>
      </c>
      <c r="E154" s="306" t="str">
        <f ca="1">IF(B154="+","Unit",IF(ISERROR(OFFSET('HARGA SATUAN'!$E$6,MATCH(RAB!C154,'HARGA SATUAN'!$C$7:$C$1495,0),0)),"",OFFSET('HARGA SATUAN'!$E$6,MATCH(RAB!C154,'HARGA SATUAN'!$C$7:$C$1495,0),0)))</f>
        <v>Unit</v>
      </c>
      <c r="F154" s="451">
        <f>F148*1</f>
        <v>1</v>
      </c>
      <c r="G154" s="307">
        <f ca="1">IF(ISERROR(OFFSET('HARGA SATUAN'!$I$6,MATCH(RAB!C154,'HARGA SATUAN'!$C$7:$C$1495,0),0)),0,OFFSET('HARGA SATUAN'!$I$6,MATCH(RAB!C154,'HARGA SATUAN'!$C$7:$C$1495,0),0))</f>
        <v>36600</v>
      </c>
      <c r="H154" s="308">
        <f t="shared" ca="1" si="16"/>
        <v>0</v>
      </c>
      <c r="I154" s="308">
        <f t="shared" ca="1" si="17"/>
        <v>0</v>
      </c>
      <c r="J154" s="308">
        <f t="shared" ca="1" si="18"/>
        <v>36600</v>
      </c>
      <c r="K154" s="309">
        <f t="shared" ca="1" si="19"/>
        <v>36600</v>
      </c>
      <c r="L154" s="289"/>
      <c r="M154" s="289"/>
      <c r="N154" s="316"/>
      <c r="O154" s="310"/>
      <c r="P154" s="310"/>
      <c r="Q154" s="291"/>
      <c r="R154" s="283"/>
      <c r="S154" s="311"/>
      <c r="T154" s="288"/>
      <c r="U154" s="288"/>
      <c r="V154" s="288"/>
    </row>
    <row r="155" spans="1:22" s="317" customFormat="1">
      <c r="A155" s="283"/>
      <c r="B155" s="420"/>
      <c r="C155" s="417"/>
      <c r="D155" s="305" t="str">
        <f ca="1">IF(ISERROR(OFFSET('HARGA SATUAN'!$D$6,MATCH(RAB!C155,'HARGA SATUAN'!$C$7:$C$1495,0),0)),"",OFFSET('HARGA SATUAN'!$D$6,MATCH(RAB!C155,'HARGA SATUAN'!$C$7:$C$1495,0),0))</f>
        <v/>
      </c>
      <c r="E155" s="306" t="str">
        <f ca="1">IF(B155="+","Unit",IF(ISERROR(OFFSET('HARGA SATUAN'!$E$6,MATCH(RAB!C155,'HARGA SATUAN'!$C$7:$C$1495,0),0)),"",OFFSET('HARGA SATUAN'!$E$6,MATCH(RAB!C155,'HARGA SATUAN'!$C$7:$C$1495,0),0)))</f>
        <v/>
      </c>
      <c r="F155" s="451"/>
      <c r="G155" s="307">
        <f ca="1">IF(ISERROR(OFFSET('HARGA SATUAN'!$I$6,MATCH(RAB!C155,'HARGA SATUAN'!$C$7:$C$1495,0),0)),0,OFFSET('HARGA SATUAN'!$I$6,MATCH(RAB!C155,'HARGA SATUAN'!$C$7:$C$1495,0),0))</f>
        <v>0</v>
      </c>
      <c r="H155" s="308">
        <f t="shared" ca="1" si="16"/>
        <v>0</v>
      </c>
      <c r="I155" s="308">
        <f t="shared" ca="1" si="17"/>
        <v>0</v>
      </c>
      <c r="J155" s="308">
        <f t="shared" ca="1" si="18"/>
        <v>0</v>
      </c>
      <c r="K155" s="309">
        <f t="shared" ca="1" si="19"/>
        <v>0</v>
      </c>
      <c r="L155" s="316"/>
      <c r="M155" s="289" t="e">
        <f>IF(AND(F155&gt;0,#REF!=0),"",IF(AND(ISBLANK(F155)=FALSE,K155=0),"WARNING",""))</f>
        <v>#REF!</v>
      </c>
      <c r="N155" s="316"/>
      <c r="O155" s="310"/>
      <c r="P155" s="310"/>
      <c r="Q155" s="291"/>
      <c r="R155" s="283"/>
      <c r="S155" s="311"/>
      <c r="T155" s="288"/>
      <c r="U155" s="288"/>
      <c r="V155" s="288"/>
    </row>
    <row r="156" spans="1:22" s="317" customFormat="1" hidden="1">
      <c r="A156" s="283"/>
      <c r="B156" s="420">
        <v>10</v>
      </c>
      <c r="C156" s="417" t="s">
        <v>1615</v>
      </c>
      <c r="D156" s="305" t="str">
        <f ca="1">IF(ISERROR(OFFSET('HARGA SATUAN'!$D$6,MATCH(RAB!C156,'HARGA SATUAN'!$C$7:$C$1495,0),0)),"",OFFSET('HARGA SATUAN'!$D$6,MATCH(RAB!C156,'HARGA SATUAN'!$C$7:$C$1495,0),0))</f>
        <v>HDW</v>
      </c>
      <c r="E156" s="306" t="str">
        <f ca="1">IF(B156="+","Unit",IF(ISERROR(OFFSET('HARGA SATUAN'!$E$6,MATCH(RAB!C156,'HARGA SATUAN'!$C$7:$C$1495,0),0)),"",OFFSET('HARGA SATUAN'!$E$6,MATCH(RAB!C156,'HARGA SATUAN'!$C$7:$C$1495,0),0)))</f>
        <v>Bh</v>
      </c>
      <c r="F156" s="453"/>
      <c r="G156" s="307">
        <f ca="1">IF(ISERROR(OFFSET('HARGA SATUAN'!$I$6,MATCH(RAB!C156,'HARGA SATUAN'!$C$7:$C$1495,0),0)),0,OFFSET('HARGA SATUAN'!$I$6,MATCH(RAB!C156,'HARGA SATUAN'!$C$7:$C$1495,0),0))</f>
        <v>49000</v>
      </c>
      <c r="H156" s="308">
        <f t="shared" ca="1" si="16"/>
        <v>0</v>
      </c>
      <c r="I156" s="308">
        <f t="shared" ca="1" si="17"/>
        <v>0</v>
      </c>
      <c r="J156" s="308">
        <f t="shared" ca="1" si="18"/>
        <v>0</v>
      </c>
      <c r="K156" s="309">
        <f t="shared" ca="1" si="19"/>
        <v>0</v>
      </c>
      <c r="L156" s="316"/>
      <c r="M156" s="289" t="str">
        <f t="shared" ref="M156:M194" ca="1" si="20">IF(AND(F156&gt;0,F155=0),"",IF(AND(ISBLANK(F156)=FALSE,K156=0),"WARNING",""))</f>
        <v/>
      </c>
      <c r="N156" s="316"/>
      <c r="O156" s="310"/>
      <c r="P156" s="310"/>
      <c r="Q156" s="291"/>
      <c r="R156" s="283"/>
      <c r="S156" s="311"/>
      <c r="T156" s="288"/>
      <c r="U156" s="288"/>
      <c r="V156" s="288"/>
    </row>
    <row r="157" spans="1:22" s="317" customFormat="1" hidden="1">
      <c r="A157" s="283"/>
      <c r="B157" s="449"/>
      <c r="C157" s="450"/>
      <c r="D157" s="305" t="str">
        <f ca="1">IF(ISERROR(OFFSET('HARGA SATUAN'!$D$6,MATCH(RAB!C157,'HARGA SATUAN'!$C$7:$C$1495,0),0)),"",OFFSET('HARGA SATUAN'!$D$6,MATCH(RAB!C157,'HARGA SATUAN'!$C$7:$C$1495,0),0))</f>
        <v/>
      </c>
      <c r="E157" s="306" t="str">
        <f ca="1">IF(B157="+","Unit",IF(ISERROR(OFFSET('HARGA SATUAN'!$E$6,MATCH(RAB!C157,'HARGA SATUAN'!$C$7:$C$1495,0),0)),"",OFFSET('HARGA SATUAN'!$E$6,MATCH(RAB!C157,'HARGA SATUAN'!$C$7:$C$1495,0),0)))</f>
        <v/>
      </c>
      <c r="F157" s="453"/>
      <c r="G157" s="307">
        <f ca="1">IF(ISERROR(OFFSET('HARGA SATUAN'!$I$6,MATCH(RAB!C157,'HARGA SATUAN'!$C$7:$C$1495,0),0)),0,OFFSET('HARGA SATUAN'!$I$6,MATCH(RAB!C157,'HARGA SATUAN'!$C$7:$C$1495,0),0))</f>
        <v>0</v>
      </c>
      <c r="H157" s="308">
        <f t="shared" ca="1" si="16"/>
        <v>0</v>
      </c>
      <c r="I157" s="308">
        <f t="shared" ca="1" si="17"/>
        <v>0</v>
      </c>
      <c r="J157" s="308">
        <f t="shared" ca="1" si="18"/>
        <v>0</v>
      </c>
      <c r="K157" s="309">
        <f t="shared" ca="1" si="19"/>
        <v>0</v>
      </c>
      <c r="L157" s="316"/>
      <c r="M157" s="289" t="str">
        <f t="shared" ca="1" si="20"/>
        <v/>
      </c>
      <c r="N157" s="316"/>
      <c r="O157" s="310"/>
      <c r="P157" s="310"/>
      <c r="Q157" s="291"/>
      <c r="R157" s="283"/>
      <c r="S157" s="311"/>
      <c r="T157" s="288"/>
      <c r="U157" s="288"/>
      <c r="V157" s="288"/>
    </row>
    <row r="158" spans="1:22" s="317" customFormat="1" hidden="1">
      <c r="A158" s="283"/>
      <c r="B158" s="449"/>
      <c r="C158" s="450"/>
      <c r="D158" s="305" t="str">
        <f ca="1">IF(ISERROR(OFFSET('HARGA SATUAN'!$D$6,MATCH(RAB!C158,'HARGA SATUAN'!$C$7:$C$1495,0),0)),"",OFFSET('HARGA SATUAN'!$D$6,MATCH(RAB!C158,'HARGA SATUAN'!$C$7:$C$1495,0),0))</f>
        <v/>
      </c>
      <c r="E158" s="306" t="str">
        <f ca="1">IF(B158="+","Unit",IF(ISERROR(OFFSET('HARGA SATUAN'!$E$6,MATCH(RAB!C158,'HARGA SATUAN'!$C$7:$C$1495,0),0)),"",OFFSET('HARGA SATUAN'!$E$6,MATCH(RAB!C158,'HARGA SATUAN'!$C$7:$C$1495,0),0)))</f>
        <v/>
      </c>
      <c r="F158" s="453"/>
      <c r="G158" s="307">
        <f ca="1">IF(ISERROR(OFFSET('HARGA SATUAN'!$I$6,MATCH(RAB!C158,'HARGA SATUAN'!$C$7:$C$1495,0),0)),0,OFFSET('HARGA SATUAN'!$I$6,MATCH(RAB!C158,'HARGA SATUAN'!$C$7:$C$1495,0),0))</f>
        <v>0</v>
      </c>
      <c r="H158" s="308">
        <f t="shared" ca="1" si="16"/>
        <v>0</v>
      </c>
      <c r="I158" s="308">
        <f t="shared" ca="1" si="17"/>
        <v>0</v>
      </c>
      <c r="J158" s="308">
        <f t="shared" ca="1" si="18"/>
        <v>0</v>
      </c>
      <c r="K158" s="309">
        <f t="shared" ca="1" si="19"/>
        <v>0</v>
      </c>
      <c r="L158" s="316"/>
      <c r="M158" s="289" t="str">
        <f t="shared" ca="1" si="20"/>
        <v/>
      </c>
      <c r="N158" s="316"/>
      <c r="O158" s="310"/>
      <c r="P158" s="310"/>
      <c r="Q158" s="291"/>
      <c r="R158" s="283"/>
      <c r="S158" s="311"/>
      <c r="T158" s="288"/>
      <c r="U158" s="288"/>
      <c r="V158" s="288"/>
    </row>
    <row r="159" spans="1:22" s="317" customFormat="1" hidden="1">
      <c r="A159" s="283"/>
      <c r="B159" s="449"/>
      <c r="C159" s="450"/>
      <c r="D159" s="305" t="str">
        <f ca="1">IF(ISERROR(OFFSET('HARGA SATUAN'!$D$6,MATCH(RAB!C159,'HARGA SATUAN'!$C$7:$C$1495,0),0)),"",OFFSET('HARGA SATUAN'!$D$6,MATCH(RAB!C159,'HARGA SATUAN'!$C$7:$C$1495,0),0))</f>
        <v/>
      </c>
      <c r="E159" s="306" t="str">
        <f ca="1">IF(B159="+","Unit",IF(ISERROR(OFFSET('HARGA SATUAN'!$E$6,MATCH(RAB!C159,'HARGA SATUAN'!$C$7:$C$1495,0),0)),"",OFFSET('HARGA SATUAN'!$E$6,MATCH(RAB!C159,'HARGA SATUAN'!$C$7:$C$1495,0),0)))</f>
        <v/>
      </c>
      <c r="F159" s="453"/>
      <c r="G159" s="307">
        <f ca="1">IF(ISERROR(OFFSET('HARGA SATUAN'!$I$6,MATCH(RAB!C159,'HARGA SATUAN'!$C$7:$C$1495,0),0)),0,OFFSET('HARGA SATUAN'!$I$6,MATCH(RAB!C159,'HARGA SATUAN'!$C$7:$C$1495,0),0))</f>
        <v>0</v>
      </c>
      <c r="H159" s="308">
        <f t="shared" ca="1" si="16"/>
        <v>0</v>
      </c>
      <c r="I159" s="308">
        <f t="shared" ca="1" si="17"/>
        <v>0</v>
      </c>
      <c r="J159" s="308">
        <f t="shared" ca="1" si="18"/>
        <v>0</v>
      </c>
      <c r="K159" s="309">
        <f t="shared" ca="1" si="19"/>
        <v>0</v>
      </c>
      <c r="L159" s="316"/>
      <c r="M159" s="289" t="str">
        <f t="shared" ca="1" si="20"/>
        <v/>
      </c>
      <c r="N159" s="316"/>
      <c r="O159" s="310"/>
      <c r="P159" s="310"/>
      <c r="Q159" s="291"/>
      <c r="R159" s="283"/>
      <c r="S159" s="311"/>
      <c r="T159" s="288"/>
      <c r="U159" s="288"/>
      <c r="V159" s="288"/>
    </row>
    <row r="160" spans="1:22" s="317" customFormat="1" hidden="1">
      <c r="A160" s="283"/>
      <c r="B160" s="449"/>
      <c r="C160" s="450"/>
      <c r="D160" s="305" t="str">
        <f ca="1">IF(ISERROR(OFFSET('HARGA SATUAN'!$D$6,MATCH(RAB!C160,'HARGA SATUAN'!$C$7:$C$1495,0),0)),"",OFFSET('HARGA SATUAN'!$D$6,MATCH(RAB!C160,'HARGA SATUAN'!$C$7:$C$1495,0),0))</f>
        <v/>
      </c>
      <c r="E160" s="306" t="str">
        <f ca="1">IF(B160="+","Unit",IF(ISERROR(OFFSET('HARGA SATUAN'!$E$6,MATCH(RAB!C160,'HARGA SATUAN'!$C$7:$C$1495,0),0)),"",OFFSET('HARGA SATUAN'!$E$6,MATCH(RAB!C160,'HARGA SATUAN'!$C$7:$C$1495,0),0)))</f>
        <v/>
      </c>
      <c r="F160" s="453"/>
      <c r="G160" s="307">
        <f ca="1">IF(ISERROR(OFFSET('HARGA SATUAN'!$I$6,MATCH(RAB!C160,'HARGA SATUAN'!$C$7:$C$1495,0),0)),0,OFFSET('HARGA SATUAN'!$I$6,MATCH(RAB!C160,'HARGA SATUAN'!$C$7:$C$1495,0),0))</f>
        <v>0</v>
      </c>
      <c r="H160" s="308">
        <f t="shared" ca="1" si="16"/>
        <v>0</v>
      </c>
      <c r="I160" s="308">
        <f t="shared" ca="1" si="17"/>
        <v>0</v>
      </c>
      <c r="J160" s="308">
        <f t="shared" ca="1" si="18"/>
        <v>0</v>
      </c>
      <c r="K160" s="309">
        <f t="shared" ca="1" si="19"/>
        <v>0</v>
      </c>
      <c r="L160" s="316"/>
      <c r="M160" s="289" t="str">
        <f t="shared" ca="1" si="20"/>
        <v/>
      </c>
      <c r="N160" s="316"/>
      <c r="O160" s="310"/>
      <c r="P160" s="310"/>
      <c r="Q160" s="291"/>
      <c r="R160" s="283"/>
      <c r="S160" s="311"/>
      <c r="T160" s="288"/>
      <c r="U160" s="288"/>
      <c r="V160" s="288"/>
    </row>
    <row r="161" spans="1:22" s="317" customFormat="1" hidden="1">
      <c r="A161" s="283"/>
      <c r="B161" s="449"/>
      <c r="C161" s="450"/>
      <c r="D161" s="305" t="str">
        <f ca="1">IF(ISERROR(OFFSET('HARGA SATUAN'!$D$6,MATCH(RAB!C161,'HARGA SATUAN'!$C$7:$C$1495,0),0)),"",OFFSET('HARGA SATUAN'!$D$6,MATCH(RAB!C161,'HARGA SATUAN'!$C$7:$C$1495,0),0))</f>
        <v/>
      </c>
      <c r="E161" s="306" t="str">
        <f ca="1">IF(B161="+","Unit",IF(ISERROR(OFFSET('HARGA SATUAN'!$E$6,MATCH(RAB!C161,'HARGA SATUAN'!$C$7:$C$1495,0),0)),"",OFFSET('HARGA SATUAN'!$E$6,MATCH(RAB!C161,'HARGA SATUAN'!$C$7:$C$1495,0),0)))</f>
        <v/>
      </c>
      <c r="F161" s="453"/>
      <c r="G161" s="307">
        <f ca="1">IF(ISERROR(OFFSET('HARGA SATUAN'!$I$6,MATCH(RAB!C161,'HARGA SATUAN'!$C$7:$C$1495,0),0)),0,OFFSET('HARGA SATUAN'!$I$6,MATCH(RAB!C161,'HARGA SATUAN'!$C$7:$C$1495,0),0))</f>
        <v>0</v>
      </c>
      <c r="H161" s="308">
        <f t="shared" ca="1" si="16"/>
        <v>0</v>
      </c>
      <c r="I161" s="308">
        <f t="shared" ca="1" si="17"/>
        <v>0</v>
      </c>
      <c r="J161" s="308">
        <f t="shared" ca="1" si="18"/>
        <v>0</v>
      </c>
      <c r="K161" s="309">
        <f t="shared" ca="1" si="19"/>
        <v>0</v>
      </c>
      <c r="L161" s="316"/>
      <c r="M161" s="289" t="str">
        <f t="shared" ca="1" si="20"/>
        <v/>
      </c>
      <c r="N161" s="316"/>
      <c r="O161" s="310"/>
      <c r="P161" s="310"/>
      <c r="Q161" s="291"/>
      <c r="R161" s="283"/>
      <c r="S161" s="311"/>
      <c r="T161" s="288"/>
      <c r="U161" s="288"/>
      <c r="V161" s="288"/>
    </row>
    <row r="162" spans="1:22" s="317" customFormat="1" hidden="1">
      <c r="A162" s="283"/>
      <c r="B162" s="449"/>
      <c r="C162" s="450"/>
      <c r="D162" s="305" t="str">
        <f ca="1">IF(ISERROR(OFFSET('HARGA SATUAN'!$D$6,MATCH(RAB!C162,'HARGA SATUAN'!$C$7:$C$1495,0),0)),"",OFFSET('HARGA SATUAN'!$D$6,MATCH(RAB!C162,'HARGA SATUAN'!$C$7:$C$1495,0),0))</f>
        <v/>
      </c>
      <c r="E162" s="306" t="str">
        <f ca="1">IF(B162="+","Unit",IF(ISERROR(OFFSET('HARGA SATUAN'!$E$6,MATCH(RAB!C162,'HARGA SATUAN'!$C$7:$C$1495,0),0)),"",OFFSET('HARGA SATUAN'!$E$6,MATCH(RAB!C162,'HARGA SATUAN'!$C$7:$C$1495,0),0)))</f>
        <v/>
      </c>
      <c r="F162" s="453"/>
      <c r="G162" s="307">
        <f ca="1">IF(ISERROR(OFFSET('HARGA SATUAN'!$I$6,MATCH(RAB!C162,'HARGA SATUAN'!$C$7:$C$1495,0),0)),0,OFFSET('HARGA SATUAN'!$I$6,MATCH(RAB!C162,'HARGA SATUAN'!$C$7:$C$1495,0),0))</f>
        <v>0</v>
      </c>
      <c r="H162" s="308">
        <f t="shared" ca="1" si="16"/>
        <v>0</v>
      </c>
      <c r="I162" s="308">
        <f t="shared" ca="1" si="17"/>
        <v>0</v>
      </c>
      <c r="J162" s="308">
        <f t="shared" ca="1" si="18"/>
        <v>0</v>
      </c>
      <c r="K162" s="309">
        <f t="shared" ca="1" si="19"/>
        <v>0</v>
      </c>
      <c r="L162" s="316"/>
      <c r="M162" s="289" t="str">
        <f t="shared" ca="1" si="20"/>
        <v/>
      </c>
      <c r="N162" s="316"/>
      <c r="O162" s="310"/>
      <c r="P162" s="310"/>
      <c r="Q162" s="291"/>
      <c r="R162" s="283"/>
      <c r="S162" s="311"/>
      <c r="T162" s="288"/>
      <c r="U162" s="288"/>
      <c r="V162" s="288"/>
    </row>
    <row r="163" spans="1:22" s="317" customFormat="1" hidden="1">
      <c r="A163" s="283"/>
      <c r="B163" s="449"/>
      <c r="C163" s="450"/>
      <c r="D163" s="305" t="str">
        <f ca="1">IF(ISERROR(OFFSET('HARGA SATUAN'!$D$6,MATCH(RAB!C163,'HARGA SATUAN'!$C$7:$C$1495,0),0)),"",OFFSET('HARGA SATUAN'!$D$6,MATCH(RAB!C163,'HARGA SATUAN'!$C$7:$C$1495,0),0))</f>
        <v/>
      </c>
      <c r="E163" s="306" t="str">
        <f ca="1">IF(B163="+","Unit",IF(ISERROR(OFFSET('HARGA SATUAN'!$E$6,MATCH(RAB!C163,'HARGA SATUAN'!$C$7:$C$1495,0),0)),"",OFFSET('HARGA SATUAN'!$E$6,MATCH(RAB!C163,'HARGA SATUAN'!$C$7:$C$1495,0),0)))</f>
        <v/>
      </c>
      <c r="F163" s="453"/>
      <c r="G163" s="307">
        <f ca="1">IF(ISERROR(OFFSET('HARGA SATUAN'!$I$6,MATCH(RAB!C163,'HARGA SATUAN'!$C$7:$C$1495,0),0)),0,OFFSET('HARGA SATUAN'!$I$6,MATCH(RAB!C163,'HARGA SATUAN'!$C$7:$C$1495,0),0))</f>
        <v>0</v>
      </c>
      <c r="H163" s="308">
        <f t="shared" ca="1" si="16"/>
        <v>0</v>
      </c>
      <c r="I163" s="308">
        <f t="shared" ca="1" si="17"/>
        <v>0</v>
      </c>
      <c r="J163" s="308">
        <f t="shared" ca="1" si="18"/>
        <v>0</v>
      </c>
      <c r="K163" s="309">
        <f t="shared" ca="1" si="19"/>
        <v>0</v>
      </c>
      <c r="L163" s="316"/>
      <c r="M163" s="289" t="str">
        <f t="shared" ca="1" si="20"/>
        <v/>
      </c>
      <c r="N163" s="316"/>
      <c r="O163" s="310"/>
      <c r="P163" s="310"/>
      <c r="Q163" s="291"/>
      <c r="R163" s="283"/>
      <c r="S163" s="311"/>
      <c r="T163" s="288"/>
      <c r="U163" s="288"/>
      <c r="V163" s="288"/>
    </row>
    <row r="164" spans="1:22" s="317" customFormat="1" hidden="1">
      <c r="A164" s="283"/>
      <c r="B164" s="449"/>
      <c r="C164" s="450"/>
      <c r="D164" s="305" t="str">
        <f ca="1">IF(ISERROR(OFFSET('HARGA SATUAN'!$D$6,MATCH(RAB!C164,'HARGA SATUAN'!$C$7:$C$1495,0),0)),"",OFFSET('HARGA SATUAN'!$D$6,MATCH(RAB!C164,'HARGA SATUAN'!$C$7:$C$1495,0),0))</f>
        <v/>
      </c>
      <c r="E164" s="306" t="str">
        <f ca="1">IF(B164="+","Unit",IF(ISERROR(OFFSET('HARGA SATUAN'!$E$6,MATCH(RAB!C164,'HARGA SATUAN'!$C$7:$C$1495,0),0)),"",OFFSET('HARGA SATUAN'!$E$6,MATCH(RAB!C164,'HARGA SATUAN'!$C$7:$C$1495,0),0)))</f>
        <v/>
      </c>
      <c r="F164" s="453"/>
      <c r="G164" s="307">
        <f ca="1">IF(ISERROR(OFFSET('HARGA SATUAN'!$I$6,MATCH(RAB!C164,'HARGA SATUAN'!$C$7:$C$1495,0),0)),0,OFFSET('HARGA SATUAN'!$I$6,MATCH(RAB!C164,'HARGA SATUAN'!$C$7:$C$1495,0),0))</f>
        <v>0</v>
      </c>
      <c r="H164" s="308">
        <f t="shared" ca="1" si="16"/>
        <v>0</v>
      </c>
      <c r="I164" s="308">
        <f t="shared" ca="1" si="17"/>
        <v>0</v>
      </c>
      <c r="J164" s="308">
        <f t="shared" ca="1" si="18"/>
        <v>0</v>
      </c>
      <c r="K164" s="309">
        <f t="shared" ca="1" si="19"/>
        <v>0</v>
      </c>
      <c r="L164" s="316"/>
      <c r="M164" s="289" t="str">
        <f t="shared" ca="1" si="20"/>
        <v/>
      </c>
      <c r="N164" s="316"/>
      <c r="O164" s="310"/>
      <c r="P164" s="310"/>
      <c r="Q164" s="291"/>
      <c r="R164" s="283"/>
      <c r="S164" s="311"/>
      <c r="T164" s="288"/>
      <c r="U164" s="288"/>
      <c r="V164" s="288"/>
    </row>
    <row r="165" spans="1:22" s="317" customFormat="1" hidden="1">
      <c r="A165" s="283"/>
      <c r="B165" s="449"/>
      <c r="C165" s="450"/>
      <c r="D165" s="305" t="str">
        <f ca="1">IF(ISERROR(OFFSET('HARGA SATUAN'!$D$6,MATCH(RAB!C165,'HARGA SATUAN'!$C$7:$C$1495,0),0)),"",OFFSET('HARGA SATUAN'!$D$6,MATCH(RAB!C165,'HARGA SATUAN'!$C$7:$C$1495,0),0))</f>
        <v/>
      </c>
      <c r="E165" s="306" t="str">
        <f ca="1">IF(B165="+","Unit",IF(ISERROR(OFFSET('HARGA SATUAN'!$E$6,MATCH(RAB!C165,'HARGA SATUAN'!$C$7:$C$1495,0),0)),"",OFFSET('HARGA SATUAN'!$E$6,MATCH(RAB!C165,'HARGA SATUAN'!$C$7:$C$1495,0),0)))</f>
        <v/>
      </c>
      <c r="F165" s="453"/>
      <c r="G165" s="307">
        <f ca="1">IF(ISERROR(OFFSET('HARGA SATUAN'!$I$6,MATCH(RAB!C165,'HARGA SATUAN'!$C$7:$C$1495,0),0)),0,OFFSET('HARGA SATUAN'!$I$6,MATCH(RAB!C165,'HARGA SATUAN'!$C$7:$C$1495,0),0))</f>
        <v>0</v>
      </c>
      <c r="H165" s="308">
        <f t="shared" ca="1" si="16"/>
        <v>0</v>
      </c>
      <c r="I165" s="308">
        <f t="shared" ca="1" si="17"/>
        <v>0</v>
      </c>
      <c r="J165" s="308">
        <f t="shared" ca="1" si="18"/>
        <v>0</v>
      </c>
      <c r="K165" s="309">
        <f t="shared" ca="1" si="19"/>
        <v>0</v>
      </c>
      <c r="L165" s="316"/>
      <c r="M165" s="289" t="str">
        <f t="shared" ca="1" si="20"/>
        <v/>
      </c>
      <c r="N165" s="316"/>
      <c r="O165" s="310"/>
      <c r="P165" s="310"/>
      <c r="Q165" s="291"/>
      <c r="R165" s="283"/>
      <c r="S165" s="311"/>
      <c r="T165" s="288"/>
      <c r="U165" s="288"/>
      <c r="V165" s="288"/>
    </row>
    <row r="166" spans="1:22" s="317" customFormat="1" hidden="1">
      <c r="A166" s="283"/>
      <c r="B166" s="449"/>
      <c r="C166" s="450"/>
      <c r="D166" s="305" t="str">
        <f ca="1">IF(ISERROR(OFFSET('HARGA SATUAN'!$D$6,MATCH(RAB!C166,'HARGA SATUAN'!$C$7:$C$1495,0),0)),"",OFFSET('HARGA SATUAN'!$D$6,MATCH(RAB!C166,'HARGA SATUAN'!$C$7:$C$1495,0),0))</f>
        <v/>
      </c>
      <c r="E166" s="306" t="str">
        <f ca="1">IF(B166="+","Unit",IF(ISERROR(OFFSET('HARGA SATUAN'!$E$6,MATCH(RAB!C166,'HARGA SATUAN'!$C$7:$C$1495,0),0)),"",OFFSET('HARGA SATUAN'!$E$6,MATCH(RAB!C166,'HARGA SATUAN'!$C$7:$C$1495,0),0)))</f>
        <v/>
      </c>
      <c r="F166" s="453"/>
      <c r="G166" s="307">
        <f ca="1">IF(ISERROR(OFFSET('HARGA SATUAN'!$I$6,MATCH(RAB!C166,'HARGA SATUAN'!$C$7:$C$1495,0),0)),0,OFFSET('HARGA SATUAN'!$I$6,MATCH(RAB!C166,'HARGA SATUAN'!$C$7:$C$1495,0),0))</f>
        <v>0</v>
      </c>
      <c r="H166" s="308">
        <f t="shared" ca="1" si="16"/>
        <v>0</v>
      </c>
      <c r="I166" s="308">
        <f t="shared" ca="1" si="17"/>
        <v>0</v>
      </c>
      <c r="J166" s="308">
        <f t="shared" ca="1" si="18"/>
        <v>0</v>
      </c>
      <c r="K166" s="309">
        <f t="shared" ca="1" si="19"/>
        <v>0</v>
      </c>
      <c r="L166" s="316"/>
      <c r="M166" s="289" t="str">
        <f t="shared" ca="1" si="20"/>
        <v/>
      </c>
      <c r="N166" s="316"/>
      <c r="O166" s="310"/>
      <c r="P166" s="310"/>
      <c r="Q166" s="291"/>
      <c r="R166" s="283"/>
      <c r="S166" s="311"/>
      <c r="T166" s="288"/>
      <c r="U166" s="288"/>
      <c r="V166" s="288"/>
    </row>
    <row r="167" spans="1:22" s="317" customFormat="1" hidden="1">
      <c r="A167" s="283"/>
      <c r="B167" s="449"/>
      <c r="C167" s="450"/>
      <c r="D167" s="305" t="str">
        <f ca="1">IF(ISERROR(OFFSET('HARGA SATUAN'!$D$6,MATCH(RAB!C167,'HARGA SATUAN'!$C$7:$C$1495,0),0)),"",OFFSET('HARGA SATUAN'!$D$6,MATCH(RAB!C167,'HARGA SATUAN'!$C$7:$C$1495,0),0))</f>
        <v/>
      </c>
      <c r="E167" s="306" t="str">
        <f ca="1">IF(B167="+","Unit",IF(ISERROR(OFFSET('HARGA SATUAN'!$E$6,MATCH(RAB!C167,'HARGA SATUAN'!$C$7:$C$1495,0),0)),"",OFFSET('HARGA SATUAN'!$E$6,MATCH(RAB!C167,'HARGA SATUAN'!$C$7:$C$1495,0),0)))</f>
        <v/>
      </c>
      <c r="F167" s="453"/>
      <c r="G167" s="307">
        <f ca="1">IF(ISERROR(OFFSET('HARGA SATUAN'!$I$6,MATCH(RAB!C167,'HARGA SATUAN'!$C$7:$C$1495,0),0)),0,OFFSET('HARGA SATUAN'!$I$6,MATCH(RAB!C167,'HARGA SATUAN'!$C$7:$C$1495,0),0))</f>
        <v>0</v>
      </c>
      <c r="H167" s="308">
        <f t="shared" ca="1" si="16"/>
        <v>0</v>
      </c>
      <c r="I167" s="308">
        <f t="shared" ca="1" si="17"/>
        <v>0</v>
      </c>
      <c r="J167" s="308">
        <f t="shared" ca="1" si="18"/>
        <v>0</v>
      </c>
      <c r="K167" s="309">
        <f t="shared" ca="1" si="19"/>
        <v>0</v>
      </c>
      <c r="L167" s="316"/>
      <c r="M167" s="289" t="str">
        <f t="shared" ca="1" si="20"/>
        <v/>
      </c>
      <c r="N167" s="316"/>
      <c r="O167" s="310"/>
      <c r="P167" s="310"/>
      <c r="Q167" s="291"/>
      <c r="R167" s="283"/>
      <c r="S167" s="311"/>
      <c r="T167" s="288"/>
      <c r="U167" s="288"/>
      <c r="V167" s="288"/>
    </row>
    <row r="168" spans="1:22" s="317" customFormat="1" hidden="1">
      <c r="A168" s="283"/>
      <c r="B168" s="449"/>
      <c r="C168" s="450"/>
      <c r="D168" s="305" t="str">
        <f ca="1">IF(ISERROR(OFFSET('HARGA SATUAN'!$D$6,MATCH(RAB!C168,'HARGA SATUAN'!$C$7:$C$1495,0),0)),"",OFFSET('HARGA SATUAN'!$D$6,MATCH(RAB!C168,'HARGA SATUAN'!$C$7:$C$1495,0),0))</f>
        <v/>
      </c>
      <c r="E168" s="306" t="str">
        <f ca="1">IF(B168="+","Unit",IF(ISERROR(OFFSET('HARGA SATUAN'!$E$6,MATCH(RAB!C168,'HARGA SATUAN'!$C$7:$C$1495,0),0)),"",OFFSET('HARGA SATUAN'!$E$6,MATCH(RAB!C168,'HARGA SATUAN'!$C$7:$C$1495,0),0)))</f>
        <v/>
      </c>
      <c r="F168" s="453"/>
      <c r="G168" s="307">
        <f ca="1">IF(ISERROR(OFFSET('HARGA SATUAN'!$I$6,MATCH(RAB!C168,'HARGA SATUAN'!$C$7:$C$1495,0),0)),0,OFFSET('HARGA SATUAN'!$I$6,MATCH(RAB!C168,'HARGA SATUAN'!$C$7:$C$1495,0),0))</f>
        <v>0</v>
      </c>
      <c r="H168" s="308">
        <f t="shared" ca="1" si="16"/>
        <v>0</v>
      </c>
      <c r="I168" s="308">
        <f t="shared" ca="1" si="17"/>
        <v>0</v>
      </c>
      <c r="J168" s="308">
        <f t="shared" ca="1" si="18"/>
        <v>0</v>
      </c>
      <c r="K168" s="309">
        <f t="shared" ca="1" si="19"/>
        <v>0</v>
      </c>
      <c r="L168" s="316"/>
      <c r="M168" s="289" t="str">
        <f t="shared" ca="1" si="20"/>
        <v/>
      </c>
      <c r="N168" s="316"/>
      <c r="O168" s="310"/>
      <c r="P168" s="310"/>
      <c r="Q168" s="291"/>
      <c r="R168" s="283"/>
      <c r="S168" s="311"/>
      <c r="T168" s="288"/>
      <c r="U168" s="288"/>
      <c r="V168" s="288"/>
    </row>
    <row r="169" spans="1:22" s="317" customFormat="1" hidden="1">
      <c r="A169" s="283"/>
      <c r="B169" s="449"/>
      <c r="C169" s="450"/>
      <c r="D169" s="305" t="str">
        <f ca="1">IF(ISERROR(OFFSET('HARGA SATUAN'!$D$6,MATCH(RAB!C169,'HARGA SATUAN'!$C$7:$C$1495,0),0)),"",OFFSET('HARGA SATUAN'!$D$6,MATCH(RAB!C169,'HARGA SATUAN'!$C$7:$C$1495,0),0))</f>
        <v/>
      </c>
      <c r="E169" s="306" t="str">
        <f ca="1">IF(B169="+","Unit",IF(ISERROR(OFFSET('HARGA SATUAN'!$E$6,MATCH(RAB!C169,'HARGA SATUAN'!$C$7:$C$1495,0),0)),"",OFFSET('HARGA SATUAN'!$E$6,MATCH(RAB!C169,'HARGA SATUAN'!$C$7:$C$1495,0),0)))</f>
        <v/>
      </c>
      <c r="F169" s="453"/>
      <c r="G169" s="307">
        <f ca="1">IF(ISERROR(OFFSET('HARGA SATUAN'!$I$6,MATCH(RAB!C169,'HARGA SATUAN'!$C$7:$C$1495,0),0)),0,OFFSET('HARGA SATUAN'!$I$6,MATCH(RAB!C169,'HARGA SATUAN'!$C$7:$C$1495,0),0))</f>
        <v>0</v>
      </c>
      <c r="H169" s="308">
        <f t="shared" ca="1" si="16"/>
        <v>0</v>
      </c>
      <c r="I169" s="308">
        <f t="shared" ca="1" si="17"/>
        <v>0</v>
      </c>
      <c r="J169" s="308">
        <f t="shared" ca="1" si="18"/>
        <v>0</v>
      </c>
      <c r="K169" s="309">
        <f t="shared" ca="1" si="19"/>
        <v>0</v>
      </c>
      <c r="L169" s="316"/>
      <c r="M169" s="289" t="str">
        <f t="shared" ca="1" si="20"/>
        <v/>
      </c>
      <c r="N169" s="316"/>
      <c r="O169" s="310"/>
      <c r="P169" s="310"/>
      <c r="Q169" s="291"/>
      <c r="R169" s="283"/>
      <c r="S169" s="311"/>
      <c r="T169" s="288"/>
      <c r="U169" s="288"/>
      <c r="V169" s="288"/>
    </row>
    <row r="170" spans="1:22" s="317" customFormat="1" hidden="1">
      <c r="A170" s="283"/>
      <c r="B170" s="449"/>
      <c r="C170" s="450"/>
      <c r="D170" s="305" t="str">
        <f ca="1">IF(ISERROR(OFFSET('HARGA SATUAN'!$D$6,MATCH(RAB!C170,'HARGA SATUAN'!$C$7:$C$1495,0),0)),"",OFFSET('HARGA SATUAN'!$D$6,MATCH(RAB!C170,'HARGA SATUAN'!$C$7:$C$1495,0),0))</f>
        <v/>
      </c>
      <c r="E170" s="306" t="str">
        <f ca="1">IF(B170="+","Unit",IF(ISERROR(OFFSET('HARGA SATUAN'!$E$6,MATCH(RAB!C170,'HARGA SATUAN'!$C$7:$C$1495,0),0)),"",OFFSET('HARGA SATUAN'!$E$6,MATCH(RAB!C170,'HARGA SATUAN'!$C$7:$C$1495,0),0)))</f>
        <v/>
      </c>
      <c r="F170" s="453"/>
      <c r="G170" s="307">
        <f ca="1">IF(ISERROR(OFFSET('HARGA SATUAN'!$I$6,MATCH(RAB!C170,'HARGA SATUAN'!$C$7:$C$1495,0),0)),0,OFFSET('HARGA SATUAN'!$I$6,MATCH(RAB!C170,'HARGA SATUAN'!$C$7:$C$1495,0),0))</f>
        <v>0</v>
      </c>
      <c r="H170" s="308">
        <f t="shared" ca="1" si="16"/>
        <v>0</v>
      </c>
      <c r="I170" s="308">
        <f t="shared" ca="1" si="17"/>
        <v>0</v>
      </c>
      <c r="J170" s="308">
        <f t="shared" ca="1" si="18"/>
        <v>0</v>
      </c>
      <c r="K170" s="309">
        <f t="shared" ca="1" si="19"/>
        <v>0</v>
      </c>
      <c r="L170" s="316"/>
      <c r="M170" s="289" t="str">
        <f t="shared" ca="1" si="20"/>
        <v/>
      </c>
      <c r="N170" s="316"/>
      <c r="O170" s="310"/>
      <c r="P170" s="310"/>
      <c r="Q170" s="291"/>
      <c r="R170" s="283"/>
      <c r="S170" s="311"/>
      <c r="T170" s="288"/>
      <c r="U170" s="288"/>
      <c r="V170" s="288"/>
    </row>
    <row r="171" spans="1:22" s="317" customFormat="1" hidden="1">
      <c r="A171" s="283"/>
      <c r="B171" s="449"/>
      <c r="C171" s="450"/>
      <c r="D171" s="305" t="str">
        <f ca="1">IF(ISERROR(OFFSET('HARGA SATUAN'!$D$6,MATCH(RAB!C171,'HARGA SATUAN'!$C$7:$C$1495,0),0)),"",OFFSET('HARGA SATUAN'!$D$6,MATCH(RAB!C171,'HARGA SATUAN'!$C$7:$C$1495,0),0))</f>
        <v/>
      </c>
      <c r="E171" s="306" t="str">
        <f ca="1">IF(B171="+","Unit",IF(ISERROR(OFFSET('HARGA SATUAN'!$E$6,MATCH(RAB!C171,'HARGA SATUAN'!$C$7:$C$1495,0),0)),"",OFFSET('HARGA SATUAN'!$E$6,MATCH(RAB!C171,'HARGA SATUAN'!$C$7:$C$1495,0),0)))</f>
        <v/>
      </c>
      <c r="F171" s="453"/>
      <c r="G171" s="307">
        <f ca="1">IF(ISERROR(OFFSET('HARGA SATUAN'!$I$6,MATCH(RAB!C171,'HARGA SATUAN'!$C$7:$C$1495,0),0)),0,OFFSET('HARGA SATUAN'!$I$6,MATCH(RAB!C171,'HARGA SATUAN'!$C$7:$C$1495,0),0))</f>
        <v>0</v>
      </c>
      <c r="H171" s="308">
        <f t="shared" ca="1" si="16"/>
        <v>0</v>
      </c>
      <c r="I171" s="308">
        <f t="shared" ca="1" si="17"/>
        <v>0</v>
      </c>
      <c r="J171" s="308">
        <f t="shared" ca="1" si="18"/>
        <v>0</v>
      </c>
      <c r="K171" s="309">
        <f t="shared" ca="1" si="19"/>
        <v>0</v>
      </c>
      <c r="L171" s="316"/>
      <c r="M171" s="289" t="str">
        <f t="shared" ca="1" si="20"/>
        <v/>
      </c>
      <c r="N171" s="316"/>
      <c r="O171" s="310"/>
      <c r="P171" s="310"/>
      <c r="Q171" s="291"/>
      <c r="R171" s="283"/>
      <c r="S171" s="311"/>
      <c r="T171" s="288"/>
      <c r="U171" s="288"/>
      <c r="V171" s="288"/>
    </row>
    <row r="172" spans="1:22" s="317" customFormat="1" hidden="1">
      <c r="A172" s="283"/>
      <c r="B172" s="449"/>
      <c r="C172" s="450"/>
      <c r="D172" s="305" t="str">
        <f ca="1">IF(ISERROR(OFFSET('HARGA SATUAN'!$D$6,MATCH(RAB!C172,'HARGA SATUAN'!$C$7:$C$1495,0),0)),"",OFFSET('HARGA SATUAN'!$D$6,MATCH(RAB!C172,'HARGA SATUAN'!$C$7:$C$1495,0),0))</f>
        <v/>
      </c>
      <c r="E172" s="306" t="str">
        <f ca="1">IF(B172="+","Unit",IF(ISERROR(OFFSET('HARGA SATUAN'!$E$6,MATCH(RAB!C172,'HARGA SATUAN'!$C$7:$C$1495,0),0)),"",OFFSET('HARGA SATUAN'!$E$6,MATCH(RAB!C172,'HARGA SATUAN'!$C$7:$C$1495,0),0)))</f>
        <v/>
      </c>
      <c r="F172" s="453"/>
      <c r="G172" s="307">
        <f ca="1">IF(ISERROR(OFFSET('HARGA SATUAN'!$I$6,MATCH(RAB!C172,'HARGA SATUAN'!$C$7:$C$1495,0),0)),0,OFFSET('HARGA SATUAN'!$I$6,MATCH(RAB!C172,'HARGA SATUAN'!$C$7:$C$1495,0),0))</f>
        <v>0</v>
      </c>
      <c r="H172" s="308">
        <f t="shared" ref="H172:H177" ca="1" si="21">IF(OR(D172="MDU",D172="MDU-KD"),(IF($O$3="RAB NON MDU","PLN KD",G172*F172)),0)</f>
        <v>0</v>
      </c>
      <c r="I172" s="308">
        <f t="shared" ref="I172:I177" ca="1" si="22">IF(D172="HDW",G172*F172,0)</f>
        <v>0</v>
      </c>
      <c r="J172" s="308">
        <f t="shared" ref="J172:J177" ca="1" si="23">IF(D172="JASA",G172*F172,0)</f>
        <v>0</v>
      </c>
      <c r="K172" s="309">
        <f t="shared" ref="K172:K177" ca="1" si="24">SUM(H172:J172)</f>
        <v>0</v>
      </c>
      <c r="L172" s="316"/>
      <c r="M172" s="289" t="str">
        <f t="shared" ca="1" si="20"/>
        <v/>
      </c>
      <c r="N172" s="316"/>
      <c r="O172" s="310"/>
      <c r="P172" s="310"/>
      <c r="Q172" s="291"/>
      <c r="R172" s="283"/>
      <c r="S172" s="311"/>
      <c r="T172" s="288"/>
      <c r="U172" s="288"/>
      <c r="V172" s="288"/>
    </row>
    <row r="173" spans="1:22" s="317" customFormat="1" hidden="1">
      <c r="A173" s="283"/>
      <c r="B173" s="449"/>
      <c r="C173" s="450"/>
      <c r="D173" s="305" t="str">
        <f ca="1">IF(ISERROR(OFFSET('HARGA SATUAN'!$D$6,MATCH(RAB!C173,'HARGA SATUAN'!$C$7:$C$1495,0),0)),"",OFFSET('HARGA SATUAN'!$D$6,MATCH(RAB!C173,'HARGA SATUAN'!$C$7:$C$1495,0),0))</f>
        <v/>
      </c>
      <c r="E173" s="306" t="str">
        <f ca="1">IF(B173="+","Unit",IF(ISERROR(OFFSET('HARGA SATUAN'!$E$6,MATCH(RAB!C173,'HARGA SATUAN'!$C$7:$C$1495,0),0)),"",OFFSET('HARGA SATUAN'!$E$6,MATCH(RAB!C173,'HARGA SATUAN'!$C$7:$C$1495,0),0)))</f>
        <v/>
      </c>
      <c r="F173" s="453"/>
      <c r="G173" s="307">
        <f ca="1">IF(ISERROR(OFFSET('HARGA SATUAN'!$I$6,MATCH(RAB!C173,'HARGA SATUAN'!$C$7:$C$1495,0),0)),0,OFFSET('HARGA SATUAN'!$I$6,MATCH(RAB!C173,'HARGA SATUAN'!$C$7:$C$1495,0),0))</f>
        <v>0</v>
      </c>
      <c r="H173" s="308">
        <f t="shared" ca="1" si="21"/>
        <v>0</v>
      </c>
      <c r="I173" s="308">
        <f t="shared" ca="1" si="22"/>
        <v>0</v>
      </c>
      <c r="J173" s="308">
        <f t="shared" ca="1" si="23"/>
        <v>0</v>
      </c>
      <c r="K173" s="309">
        <f t="shared" ca="1" si="24"/>
        <v>0</v>
      </c>
      <c r="L173" s="316"/>
      <c r="M173" s="289" t="str">
        <f t="shared" ca="1" si="20"/>
        <v/>
      </c>
      <c r="N173" s="316"/>
      <c r="O173" s="310"/>
      <c r="P173" s="310"/>
      <c r="Q173" s="291"/>
      <c r="R173" s="283"/>
      <c r="S173" s="311"/>
      <c r="T173" s="288"/>
      <c r="U173" s="288"/>
      <c r="V173" s="288"/>
    </row>
    <row r="174" spans="1:22" s="317" customFormat="1" hidden="1">
      <c r="A174" s="283"/>
      <c r="B174" s="449"/>
      <c r="C174" s="450"/>
      <c r="D174" s="305" t="str">
        <f ca="1">IF(ISERROR(OFFSET('HARGA SATUAN'!$D$6,MATCH(RAB!C174,'HARGA SATUAN'!$C$7:$C$1495,0),0)),"",OFFSET('HARGA SATUAN'!$D$6,MATCH(RAB!C174,'HARGA SATUAN'!$C$7:$C$1495,0),0))</f>
        <v/>
      </c>
      <c r="E174" s="306" t="str">
        <f ca="1">IF(B174="+","Unit",IF(ISERROR(OFFSET('HARGA SATUAN'!$E$6,MATCH(RAB!C174,'HARGA SATUAN'!$C$7:$C$1495,0),0)),"",OFFSET('HARGA SATUAN'!$E$6,MATCH(RAB!C174,'HARGA SATUAN'!$C$7:$C$1495,0),0)))</f>
        <v/>
      </c>
      <c r="F174" s="453"/>
      <c r="G174" s="307">
        <f ca="1">IF(ISERROR(OFFSET('HARGA SATUAN'!$I$6,MATCH(RAB!C174,'HARGA SATUAN'!$C$7:$C$1495,0),0)),0,OFFSET('HARGA SATUAN'!$I$6,MATCH(RAB!C174,'HARGA SATUAN'!$C$7:$C$1495,0),0))</f>
        <v>0</v>
      </c>
      <c r="H174" s="308">
        <f t="shared" ca="1" si="21"/>
        <v>0</v>
      </c>
      <c r="I174" s="308">
        <f t="shared" ca="1" si="22"/>
        <v>0</v>
      </c>
      <c r="J174" s="308">
        <f t="shared" ca="1" si="23"/>
        <v>0</v>
      </c>
      <c r="K174" s="309">
        <f t="shared" ca="1" si="24"/>
        <v>0</v>
      </c>
      <c r="L174" s="316"/>
      <c r="M174" s="289" t="str">
        <f t="shared" ca="1" si="20"/>
        <v/>
      </c>
      <c r="N174" s="316"/>
      <c r="O174" s="310"/>
      <c r="P174" s="310"/>
      <c r="Q174" s="291"/>
      <c r="R174" s="283"/>
      <c r="S174" s="311"/>
      <c r="T174" s="288"/>
      <c r="U174" s="288"/>
      <c r="V174" s="288"/>
    </row>
    <row r="175" spans="1:22" s="317" customFormat="1" hidden="1">
      <c r="A175" s="283"/>
      <c r="B175" s="449"/>
      <c r="C175" s="450"/>
      <c r="D175" s="305" t="str">
        <f ca="1">IF(ISERROR(OFFSET('HARGA SATUAN'!$D$6,MATCH(RAB!C175,'HARGA SATUAN'!$C$7:$C$1495,0),0)),"",OFFSET('HARGA SATUAN'!$D$6,MATCH(RAB!C175,'HARGA SATUAN'!$C$7:$C$1495,0),0))</f>
        <v/>
      </c>
      <c r="E175" s="306" t="str">
        <f ca="1">IF(B175="+","Unit",IF(ISERROR(OFFSET('HARGA SATUAN'!$E$6,MATCH(RAB!C175,'HARGA SATUAN'!$C$7:$C$1495,0),0)),"",OFFSET('HARGA SATUAN'!$E$6,MATCH(RAB!C175,'HARGA SATUAN'!$C$7:$C$1495,0),0)))</f>
        <v/>
      </c>
      <c r="F175" s="453"/>
      <c r="G175" s="307">
        <f ca="1">IF(ISERROR(OFFSET('HARGA SATUAN'!$I$6,MATCH(RAB!C175,'HARGA SATUAN'!$C$7:$C$1495,0),0)),0,OFFSET('HARGA SATUAN'!$I$6,MATCH(RAB!C175,'HARGA SATUAN'!$C$7:$C$1495,0),0))</f>
        <v>0</v>
      </c>
      <c r="H175" s="308">
        <f t="shared" ca="1" si="21"/>
        <v>0</v>
      </c>
      <c r="I175" s="308">
        <f t="shared" ca="1" si="22"/>
        <v>0</v>
      </c>
      <c r="J175" s="308">
        <f t="shared" ca="1" si="23"/>
        <v>0</v>
      </c>
      <c r="K175" s="309">
        <f t="shared" ca="1" si="24"/>
        <v>0</v>
      </c>
      <c r="L175" s="316"/>
      <c r="M175" s="289" t="str">
        <f t="shared" ca="1" si="20"/>
        <v/>
      </c>
      <c r="N175" s="316"/>
      <c r="O175" s="310"/>
      <c r="P175" s="310"/>
      <c r="Q175" s="291"/>
      <c r="R175" s="283"/>
      <c r="S175" s="311"/>
      <c r="T175" s="288"/>
      <c r="U175" s="288"/>
      <c r="V175" s="288"/>
    </row>
    <row r="176" spans="1:22" s="317" customFormat="1" hidden="1">
      <c r="A176" s="283"/>
      <c r="B176" s="449"/>
      <c r="C176" s="450"/>
      <c r="D176" s="305" t="str">
        <f ca="1">IF(ISERROR(OFFSET('HARGA SATUAN'!$D$6,MATCH(RAB!C176,'HARGA SATUAN'!$C$7:$C$1495,0),0)),"",OFFSET('HARGA SATUAN'!$D$6,MATCH(RAB!C176,'HARGA SATUAN'!$C$7:$C$1495,0),0))</f>
        <v/>
      </c>
      <c r="E176" s="306" t="str">
        <f ca="1">IF(B176="+","Unit",IF(ISERROR(OFFSET('HARGA SATUAN'!$E$6,MATCH(RAB!C176,'HARGA SATUAN'!$C$7:$C$1495,0),0)),"",OFFSET('HARGA SATUAN'!$E$6,MATCH(RAB!C176,'HARGA SATUAN'!$C$7:$C$1495,0),0)))</f>
        <v/>
      </c>
      <c r="F176" s="453"/>
      <c r="G176" s="307">
        <f ca="1">IF(ISERROR(OFFSET('HARGA SATUAN'!$I$6,MATCH(RAB!C176,'HARGA SATUAN'!$C$7:$C$1495,0),0)),0,OFFSET('HARGA SATUAN'!$I$6,MATCH(RAB!C176,'HARGA SATUAN'!$C$7:$C$1495,0),0))</f>
        <v>0</v>
      </c>
      <c r="H176" s="308">
        <f t="shared" ca="1" si="21"/>
        <v>0</v>
      </c>
      <c r="I176" s="308">
        <f t="shared" ca="1" si="22"/>
        <v>0</v>
      </c>
      <c r="J176" s="308">
        <f t="shared" ca="1" si="23"/>
        <v>0</v>
      </c>
      <c r="K176" s="309">
        <f t="shared" ca="1" si="24"/>
        <v>0</v>
      </c>
      <c r="L176" s="316"/>
      <c r="M176" s="289" t="str">
        <f t="shared" ca="1" si="20"/>
        <v/>
      </c>
      <c r="N176" s="316"/>
      <c r="O176" s="310"/>
      <c r="P176" s="310"/>
      <c r="Q176" s="291"/>
      <c r="R176" s="283"/>
      <c r="S176" s="311"/>
      <c r="T176" s="288"/>
      <c r="U176" s="288"/>
      <c r="V176" s="288"/>
    </row>
    <row r="177" spans="1:22" s="317" customFormat="1">
      <c r="A177" s="283"/>
      <c r="B177" s="418" t="s">
        <v>1602</v>
      </c>
      <c r="C177" s="421" t="s">
        <v>1604</v>
      </c>
      <c r="D177" s="305" t="str">
        <f ca="1">IF(ISERROR(OFFSET('HARGA SATUAN'!$D$6,MATCH(RAB!C177,'HARGA SATUAN'!$C$7:$C$1495,0),0)),"",OFFSET('HARGA SATUAN'!$D$6,MATCH(RAB!C177,'HARGA SATUAN'!$C$7:$C$1495,0),0))</f>
        <v/>
      </c>
      <c r="E177" s="306" t="str">
        <f ca="1">IF(B177="+","Unit",IF(ISERROR(OFFSET('HARGA SATUAN'!$E$6,MATCH(RAB!C177,'HARGA SATUAN'!$C$7:$C$1495,0),0)),"",OFFSET('HARGA SATUAN'!$E$6,MATCH(RAB!C177,'HARGA SATUAN'!$C$7:$C$1495,0),0)))</f>
        <v/>
      </c>
      <c r="F177" s="454"/>
      <c r="G177" s="307">
        <f ca="1">IF(ISERROR(OFFSET('HARGA SATUAN'!$I$6,MATCH(RAB!C177,'HARGA SATUAN'!$C$7:$C$1495,0),0)),0,OFFSET('HARGA SATUAN'!$I$6,MATCH(RAB!C177,'HARGA SATUAN'!$C$7:$C$1495,0),0))</f>
        <v>0</v>
      </c>
      <c r="H177" s="308">
        <f t="shared" ca="1" si="21"/>
        <v>0</v>
      </c>
      <c r="I177" s="308">
        <f t="shared" ca="1" si="22"/>
        <v>0</v>
      </c>
      <c r="J177" s="308">
        <f t="shared" ca="1" si="23"/>
        <v>0</v>
      </c>
      <c r="K177" s="309">
        <f t="shared" ca="1" si="24"/>
        <v>0</v>
      </c>
      <c r="L177" s="316"/>
      <c r="M177" s="289" t="str">
        <f t="shared" ca="1" si="20"/>
        <v/>
      </c>
      <c r="N177" s="316"/>
      <c r="O177" s="310"/>
      <c r="P177" s="310"/>
      <c r="Q177" s="291"/>
      <c r="R177" s="283"/>
      <c r="S177" s="311"/>
      <c r="T177" s="288"/>
      <c r="U177" s="288"/>
      <c r="V177" s="288"/>
    </row>
    <row r="178" spans="1:22" s="317" customFormat="1">
      <c r="A178" s="283"/>
      <c r="B178" s="318">
        <v>1</v>
      </c>
      <c r="C178" s="109" t="s">
        <v>66</v>
      </c>
      <c r="D178" s="305" t="str">
        <f ca="1">IF(ISERROR(OFFSET('HARGA SATUAN'!$D$6,MATCH(RAB!C178,'HARGA SATUAN'!$C$7:$C$1495,0),0)),"",OFFSET('HARGA SATUAN'!$D$6,MATCH(RAB!C178,'HARGA SATUAN'!$C$7:$C$1495,0),0))</f>
        <v>MDU-KD</v>
      </c>
      <c r="E178" s="306" t="str">
        <f ca="1">IF(B178="+","Unit",IF(ISERROR(OFFSET('HARGA SATUAN'!$E$6,MATCH(RAB!C178,'HARGA SATUAN'!$C$7:$C$1495,0),0)),"",OFFSET('HARGA SATUAN'!$E$6,MATCH(RAB!C178,'HARGA SATUAN'!$C$7:$C$1495,0),0)))</f>
        <v>Mtr</v>
      </c>
      <c r="F178" s="419">
        <v>2360</v>
      </c>
      <c r="G178" s="307">
        <f ca="1">IF(ISERROR(OFFSET('HARGA SATUAN'!$I$6,MATCH(RAB!C178,'HARGA SATUAN'!$C$7:$C$1495,0),0)),0,OFFSET('HARGA SATUAN'!$I$6,MATCH(RAB!C178,'HARGA SATUAN'!$C$7:$C$1495,0),0))</f>
        <v>25300</v>
      </c>
      <c r="H178" s="308">
        <f ca="1">IF(OR(D178="MDU",D178="MDU-KD"),(IF($O$3="RAB NON MDU","PLN KD",G178*F178)),0)</f>
        <v>59708000</v>
      </c>
      <c r="I178" s="308">
        <f ca="1">IF(D178="HDW",G178*F178,0)</f>
        <v>0</v>
      </c>
      <c r="J178" s="308">
        <f ca="1">IF(D178="JASA",G178*F178,0)</f>
        <v>0</v>
      </c>
      <c r="K178" s="309">
        <f ca="1">SUM(H178:J178)</f>
        <v>59708000</v>
      </c>
      <c r="L178" s="316"/>
      <c r="M178" s="289" t="str">
        <f t="shared" si="20"/>
        <v/>
      </c>
      <c r="N178" s="316"/>
      <c r="O178" s="310"/>
      <c r="P178" s="310"/>
      <c r="Q178" s="291"/>
      <c r="R178" s="283"/>
      <c r="S178" s="311"/>
      <c r="T178" s="288"/>
      <c r="U178" s="288"/>
      <c r="V178" s="288"/>
    </row>
    <row r="179" spans="1:22" s="317" customFormat="1">
      <c r="A179" s="283"/>
      <c r="B179" s="318">
        <v>2</v>
      </c>
      <c r="C179" s="109" t="s">
        <v>321</v>
      </c>
      <c r="D179" s="305" t="str">
        <f ca="1">IF(ISERROR(OFFSET('HARGA SATUAN'!$D$6,MATCH(RAB!C179,'HARGA SATUAN'!$C$7:$C$1495,0),0)),"",OFFSET('HARGA SATUAN'!$D$6,MATCH(RAB!C179,'HARGA SATUAN'!$C$7:$C$1495,0),0))</f>
        <v>JASA</v>
      </c>
      <c r="E179" s="306" t="str">
        <f ca="1">IF(B179="+","Unit",IF(ISERROR(OFFSET('HARGA SATUAN'!$E$6,MATCH(RAB!C179,'HARGA SATUAN'!$C$7:$C$1495,0),0)),"",OFFSET('HARGA SATUAN'!$E$6,MATCH(RAB!C179,'HARGA SATUAN'!$C$7:$C$1495,0),0)))</f>
        <v>Per 50 m</v>
      </c>
      <c r="F179" s="419">
        <v>47.2</v>
      </c>
      <c r="G179" s="307">
        <f ca="1">IF(ISERROR(OFFSET('HARGA SATUAN'!$I$6,MATCH(RAB!C179,'HARGA SATUAN'!$C$7:$C$1495,0),0)),0,OFFSET('HARGA SATUAN'!$I$6,MATCH(RAB!C179,'HARGA SATUAN'!$C$7:$C$1495,0),0))</f>
        <v>408430.00000000006</v>
      </c>
      <c r="H179" s="308">
        <f ca="1">IF(OR(D179="MDU",D179="MDU-KD"),(IF($O$3="RAB NON MDU","PLN KD",G179*F179)),0)</f>
        <v>0</v>
      </c>
      <c r="I179" s="308">
        <f ca="1">IF(D179="HDW",G179*F179,0)</f>
        <v>0</v>
      </c>
      <c r="J179" s="308">
        <f ca="1">IF(D179="JASA",G179*F179,0)</f>
        <v>19277896.000000004</v>
      </c>
      <c r="K179" s="309">
        <f ca="1">SUM(H179:J179)</f>
        <v>19277896.000000004</v>
      </c>
      <c r="L179" s="316"/>
      <c r="M179" s="289" t="str">
        <f t="shared" ca="1" si="20"/>
        <v/>
      </c>
      <c r="N179" s="316"/>
      <c r="O179" s="310"/>
      <c r="P179" s="310"/>
      <c r="Q179" s="291"/>
      <c r="R179" s="283"/>
      <c r="S179" s="311"/>
      <c r="T179" s="288"/>
      <c r="U179" s="288"/>
      <c r="V179" s="288"/>
    </row>
    <row r="180" spans="1:22" s="317" customFormat="1">
      <c r="A180" s="283"/>
      <c r="B180" s="318"/>
      <c r="C180" s="319"/>
      <c r="D180" s="305" t="str">
        <f ca="1">IF(ISERROR(OFFSET('HARGA SATUAN'!$D$6,MATCH(RAB!C180,'HARGA SATUAN'!$C$7:$C$1495,0),0)),"",OFFSET('HARGA SATUAN'!$D$6,MATCH(RAB!C180,'HARGA SATUAN'!$C$7:$C$1495,0),0))</f>
        <v/>
      </c>
      <c r="E180" s="306" t="str">
        <f ca="1">IF(B180="+","Unit",IF(ISERROR(OFFSET('HARGA SATUAN'!$E$6,MATCH(RAB!C180,'HARGA SATUAN'!$C$7:$C$1495,0),0)),"",OFFSET('HARGA SATUAN'!$E$6,MATCH(RAB!C180,'HARGA SATUAN'!$C$7:$C$1495,0),0)))</f>
        <v/>
      </c>
      <c r="F180" s="419"/>
      <c r="G180" s="307">
        <f ca="1">IF(ISERROR(OFFSET('HARGA SATUAN'!$I$6,MATCH(RAB!C180,'HARGA SATUAN'!$C$7:$C$1495,0),0)),0,OFFSET('HARGA SATUAN'!$I$6,MATCH(RAB!C180,'HARGA SATUAN'!$C$7:$C$1495,0),0))</f>
        <v>0</v>
      </c>
      <c r="H180" s="308">
        <f ca="1">IF(OR(D180="MDU",D180="MDU-KD"),(IF($O$3="RAB NON MDU","PLN KD",G180*F180)),0)</f>
        <v>0</v>
      </c>
      <c r="I180" s="308">
        <f ca="1">IF(D180="HDW",G180*F180,0)</f>
        <v>0</v>
      </c>
      <c r="J180" s="308">
        <f ca="1">IF(D180="JASA",G180*F180,0)</f>
        <v>0</v>
      </c>
      <c r="K180" s="309">
        <f ca="1">SUM(H180:J180)</f>
        <v>0</v>
      </c>
      <c r="L180" s="316"/>
      <c r="M180" s="289" t="e">
        <f>IF(AND(F180&gt;0,#REF!=0),"",IF(AND(ISBLANK(F180)=FALSE,K180=0),"WARNING",""))</f>
        <v>#REF!</v>
      </c>
      <c r="N180" s="316"/>
      <c r="O180" s="310"/>
      <c r="P180" s="310"/>
      <c r="Q180" s="291"/>
      <c r="R180" s="283"/>
      <c r="S180" s="311"/>
      <c r="T180" s="288"/>
      <c r="U180" s="288"/>
      <c r="V180" s="288"/>
    </row>
    <row r="181" spans="1:22" s="317" customFormat="1">
      <c r="A181" s="283"/>
      <c r="B181" s="418" t="s">
        <v>1610</v>
      </c>
      <c r="C181" s="421" t="s">
        <v>1606</v>
      </c>
      <c r="D181" s="305" t="str">
        <f ca="1">IF(ISERROR(OFFSET('HARGA SATUAN'!$D$6,MATCH(RAB!C181,'HARGA SATUAN'!$C$7:$C$1495,0),0)),"",OFFSET('HARGA SATUAN'!$D$6,MATCH(RAB!C181,'HARGA SATUAN'!$C$7:$C$1495,0),0))</f>
        <v/>
      </c>
      <c r="E181" s="306" t="str">
        <f ca="1">IF(B181="+","Unit",IF(ISERROR(OFFSET('HARGA SATUAN'!$E$6,MATCH(RAB!C181,'HARGA SATUAN'!$C$7:$C$1495,0),0)),"",OFFSET('HARGA SATUAN'!$E$6,MATCH(RAB!C181,'HARGA SATUAN'!$C$7:$C$1495,0),0)))</f>
        <v/>
      </c>
      <c r="F181" s="455"/>
      <c r="G181" s="307">
        <f ca="1">IF(ISERROR(OFFSET('HARGA SATUAN'!$I$6,MATCH(RAB!C181,'HARGA SATUAN'!$C$7:$C$1495,0),0)),0,OFFSET('HARGA SATUAN'!$I$6,MATCH(RAB!C181,'HARGA SATUAN'!$C$7:$C$1495,0),0))</f>
        <v>0</v>
      </c>
      <c r="H181" s="308">
        <f t="shared" ref="H181:H197" ca="1" si="25">IF(OR(D181="MDU",D181="MDU-KD"),(IF($O$3="RAB NON MDU","PLN KD",G181*F181)),0)</f>
        <v>0</v>
      </c>
      <c r="I181" s="308">
        <f t="shared" ref="I181:I197" ca="1" si="26">IF(D181="HDW",G181*F181,0)</f>
        <v>0</v>
      </c>
      <c r="J181" s="308">
        <f t="shared" ref="J181:J197" ca="1" si="27">IF(D181="JASA",G181*F181,0)</f>
        <v>0</v>
      </c>
      <c r="K181" s="309">
        <f t="shared" ref="K181:K197" ca="1" si="28">SUM(H181:J181)</f>
        <v>0</v>
      </c>
      <c r="L181" s="316"/>
      <c r="M181" s="289" t="str">
        <f t="shared" ca="1" si="20"/>
        <v/>
      </c>
      <c r="N181" s="316"/>
      <c r="O181" s="310"/>
      <c r="P181" s="310"/>
      <c r="Q181" s="291"/>
      <c r="R181" s="283"/>
      <c r="S181" s="311"/>
      <c r="T181" s="288"/>
      <c r="U181" s="288"/>
      <c r="V181" s="288"/>
    </row>
    <row r="182" spans="1:22" s="317" customFormat="1">
      <c r="A182" s="283"/>
      <c r="B182" s="460" t="s">
        <v>1035</v>
      </c>
      <c r="C182" s="461" t="s">
        <v>1649</v>
      </c>
      <c r="D182" s="305" t="str">
        <f ca="1">IF(ISERROR(OFFSET('HARGA SATUAN'!$D$6,MATCH(RAB!C182,'HARGA SATUAN'!$C$7:$C$1495,0),0)),"",OFFSET('HARGA SATUAN'!$D$6,MATCH(RAB!C182,'HARGA SATUAN'!$C$7:$C$1495,0),0))</f>
        <v/>
      </c>
      <c r="E182" s="306" t="str">
        <f ca="1">IF(B182="+","Unit",IF(ISERROR(OFFSET('HARGA SATUAN'!$E$6,MATCH(RAB!C182,'HARGA SATUAN'!$C$7:$C$1495,0),0)),"",OFFSET('HARGA SATUAN'!$E$6,MATCH(RAB!C182,'HARGA SATUAN'!$C$7:$C$1495,0),0)))</f>
        <v>Unit</v>
      </c>
      <c r="F182" s="726">
        <v>1</v>
      </c>
      <c r="G182" s="307">
        <f ca="1">IF(ISERROR(OFFSET('HARGA SATUAN'!$I$6,MATCH(RAB!C182,'HARGA SATUAN'!$C$7:$C$1495,0),0)),0,OFFSET('HARGA SATUAN'!$I$6,MATCH(RAB!C182,'HARGA SATUAN'!$C$7:$C$1495,0),0))</f>
        <v>0</v>
      </c>
      <c r="H182" s="308">
        <f t="shared" ca="1" si="25"/>
        <v>0</v>
      </c>
      <c r="I182" s="308">
        <f t="shared" ca="1" si="26"/>
        <v>0</v>
      </c>
      <c r="J182" s="308">
        <f t="shared" ca="1" si="27"/>
        <v>0</v>
      </c>
      <c r="K182" s="309">
        <f t="shared" ca="1" si="28"/>
        <v>0</v>
      </c>
      <c r="L182" s="316"/>
      <c r="M182" s="289"/>
      <c r="N182" s="316"/>
      <c r="O182" s="310"/>
      <c r="P182" s="310"/>
      <c r="Q182" s="291"/>
      <c r="R182" s="283"/>
      <c r="S182" s="311"/>
      <c r="T182" s="288"/>
      <c r="U182" s="288"/>
      <c r="V182" s="288"/>
    </row>
    <row r="183" spans="1:22" s="317" customFormat="1" ht="30">
      <c r="A183" s="283"/>
      <c r="B183" s="724">
        <v>1</v>
      </c>
      <c r="C183" s="109" t="s">
        <v>1195</v>
      </c>
      <c r="D183" s="305" t="str">
        <f ca="1">IF(ISERROR(OFFSET('HARGA SATUAN'!$D$6,MATCH(RAB!C183,'HARGA SATUAN'!$C$7:$C$1495,0),0)),"",OFFSET('HARGA SATUAN'!$D$6,MATCH(RAB!C183,'HARGA SATUAN'!$C$7:$C$1495,0),0))</f>
        <v>MDU-KD</v>
      </c>
      <c r="E183" s="306" t="str">
        <f ca="1">IF(B183="+","Unit",IF(ISERROR(OFFSET('HARGA SATUAN'!$E$6,MATCH(RAB!C183,'HARGA SATUAN'!$C$7:$C$1495,0),0)),"",OFFSET('HARGA SATUAN'!$E$6,MATCH(RAB!C183,'HARGA SATUAN'!$C$7:$C$1495,0),0)))</f>
        <v>Bh</v>
      </c>
      <c r="F183" s="726">
        <f>F182*1</f>
        <v>1</v>
      </c>
      <c r="G183" s="307">
        <f ca="1">IF(ISERROR(OFFSET('HARGA SATUAN'!$I$6,MATCH(RAB!C183,'HARGA SATUAN'!$C$7:$C$1495,0),0)),0,OFFSET('HARGA SATUAN'!$I$6,MATCH(RAB!C183,'HARGA SATUAN'!$C$7:$C$1495,0),0))</f>
        <v>1504200</v>
      </c>
      <c r="H183" s="308">
        <f t="shared" ca="1" si="25"/>
        <v>1504200</v>
      </c>
      <c r="I183" s="308">
        <f t="shared" ca="1" si="26"/>
        <v>0</v>
      </c>
      <c r="J183" s="308">
        <f t="shared" ca="1" si="27"/>
        <v>0</v>
      </c>
      <c r="K183" s="309">
        <f t="shared" ca="1" si="28"/>
        <v>1504200</v>
      </c>
      <c r="L183" s="316"/>
      <c r="M183" s="289"/>
      <c r="N183" s="316"/>
      <c r="O183" s="310"/>
      <c r="P183" s="310"/>
      <c r="Q183" s="291"/>
      <c r="R183" s="283"/>
      <c r="S183" s="311"/>
      <c r="T183" s="288"/>
      <c r="U183" s="288"/>
      <c r="V183" s="288"/>
    </row>
    <row r="184" spans="1:22" s="317" customFormat="1">
      <c r="A184" s="283"/>
      <c r="B184" s="724">
        <v>2</v>
      </c>
      <c r="C184" s="725" t="s">
        <v>519</v>
      </c>
      <c r="D184" s="305" t="str">
        <f ca="1">IF(ISERROR(OFFSET('HARGA SATUAN'!$D$6,MATCH(RAB!C184,'HARGA SATUAN'!$C$7:$C$1495,0),0)),"",OFFSET('HARGA SATUAN'!$D$6,MATCH(RAB!C184,'HARGA SATUAN'!$C$7:$C$1495,0),0))</f>
        <v>MDU-KD</v>
      </c>
      <c r="E184" s="306" t="str">
        <f ca="1">IF(B184="+","Unit",IF(ISERROR(OFFSET('HARGA SATUAN'!$E$6,MATCH(RAB!C184,'HARGA SATUAN'!$C$7:$C$1495,0),0)),"",OFFSET('HARGA SATUAN'!$E$6,MATCH(RAB!C184,'HARGA SATUAN'!$C$7:$C$1495,0),0)))</f>
        <v>Unit</v>
      </c>
      <c r="F184" s="726">
        <f>F182*1</f>
        <v>1</v>
      </c>
      <c r="G184" s="307">
        <f ca="1">IF(ISERROR(OFFSET('HARGA SATUAN'!$I$6,MATCH(RAB!C184,'HARGA SATUAN'!$C$7:$C$1495,0),0)),0,OFFSET('HARGA SATUAN'!$I$6,MATCH(RAB!C184,'HARGA SATUAN'!$C$7:$C$1495,0),0))</f>
        <v>14975400</v>
      </c>
      <c r="H184" s="308">
        <f t="shared" ca="1" si="25"/>
        <v>14975400</v>
      </c>
      <c r="I184" s="308">
        <f t="shared" ca="1" si="26"/>
        <v>0</v>
      </c>
      <c r="J184" s="308">
        <f t="shared" ca="1" si="27"/>
        <v>0</v>
      </c>
      <c r="K184" s="309">
        <f t="shared" ca="1" si="28"/>
        <v>14975400</v>
      </c>
      <c r="L184" s="316"/>
      <c r="M184" s="289"/>
      <c r="N184" s="316"/>
      <c r="O184" s="310"/>
      <c r="P184" s="310"/>
      <c r="Q184" s="291"/>
      <c r="R184" s="283"/>
      <c r="S184" s="311"/>
      <c r="T184" s="288"/>
      <c r="U184" s="288"/>
      <c r="V184" s="288"/>
    </row>
    <row r="185" spans="1:22" s="317" customFormat="1">
      <c r="A185" s="283"/>
      <c r="B185" s="724">
        <v>3</v>
      </c>
      <c r="C185" s="725" t="s">
        <v>1141</v>
      </c>
      <c r="D185" s="305" t="str">
        <f ca="1">IF(ISERROR(OFFSET('HARGA SATUAN'!$D$6,MATCH(RAB!C185,'HARGA SATUAN'!$C$7:$C$1495,0),0)),"",OFFSET('HARGA SATUAN'!$D$6,MATCH(RAB!C185,'HARGA SATUAN'!$C$7:$C$1495,0),0))</f>
        <v>HDW</v>
      </c>
      <c r="E185" s="306" t="str">
        <f ca="1">IF(B185="+","Unit",IF(ISERROR(OFFSET('HARGA SATUAN'!$E$6,MATCH(RAB!C185,'HARGA SATUAN'!$C$7:$C$1495,0),0)),"",OFFSET('HARGA SATUAN'!$E$6,MATCH(RAB!C185,'HARGA SATUAN'!$C$7:$C$1495,0),0)))</f>
        <v>Unit</v>
      </c>
      <c r="F185" s="726">
        <f>F182*1</f>
        <v>1</v>
      </c>
      <c r="G185" s="307">
        <f ca="1">IF(ISERROR(OFFSET('HARGA SATUAN'!$I$6,MATCH(RAB!C185,'HARGA SATUAN'!$C$7:$C$1495,0),0)),0,OFFSET('HARGA SATUAN'!$I$6,MATCH(RAB!C185,'HARGA SATUAN'!$C$7:$C$1495,0),0))</f>
        <v>1113900</v>
      </c>
      <c r="H185" s="308">
        <f t="shared" ca="1" si="25"/>
        <v>0</v>
      </c>
      <c r="I185" s="308">
        <f t="shared" ca="1" si="26"/>
        <v>1113900</v>
      </c>
      <c r="J185" s="308">
        <f t="shared" ca="1" si="27"/>
        <v>0</v>
      </c>
      <c r="K185" s="309">
        <f t="shared" ca="1" si="28"/>
        <v>1113900</v>
      </c>
      <c r="L185" s="316"/>
      <c r="M185" s="289"/>
      <c r="N185" s="316"/>
      <c r="O185" s="310"/>
      <c r="P185" s="310"/>
      <c r="Q185" s="291"/>
      <c r="R185" s="283"/>
      <c r="S185" s="311"/>
      <c r="T185" s="288"/>
      <c r="U185" s="288"/>
      <c r="V185" s="288"/>
    </row>
    <row r="186" spans="1:22" s="317" customFormat="1">
      <c r="A186" s="283"/>
      <c r="B186" s="724">
        <v>4</v>
      </c>
      <c r="C186" s="725" t="s">
        <v>574</v>
      </c>
      <c r="D186" s="305" t="str">
        <f ca="1">IF(ISERROR(OFFSET('HARGA SATUAN'!$D$6,MATCH(RAB!C186,'HARGA SATUAN'!$C$7:$C$1495,0),0)),"",OFFSET('HARGA SATUAN'!$D$6,MATCH(RAB!C186,'HARGA SATUAN'!$C$7:$C$1495,0),0))</f>
        <v>MDU-KD</v>
      </c>
      <c r="E186" s="306" t="str">
        <f ca="1">IF(B186="+","Unit",IF(ISERROR(OFFSET('HARGA SATUAN'!$E$6,MATCH(RAB!C186,'HARGA SATUAN'!$C$7:$C$1495,0),0)),"",OFFSET('HARGA SATUAN'!$E$6,MATCH(RAB!C186,'HARGA SATUAN'!$C$7:$C$1495,0),0)))</f>
        <v>Mtr</v>
      </c>
      <c r="F186" s="726">
        <f>F182*35</f>
        <v>35</v>
      </c>
      <c r="G186" s="307">
        <f ca="1">IF(ISERROR(OFFSET('HARGA SATUAN'!$I$6,MATCH(RAB!C186,'HARGA SATUAN'!$C$7:$C$1495,0),0)),0,OFFSET('HARGA SATUAN'!$I$6,MATCH(RAB!C186,'HARGA SATUAN'!$C$7:$C$1495,0),0))</f>
        <v>421400</v>
      </c>
      <c r="H186" s="308">
        <f t="shared" ca="1" si="25"/>
        <v>14749000</v>
      </c>
      <c r="I186" s="308">
        <f t="shared" ca="1" si="26"/>
        <v>0</v>
      </c>
      <c r="J186" s="308">
        <f t="shared" ca="1" si="27"/>
        <v>0</v>
      </c>
      <c r="K186" s="309">
        <f t="shared" ca="1" si="28"/>
        <v>14749000</v>
      </c>
      <c r="L186" s="316"/>
      <c r="M186" s="289"/>
      <c r="N186" s="316"/>
      <c r="O186" s="310"/>
      <c r="P186" s="310"/>
      <c r="Q186" s="291"/>
      <c r="R186" s="283"/>
      <c r="S186" s="311"/>
      <c r="T186" s="288"/>
      <c r="U186" s="288"/>
      <c r="V186" s="288"/>
    </row>
    <row r="187" spans="1:22" s="317" customFormat="1">
      <c r="A187" s="283"/>
      <c r="B187" s="724">
        <v>5</v>
      </c>
      <c r="C187" s="725" t="s">
        <v>799</v>
      </c>
      <c r="D187" s="305" t="str">
        <f ca="1">IF(ISERROR(OFFSET('HARGA SATUAN'!$D$6,MATCH(RAB!C187,'HARGA SATUAN'!$C$7:$C$1495,0),0)),"",OFFSET('HARGA SATUAN'!$D$6,MATCH(RAB!C187,'HARGA SATUAN'!$C$7:$C$1495,0),0))</f>
        <v>JASA</v>
      </c>
      <c r="E187" s="306" t="str">
        <f ca="1">IF(B187="+","Unit",IF(ISERROR(OFFSET('HARGA SATUAN'!$E$6,MATCH(RAB!C187,'HARGA SATUAN'!$C$7:$C$1495,0),0)),"",OFFSET('HARGA SATUAN'!$E$6,MATCH(RAB!C187,'HARGA SATUAN'!$C$7:$C$1495,0),0)))</f>
        <v>Unit</v>
      </c>
      <c r="F187" s="726">
        <f>F182*1</f>
        <v>1</v>
      </c>
      <c r="G187" s="307">
        <f ca="1">IF(ISERROR(OFFSET('HARGA SATUAN'!$I$6,MATCH(RAB!C187,'HARGA SATUAN'!$C$7:$C$1495,0),0)),0,OFFSET('HARGA SATUAN'!$I$6,MATCH(RAB!C187,'HARGA SATUAN'!$C$7:$C$1495,0),0))</f>
        <v>106400</v>
      </c>
      <c r="H187" s="308">
        <f ca="1">IF(OR(D187="MDU",D187="MDU-KD"),(IF($O$3="RAB NON MDU","PLN KD",G187*F187)),0)</f>
        <v>0</v>
      </c>
      <c r="I187" s="308">
        <f ca="1">IF(D187="HDW",G187*F187,0)</f>
        <v>0</v>
      </c>
      <c r="J187" s="308">
        <f ca="1">IF(D187="JASA",G187*F187,0)</f>
        <v>106400</v>
      </c>
      <c r="K187" s="309">
        <f ca="1">SUM(H187:J187)</f>
        <v>106400</v>
      </c>
      <c r="L187" s="316"/>
      <c r="M187" s="289"/>
      <c r="N187" s="316"/>
      <c r="O187" s="310"/>
      <c r="P187" s="310"/>
      <c r="Q187" s="291"/>
      <c r="R187" s="283"/>
      <c r="S187" s="311"/>
      <c r="T187" s="288"/>
      <c r="U187" s="288"/>
      <c r="V187" s="288"/>
    </row>
    <row r="188" spans="1:22" s="317" customFormat="1">
      <c r="A188" s="283"/>
      <c r="B188" s="318"/>
      <c r="C188" s="319"/>
      <c r="D188" s="305" t="str">
        <f ca="1">IF(ISERROR(OFFSET('HARGA SATUAN'!$D$6,MATCH(RAB!C188,'HARGA SATUAN'!$C$7:$C$1495,0),0)),"",OFFSET('HARGA SATUAN'!$D$6,MATCH(RAB!C188,'HARGA SATUAN'!$C$7:$C$1495,0),0))</f>
        <v/>
      </c>
      <c r="E188" s="306" t="str">
        <f ca="1">IF(B188="+","Unit",IF(ISERROR(OFFSET('HARGA SATUAN'!$E$6,MATCH(RAB!C188,'HARGA SATUAN'!$C$7:$C$1495,0),0)),"",OFFSET('HARGA SATUAN'!$E$6,MATCH(RAB!C188,'HARGA SATUAN'!$C$7:$C$1495,0),0)))</f>
        <v/>
      </c>
      <c r="F188" s="452"/>
      <c r="G188" s="307">
        <f ca="1">IF(ISERROR(OFFSET('HARGA SATUAN'!$I$6,MATCH(RAB!C188,'HARGA SATUAN'!$C$7:$C$1495,0),0)),0,OFFSET('HARGA SATUAN'!$I$6,MATCH(RAB!C188,'HARGA SATUAN'!$C$7:$C$1495,0),0))</f>
        <v>0</v>
      </c>
      <c r="H188" s="308">
        <f t="shared" ca="1" si="25"/>
        <v>0</v>
      </c>
      <c r="I188" s="308">
        <f t="shared" ca="1" si="26"/>
        <v>0</v>
      </c>
      <c r="J188" s="308">
        <f t="shared" ca="1" si="27"/>
        <v>0</v>
      </c>
      <c r="K188" s="309">
        <f t="shared" ca="1" si="28"/>
        <v>0</v>
      </c>
      <c r="L188" s="316"/>
      <c r="M188" s="289" t="str">
        <f ca="1">IF(AND(F188&gt;0,F181=0),"",IF(AND(ISBLANK(F188)=FALSE,K188=0),"WARNING",""))</f>
        <v/>
      </c>
      <c r="N188" s="316"/>
      <c r="O188" s="310"/>
      <c r="P188" s="310"/>
      <c r="Q188" s="291"/>
      <c r="R188" s="283"/>
      <c r="S188" s="311"/>
      <c r="T188" s="288"/>
      <c r="U188" s="288"/>
      <c r="V188" s="288"/>
    </row>
    <row r="189" spans="1:22" s="317" customFormat="1">
      <c r="A189" s="283"/>
      <c r="B189" s="318" t="s">
        <v>1035</v>
      </c>
      <c r="C189" s="319" t="s">
        <v>1618</v>
      </c>
      <c r="D189" s="305" t="str">
        <f ca="1">IF(ISERROR(OFFSET('HARGA SATUAN'!$D$6,MATCH(RAB!C189,'HARGA SATUAN'!$C$7:$C$1495,0),0)),"",OFFSET('HARGA SATUAN'!$D$6,MATCH(RAB!C189,'HARGA SATUAN'!$C$7:$C$1495,0),0))</f>
        <v/>
      </c>
      <c r="E189" s="306" t="str">
        <f ca="1">IF(B189="+","Unit",IF(ISERROR(OFFSET('HARGA SATUAN'!$E$6,MATCH(RAB!C189,'HARGA SATUAN'!$C$7:$C$1495,0),0)),"",OFFSET('HARGA SATUAN'!$E$6,MATCH(RAB!C189,'HARGA SATUAN'!$C$7:$C$1495,0),0)))</f>
        <v>Unit</v>
      </c>
      <c r="F189" s="451">
        <v>1</v>
      </c>
      <c r="G189" s="307">
        <f ca="1">IF(ISERROR(OFFSET('HARGA SATUAN'!$I$6,MATCH(RAB!C189,'HARGA SATUAN'!$C$7:$C$1495,0),0)),0,OFFSET('HARGA SATUAN'!$I$6,MATCH(RAB!C189,'HARGA SATUAN'!$C$7:$C$1495,0),0))</f>
        <v>0</v>
      </c>
      <c r="H189" s="308">
        <f t="shared" ca="1" si="25"/>
        <v>0</v>
      </c>
      <c r="I189" s="308">
        <f t="shared" ca="1" si="26"/>
        <v>0</v>
      </c>
      <c r="J189" s="308">
        <f t="shared" ca="1" si="27"/>
        <v>0</v>
      </c>
      <c r="K189" s="309">
        <f t="shared" ca="1" si="28"/>
        <v>0</v>
      </c>
      <c r="L189" s="316"/>
      <c r="M189" s="289" t="str">
        <f t="shared" si="20"/>
        <v/>
      </c>
      <c r="N189" s="316"/>
      <c r="O189" s="310"/>
      <c r="P189" s="310"/>
      <c r="Q189" s="291"/>
      <c r="R189" s="283"/>
      <c r="S189" s="311"/>
      <c r="T189" s="288"/>
      <c r="U189" s="288"/>
      <c r="V189" s="288"/>
    </row>
    <row r="190" spans="1:22" s="317" customFormat="1">
      <c r="A190" s="283"/>
      <c r="B190" s="318">
        <v>1</v>
      </c>
      <c r="C190" s="319" t="s">
        <v>29</v>
      </c>
      <c r="D190" s="305" t="str">
        <f ca="1">IF(ISERROR(OFFSET('HARGA SATUAN'!$D$6,MATCH(RAB!C190,'HARGA SATUAN'!$C$7:$C$1495,0),0)),"",OFFSET('HARGA SATUAN'!$D$6,MATCH(RAB!C190,'HARGA SATUAN'!$C$7:$C$1495,0),0))</f>
        <v>HDW</v>
      </c>
      <c r="E190" s="306" t="str">
        <f ca="1">IF(B190="+","Unit",IF(ISERROR(OFFSET('HARGA SATUAN'!$E$6,MATCH(RAB!C190,'HARGA SATUAN'!$C$7:$C$1495,0),0)),"",OFFSET('HARGA SATUAN'!$E$6,MATCH(RAB!C190,'HARGA SATUAN'!$C$7:$C$1495,0),0)))</f>
        <v>Bh</v>
      </c>
      <c r="F190" s="451">
        <f>F189*1</f>
        <v>1</v>
      </c>
      <c r="G190" s="307">
        <f ca="1">IF(ISERROR(OFFSET('HARGA SATUAN'!$I$6,MATCH(RAB!C190,'HARGA SATUAN'!$C$7:$C$1495,0),0)),0,OFFSET('HARGA SATUAN'!$I$6,MATCH(RAB!C190,'HARGA SATUAN'!$C$7:$C$1495,0),0))</f>
        <v>185200</v>
      </c>
      <c r="H190" s="308">
        <f t="shared" ca="1" si="25"/>
        <v>0</v>
      </c>
      <c r="I190" s="308">
        <f t="shared" ca="1" si="26"/>
        <v>185200</v>
      </c>
      <c r="J190" s="308">
        <f t="shared" ca="1" si="27"/>
        <v>0</v>
      </c>
      <c r="K190" s="309">
        <f t="shared" ca="1" si="28"/>
        <v>185200</v>
      </c>
      <c r="L190" s="316"/>
      <c r="M190" s="289" t="str">
        <f t="shared" ca="1" si="20"/>
        <v/>
      </c>
      <c r="N190" s="316"/>
      <c r="O190" s="310"/>
      <c r="P190" s="310"/>
      <c r="Q190" s="291"/>
      <c r="R190" s="283"/>
      <c r="S190" s="311"/>
      <c r="T190" s="288"/>
      <c r="U190" s="288"/>
      <c r="V190" s="288"/>
    </row>
    <row r="191" spans="1:22" s="317" customFormat="1">
      <c r="A191" s="283"/>
      <c r="B191" s="318">
        <v>2</v>
      </c>
      <c r="C191" s="319" t="s">
        <v>30</v>
      </c>
      <c r="D191" s="305" t="str">
        <f ca="1">IF(ISERROR(OFFSET('HARGA SATUAN'!$D$6,MATCH(RAB!C191,'HARGA SATUAN'!$C$7:$C$1495,0),0)),"",OFFSET('HARGA SATUAN'!$D$6,MATCH(RAB!C191,'HARGA SATUAN'!$C$7:$C$1495,0),0))</f>
        <v>HDW</v>
      </c>
      <c r="E191" s="306" t="str">
        <f ca="1">IF(B191="+","Unit",IF(ISERROR(OFFSET('HARGA SATUAN'!$E$6,MATCH(RAB!C191,'HARGA SATUAN'!$C$7:$C$1495,0),0)),"",OFFSET('HARGA SATUAN'!$E$6,MATCH(RAB!C191,'HARGA SATUAN'!$C$7:$C$1495,0),0)))</f>
        <v>Bh</v>
      </c>
      <c r="F191" s="451">
        <f>F189*1</f>
        <v>1</v>
      </c>
      <c r="G191" s="307">
        <f ca="1">IF(ISERROR(OFFSET('HARGA SATUAN'!$I$6,MATCH(RAB!C191,'HARGA SATUAN'!$C$7:$C$1495,0),0)),0,OFFSET('HARGA SATUAN'!$I$6,MATCH(RAB!C191,'HARGA SATUAN'!$C$7:$C$1495,0),0))</f>
        <v>47459</v>
      </c>
      <c r="H191" s="308">
        <f t="shared" ca="1" si="25"/>
        <v>0</v>
      </c>
      <c r="I191" s="308">
        <f t="shared" ca="1" si="26"/>
        <v>47459</v>
      </c>
      <c r="J191" s="308">
        <f t="shared" ca="1" si="27"/>
        <v>0</v>
      </c>
      <c r="K191" s="309">
        <f t="shared" ca="1" si="28"/>
        <v>47459</v>
      </c>
      <c r="L191" s="316"/>
      <c r="M191" s="289" t="str">
        <f t="shared" ca="1" si="20"/>
        <v/>
      </c>
      <c r="N191" s="316"/>
      <c r="O191" s="310"/>
      <c r="P191" s="310"/>
      <c r="Q191" s="291"/>
      <c r="R191" s="283"/>
      <c r="S191" s="311"/>
      <c r="T191" s="288"/>
      <c r="U191" s="288"/>
      <c r="V191" s="288"/>
    </row>
    <row r="192" spans="1:22" s="317" customFormat="1">
      <c r="A192" s="283"/>
      <c r="B192" s="318">
        <v>3</v>
      </c>
      <c r="C192" s="319" t="s">
        <v>32</v>
      </c>
      <c r="D192" s="305" t="str">
        <f ca="1">IF(ISERROR(OFFSET('HARGA SATUAN'!$D$6,MATCH(RAB!C192,'HARGA SATUAN'!$C$7:$C$1495,0),0)),"",OFFSET('HARGA SATUAN'!$D$6,MATCH(RAB!C192,'HARGA SATUAN'!$C$7:$C$1495,0),0))</f>
        <v>HDW</v>
      </c>
      <c r="E192" s="306" t="str">
        <f ca="1">IF(B192="+","Unit",IF(ISERROR(OFFSET('HARGA SATUAN'!$E$6,MATCH(RAB!C192,'HARGA SATUAN'!$C$7:$C$1495,0),0)),"",OFFSET('HARGA SATUAN'!$E$6,MATCH(RAB!C192,'HARGA SATUAN'!$C$7:$C$1495,0),0)))</f>
        <v>Mtr</v>
      </c>
      <c r="F192" s="451">
        <f>F189*1.5</f>
        <v>1.5</v>
      </c>
      <c r="G192" s="307">
        <f ca="1">IF(ISERROR(OFFSET('HARGA SATUAN'!$I$6,MATCH(RAB!C192,'HARGA SATUAN'!$C$7:$C$1495,0),0)),0,OFFSET('HARGA SATUAN'!$I$6,MATCH(RAB!C192,'HARGA SATUAN'!$C$7:$C$1495,0),0))</f>
        <v>30000</v>
      </c>
      <c r="H192" s="308">
        <f t="shared" ca="1" si="25"/>
        <v>0</v>
      </c>
      <c r="I192" s="308">
        <f t="shared" ca="1" si="26"/>
        <v>45000</v>
      </c>
      <c r="J192" s="308">
        <f t="shared" ca="1" si="27"/>
        <v>0</v>
      </c>
      <c r="K192" s="309">
        <f t="shared" ca="1" si="28"/>
        <v>45000</v>
      </c>
      <c r="L192" s="316"/>
      <c r="M192" s="289" t="str">
        <f t="shared" ca="1" si="20"/>
        <v/>
      </c>
      <c r="N192" s="316"/>
      <c r="O192" s="310"/>
      <c r="P192" s="310"/>
      <c r="Q192" s="291"/>
      <c r="R192" s="283"/>
      <c r="S192" s="311"/>
      <c r="T192" s="288"/>
      <c r="U192" s="288"/>
      <c r="V192" s="288"/>
    </row>
    <row r="193" spans="1:22" s="317" customFormat="1">
      <c r="A193" s="283"/>
      <c r="B193" s="318">
        <v>4</v>
      </c>
      <c r="C193" s="319" t="s">
        <v>33</v>
      </c>
      <c r="D193" s="305" t="str">
        <f ca="1">IF(ISERROR(OFFSET('HARGA SATUAN'!$D$6,MATCH(RAB!C193,'HARGA SATUAN'!$C$7:$C$1495,0),0)),"",OFFSET('HARGA SATUAN'!$D$6,MATCH(RAB!C193,'HARGA SATUAN'!$C$7:$C$1495,0),0))</f>
        <v>HDW</v>
      </c>
      <c r="E193" s="306" t="str">
        <f ca="1">IF(B193="+","Unit",IF(ISERROR(OFFSET('HARGA SATUAN'!$E$6,MATCH(RAB!C193,'HARGA SATUAN'!$C$7:$C$1495,0),0)),"",OFFSET('HARGA SATUAN'!$E$6,MATCH(RAB!C193,'HARGA SATUAN'!$C$7:$C$1495,0),0)))</f>
        <v>Bh</v>
      </c>
      <c r="F193" s="451">
        <f>F189*2</f>
        <v>2</v>
      </c>
      <c r="G193" s="307">
        <f ca="1">IF(ISERROR(OFFSET('HARGA SATUAN'!$I$6,MATCH(RAB!C193,'HARGA SATUAN'!$C$7:$C$1495,0),0)),0,OFFSET('HARGA SATUAN'!$I$6,MATCH(RAB!C193,'HARGA SATUAN'!$C$7:$C$1495,0),0))</f>
        <v>9500</v>
      </c>
      <c r="H193" s="308">
        <f t="shared" ca="1" si="25"/>
        <v>0</v>
      </c>
      <c r="I193" s="308">
        <f t="shared" ca="1" si="26"/>
        <v>19000</v>
      </c>
      <c r="J193" s="308">
        <f t="shared" ca="1" si="27"/>
        <v>0</v>
      </c>
      <c r="K193" s="309">
        <f t="shared" ca="1" si="28"/>
        <v>19000</v>
      </c>
      <c r="L193" s="316"/>
      <c r="M193" s="289" t="str">
        <f t="shared" ca="1" si="20"/>
        <v/>
      </c>
      <c r="N193" s="316"/>
      <c r="O193" s="310"/>
      <c r="P193" s="310"/>
      <c r="Q193" s="291"/>
      <c r="R193" s="283"/>
      <c r="S193" s="311"/>
      <c r="T193" s="288"/>
      <c r="U193" s="288"/>
      <c r="V193" s="288"/>
    </row>
    <row r="194" spans="1:22" s="317" customFormat="1">
      <c r="A194" s="283"/>
      <c r="B194" s="318">
        <v>5</v>
      </c>
      <c r="C194" s="319" t="s">
        <v>735</v>
      </c>
      <c r="D194" s="305" t="str">
        <f ca="1">IF(ISERROR(OFFSET('HARGA SATUAN'!$D$6,MATCH(RAB!C194,'HARGA SATUAN'!$C$7:$C$1495,0),0)),"",OFFSET('HARGA SATUAN'!$D$6,MATCH(RAB!C194,'HARGA SATUAN'!$C$7:$C$1495,0),0))</f>
        <v>JASA</v>
      </c>
      <c r="E194" s="306" t="str">
        <f ca="1">IF(B194="+","Unit",IF(ISERROR(OFFSET('HARGA SATUAN'!$E$6,MATCH(RAB!C194,'HARGA SATUAN'!$C$7:$C$1495,0),0)),"",OFFSET('HARGA SATUAN'!$E$6,MATCH(RAB!C194,'HARGA SATUAN'!$C$7:$C$1495,0),0)))</f>
        <v>Unit</v>
      </c>
      <c r="F194" s="451">
        <f>F189*1</f>
        <v>1</v>
      </c>
      <c r="G194" s="307">
        <f ca="1">IF(ISERROR(OFFSET('HARGA SATUAN'!$I$6,MATCH(RAB!C194,'HARGA SATUAN'!$C$7:$C$1495,0),0)),0,OFFSET('HARGA SATUAN'!$I$6,MATCH(RAB!C194,'HARGA SATUAN'!$C$7:$C$1495,0),0))</f>
        <v>56400</v>
      </c>
      <c r="H194" s="308">
        <f t="shared" ca="1" si="25"/>
        <v>0</v>
      </c>
      <c r="I194" s="308">
        <f t="shared" ca="1" si="26"/>
        <v>0</v>
      </c>
      <c r="J194" s="308">
        <f t="shared" ca="1" si="27"/>
        <v>56400</v>
      </c>
      <c r="K194" s="309">
        <f t="shared" ca="1" si="28"/>
        <v>56400</v>
      </c>
      <c r="L194" s="316"/>
      <c r="M194" s="289" t="str">
        <f t="shared" ca="1" si="20"/>
        <v/>
      </c>
      <c r="N194" s="316"/>
      <c r="O194" s="310"/>
      <c r="P194" s="310"/>
      <c r="Q194" s="291"/>
      <c r="R194" s="283"/>
      <c r="S194" s="311"/>
      <c r="T194" s="288"/>
      <c r="U194" s="288"/>
      <c r="V194" s="288"/>
    </row>
    <row r="195" spans="1:22" s="317" customFormat="1">
      <c r="A195" s="283"/>
      <c r="B195" s="418" t="s">
        <v>22</v>
      </c>
      <c r="C195" s="421" t="s">
        <v>802</v>
      </c>
      <c r="D195" s="305" t="str">
        <f ca="1">IF(ISERROR(OFFSET('HARGA SATUAN'!$D$6,MATCH(RAB!C195,'HARGA SATUAN'!$C$7:$C$1495,0),0)),"",OFFSET('HARGA SATUAN'!$D$6,MATCH(RAB!C195,'HARGA SATUAN'!$C$7:$C$1495,0),0))</f>
        <v/>
      </c>
      <c r="E195" s="306">
        <f ca="1">IF(B195="+","Unit",IF(ISERROR(OFFSET('HARGA SATUAN'!$E$6,MATCH(RAB!C195,'HARGA SATUAN'!$C$7:$C$1495,0),0)),"",OFFSET('HARGA SATUAN'!$E$6,MATCH(RAB!C195,'HARGA SATUAN'!$C$7:$C$1495,0),0)))</f>
        <v>0</v>
      </c>
      <c r="F195" s="451"/>
      <c r="G195" s="307">
        <f ca="1">IF(ISERROR(OFFSET('HARGA SATUAN'!$I$6,MATCH(RAB!C195,'HARGA SATUAN'!$C$7:$C$1495,0),0)),0,OFFSET('HARGA SATUAN'!$I$6,MATCH(RAB!C195,'HARGA SATUAN'!$C$7:$C$1495,0),0))</f>
        <v>0</v>
      </c>
      <c r="H195" s="308">
        <f t="shared" ca="1" si="25"/>
        <v>0</v>
      </c>
      <c r="I195" s="308">
        <f t="shared" ca="1" si="26"/>
        <v>0</v>
      </c>
      <c r="J195" s="308">
        <f t="shared" ca="1" si="27"/>
        <v>0</v>
      </c>
      <c r="K195" s="309">
        <f t="shared" ca="1" si="28"/>
        <v>0</v>
      </c>
      <c r="L195" s="316"/>
      <c r="M195" s="289"/>
      <c r="N195" s="316"/>
      <c r="O195" s="310"/>
      <c r="P195" s="310"/>
      <c r="Q195" s="291"/>
      <c r="R195" s="283"/>
      <c r="S195" s="311"/>
      <c r="T195" s="288"/>
      <c r="U195" s="288"/>
      <c r="V195" s="288"/>
    </row>
    <row r="196" spans="1:22" s="317" customFormat="1">
      <c r="A196" s="283"/>
      <c r="B196" s="318"/>
      <c r="C196" s="109"/>
      <c r="D196" s="305" t="str">
        <f ca="1">IF(ISERROR(OFFSET('HARGA SATUAN'!$D$6,MATCH(RAB!C196,'HARGA SATUAN'!$C$7:$C$1495,0),0)),"",OFFSET('HARGA SATUAN'!$D$6,MATCH(RAB!C196,'HARGA SATUAN'!$C$7:$C$1495,0),0))</f>
        <v/>
      </c>
      <c r="E196" s="306" t="str">
        <f ca="1">IF(B196="+","Unit",IF(ISERROR(OFFSET('HARGA SATUAN'!$E$6,MATCH(RAB!C196,'HARGA SATUAN'!$C$7:$C$1495,0),0)),"",OFFSET('HARGA SATUAN'!$E$6,MATCH(RAB!C196,'HARGA SATUAN'!$C$7:$C$1495,0),0)))</f>
        <v/>
      </c>
      <c r="F196" s="451"/>
      <c r="G196" s="307">
        <f ca="1">IF(ISERROR(OFFSET('HARGA SATUAN'!$I$6,MATCH(RAB!C196,'HARGA SATUAN'!$C$7:$C$1495,0),0)),0,OFFSET('HARGA SATUAN'!$I$6,MATCH(RAB!C196,'HARGA SATUAN'!$C$7:$C$1495,0),0))</f>
        <v>0</v>
      </c>
      <c r="H196" s="308">
        <f t="shared" ca="1" si="25"/>
        <v>0</v>
      </c>
      <c r="I196" s="308">
        <f t="shared" ca="1" si="26"/>
        <v>0</v>
      </c>
      <c r="J196" s="308">
        <f t="shared" ca="1" si="27"/>
        <v>0</v>
      </c>
      <c r="K196" s="309">
        <f t="shared" ca="1" si="28"/>
        <v>0</v>
      </c>
      <c r="L196" s="316"/>
      <c r="M196" s="289"/>
      <c r="N196" s="316"/>
      <c r="O196" s="310"/>
      <c r="P196" s="310"/>
      <c r="Q196" s="291"/>
      <c r="R196" s="283"/>
      <c r="S196" s="311"/>
      <c r="T196" s="288"/>
      <c r="U196" s="288"/>
      <c r="V196" s="288"/>
    </row>
    <row r="197" spans="1:22">
      <c r="B197" s="320"/>
      <c r="C197" s="109"/>
      <c r="D197" s="305" t="str">
        <f ca="1">IF(ISERROR(OFFSET('HARGA SATUAN'!$D$6,MATCH(RAB!C197,'HARGA SATUAN'!$C$7:$C$1495,0),0)),"",OFFSET('HARGA SATUAN'!$D$6,MATCH(RAB!C197,'HARGA SATUAN'!$C$7:$C$1495,0),0))</f>
        <v/>
      </c>
      <c r="E197" s="306" t="str">
        <f ca="1">IF(B197="+","Unit",IF(ISERROR(OFFSET('HARGA SATUAN'!$E$6,MATCH(RAB!C197,'HARGA SATUAN'!$C$7:$C$1495,0),0)),"",OFFSET('HARGA SATUAN'!$E$6,MATCH(RAB!C197,'HARGA SATUAN'!$C$7:$C$1495,0),0)))</f>
        <v/>
      </c>
      <c r="F197" s="315"/>
      <c r="G197" s="307">
        <f ca="1">IF(ISERROR(OFFSET('HARGA SATUAN'!$I$6,MATCH(RAB!C197,'HARGA SATUAN'!$C$7:$C$1495,0),0)),0,OFFSET('HARGA SATUAN'!$I$6,MATCH(RAB!C197,'HARGA SATUAN'!$C$7:$C$1495,0),0))</f>
        <v>0</v>
      </c>
      <c r="H197" s="308">
        <f t="shared" ca="1" si="25"/>
        <v>0</v>
      </c>
      <c r="I197" s="308">
        <f t="shared" ca="1" si="26"/>
        <v>0</v>
      </c>
      <c r="J197" s="308">
        <f t="shared" ca="1" si="27"/>
        <v>0</v>
      </c>
      <c r="K197" s="309">
        <f t="shared" ca="1" si="28"/>
        <v>0</v>
      </c>
      <c r="M197" s="289" t="str">
        <f ca="1">IF(AND(F197&gt;0,F194=0),"",IF(AND(ISBLANK(F197)=FALSE,K197=0),"WARNING",""))</f>
        <v/>
      </c>
    </row>
    <row r="198" spans="1:22">
      <c r="B198" s="321"/>
      <c r="C198" s="322" t="s">
        <v>475</v>
      </c>
      <c r="D198" s="305" t="str">
        <f ca="1">IF(ISERROR(OFFSET('HARGA SATUAN'!$D$6,MATCH(RAB!C198,'HARGA SATUAN'!$C$7:$C$1495,0),0)),"",OFFSET('HARGA SATUAN'!$D$6,MATCH(RAB!C198,'HARGA SATUAN'!$C$7:$C$1495,0),0))</f>
        <v/>
      </c>
      <c r="E198" s="306" t="str">
        <f ca="1">IF(B198="+","Unit",IF(ISERROR(OFFSET('HARGA SATUAN'!$E$6,MATCH(RAB!C198,'HARGA SATUAN'!$C$7:$C$1495,0),0)),"",OFFSET('HARGA SATUAN'!$E$6,MATCH(RAB!C198,'HARGA SATUAN'!$C$7:$C$1495,0),0)))</f>
        <v/>
      </c>
      <c r="F198" s="315"/>
      <c r="G198" s="307">
        <f ca="1">IF(ISERROR(OFFSET('HARGA SATUAN'!$I$6,MATCH(RAB!C198,'HARGA SATUAN'!$C$7:$C$1495,0),0)),0,OFFSET('HARGA SATUAN'!$I$6,MATCH(RAB!C198,'HARGA SATUAN'!$C$7:$C$1495,0),0))</f>
        <v>0</v>
      </c>
      <c r="H198" s="308">
        <f ca="1">IF(OR(D198="MDU",D198="MDU-KD"),(IF($O$3="RAB NON MDU","PLN KD",G198*F198)),0)</f>
        <v>0</v>
      </c>
      <c r="I198" s="308">
        <f ca="1">IF(D198="HDW",G198*F198,0)</f>
        <v>0</v>
      </c>
      <c r="J198" s="308">
        <f ca="1">IF(D198="JASA",G198*F198,0)</f>
        <v>0</v>
      </c>
      <c r="K198" s="309">
        <f ca="1">SUM(H198:J198)</f>
        <v>0</v>
      </c>
      <c r="M198" s="289" t="e">
        <f>IF(AND(F198&gt;0,#REF!=0),"",IF(AND(ISBLANK(F198)=FALSE,K198=0),"WARNING",""))</f>
        <v>#REF!</v>
      </c>
    </row>
    <row r="199" spans="1:22">
      <c r="B199" s="324">
        <v>1</v>
      </c>
      <c r="C199" s="325" t="s">
        <v>1091</v>
      </c>
      <c r="D199" s="326" t="str">
        <f ca="1">IF(ISERROR(OFFSET('HARGA SATUAN'!$D$6,MATCH(RAB!C199,'HARGA SATUAN'!$C$7:$C$1495,0),0)),"",OFFSET('HARGA SATUAN'!$D$6,MATCH(RAB!C199,'HARGA SATUAN'!$C$7:$C$1495,0),0))</f>
        <v>JASA</v>
      </c>
      <c r="E199" s="327" t="str">
        <f ca="1">IF(ISERROR(OFFSET('HARGA SATUAN'!$E$6,MATCH(RAB!C199,'HARGA SATUAN'!$C$7:$C$1495,0),0)),"",OFFSET('HARGA SATUAN'!$E$6,MATCH(RAB!C199,'HARGA SATUAN'!$C$7:$C$1495,0),0))</f>
        <v>Lot</v>
      </c>
      <c r="F199" s="328">
        <v>1</v>
      </c>
      <c r="G199" s="329">
        <f ca="1">IF(ISERROR(OFFSET('HARGA SATUAN'!$I$6,MATCH(RAB!C199,'HARGA SATUAN'!$C$7:$C$1495,0),0)),0,OFFSET('HARGA SATUAN'!$I$6,MATCH(RAB!C199,'HARGA SATUAN'!$C$7:$C$1495,0),0))</f>
        <v>2.5000000000000001E-2</v>
      </c>
      <c r="H199" s="330">
        <f ca="1">SUM(H14:H198)*G199</f>
        <v>4639146.25</v>
      </c>
      <c r="I199" s="330">
        <f ca="1">SUM(I14:I198)*G199</f>
        <v>1172763.8516666668</v>
      </c>
      <c r="J199" s="330">
        <f ca="1">SUM(J14:J198)*G199</f>
        <v>632562.40000000014</v>
      </c>
      <c r="K199" s="330">
        <f ca="1">SUM(K14:K198)*G199</f>
        <v>6444472.5016666669</v>
      </c>
      <c r="M199" s="289" t="str">
        <f>IF(AND(F199&gt;0,F198=0),"",IF(AND(ISBLANK(F199)=FALSE,K199=0),"WARNING",""))</f>
        <v/>
      </c>
    </row>
    <row r="200" spans="1:22">
      <c r="B200" s="331"/>
      <c r="C200" s="332"/>
      <c r="D200" s="305" t="str">
        <f ca="1">IF(ISERROR(OFFSET('HARGA SATUAN'!$D$6,MATCH(RAB!C200,'HARGA SATUAN'!$C$7:$C$1495,0),0)),"",OFFSET('HARGA SATUAN'!$D$6,MATCH(RAB!C200,'HARGA SATUAN'!$C$7:$C$1495,0),0))</f>
        <v/>
      </c>
      <c r="E200" s="306" t="str">
        <f ca="1">IF(ISERROR(OFFSET('HARGA SATUAN'!$E$6,MATCH(RAB!C200,'HARGA SATUAN'!$C$7:$C$1495,0),0)),"",OFFSET('HARGA SATUAN'!$E$6,MATCH(RAB!C200,'HARGA SATUAN'!$C$7:$C$1495,0),0))</f>
        <v/>
      </c>
      <c r="F200" s="323"/>
      <c r="G200" s="307" t="str">
        <f ca="1">IF(ISERROR(OFFSET('HARGA SATUAN'!$I$6,MATCH(RAB!C200,'HARGA SATUAN'!$C$7:$C$1495,0),0)),"",OFFSET('HARGA SATUAN'!$I$6,MATCH(RAB!C200,'HARGA SATUAN'!$C$7:$C$1495,0),0))</f>
        <v/>
      </c>
      <c r="H200" s="308">
        <f ca="1">IF(OR(D200="MDU",D200="MDU-KD"),IF(G200="PLN",0,G200*F200),0)</f>
        <v>0</v>
      </c>
      <c r="I200" s="308">
        <f ca="1">IF(D200="HDW",IF(G200="PLN",0,G200*F200),0)</f>
        <v>0</v>
      </c>
      <c r="J200" s="308">
        <f ca="1">IF(D200="JASA",IF(G200="PLN",0,G200*F200),0)</f>
        <v>0</v>
      </c>
      <c r="K200" s="309">
        <f ca="1">SUM(H200:J200)</f>
        <v>0</v>
      </c>
    </row>
    <row r="201" spans="1:22" ht="15.75" thickBot="1">
      <c r="B201" s="333"/>
      <c r="C201" s="334"/>
      <c r="D201" s="335"/>
      <c r="E201" s="336"/>
      <c r="F201" s="336"/>
      <c r="G201" s="336"/>
      <c r="H201" s="337"/>
      <c r="I201" s="337"/>
      <c r="J201" s="337"/>
      <c r="K201" s="338"/>
    </row>
    <row r="202" spans="1:22">
      <c r="B202" s="339"/>
      <c r="C202" s="642" t="s">
        <v>1008</v>
      </c>
      <c r="D202" s="642"/>
      <c r="E202" s="642"/>
      <c r="F202" s="642"/>
      <c r="G202" s="340" t="s">
        <v>9</v>
      </c>
      <c r="H202" s="341">
        <f ca="1">SUM(H14:H200)</f>
        <v>190204996.25</v>
      </c>
      <c r="I202" s="341">
        <f ca="1">SUM(I14:I200)</f>
        <v>48083317.918333337</v>
      </c>
      <c r="J202" s="341">
        <f ca="1">SUM(J14:J200)</f>
        <v>25935058.400000002</v>
      </c>
      <c r="K202" s="341">
        <f ca="1">SUM(K14:K200)</f>
        <v>264223372.56833333</v>
      </c>
    </row>
    <row r="203" spans="1:22">
      <c r="B203" s="342"/>
      <c r="C203" s="625" t="s">
        <v>1455</v>
      </c>
      <c r="D203" s="625"/>
      <c r="E203" s="625"/>
      <c r="F203" s="625"/>
      <c r="G203" s="343" t="s">
        <v>9</v>
      </c>
      <c r="H203" s="344">
        <f ca="1">H202*0.11</f>
        <v>20922549.587499999</v>
      </c>
      <c r="I203" s="344">
        <f ca="1">I202*0.11</f>
        <v>5289164.9710166669</v>
      </c>
      <c r="J203" s="344">
        <f ca="1">J202*0.11</f>
        <v>2852856.4240000001</v>
      </c>
      <c r="K203" s="344">
        <f ca="1">K202*0.11</f>
        <v>29064570.982516665</v>
      </c>
    </row>
    <row r="204" spans="1:22" ht="15.75" thickBot="1">
      <c r="B204" s="342"/>
      <c r="C204" s="622" t="s">
        <v>463</v>
      </c>
      <c r="D204" s="622"/>
      <c r="E204" s="622"/>
      <c r="F204" s="622"/>
      <c r="G204" s="345" t="s">
        <v>9</v>
      </c>
      <c r="H204" s="346">
        <f ca="1">SUM(H202:H203)</f>
        <v>211127545.83750001</v>
      </c>
      <c r="I204" s="346">
        <f ca="1">SUM(I202:I203)</f>
        <v>53372482.889350004</v>
      </c>
      <c r="J204" s="345">
        <f ca="1">SUM(J202:J203)</f>
        <v>28787914.824000001</v>
      </c>
      <c r="K204" s="345">
        <f ca="1">SUM(K202:K203)</f>
        <v>293287943.55084997</v>
      </c>
      <c r="M204" s="410">
        <v>201265205.30690998</v>
      </c>
    </row>
    <row r="205" spans="1:22">
      <c r="B205" s="626" t="str">
        <f ca="1">"Terbilang : "&amp;PROPER(IF(K204=0,"nol",IF(K204&lt;0,"minus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IF(--MID(TEXT(ABS(K204),"000000000000000"),1,3)=0,"",MID(TEXT(ABS(K204),"000000000000000"),1,1)&amp;" ratus "&amp;MID(TEXT(ABS(K204),"000000000000000"),2,1)&amp;" puluh "&amp;MID(TEXT(ABS(K204),"000000000000000"),3,1)&amp;" trilyun ")&amp; IF(--MID(TEXT(ABS(K204),"000000000000000"),4,3)=0,"",MID(TEXT(ABS(K204),"000000000000000"),4,1)&amp;" ratus "&amp;MID(TEXT(ABS(K204),"000000000000000"),5,1)&amp;" puluh "&amp;MID(TEXT(ABS(K204),"000000000000000"),6,1)&amp;" milyar ")&amp; IF(--MID(TEXT(ABS(K204),"000000000000000"),7,3)=0,"",MID(TEXT(ABS(K204),"000000000000000"),7,1)&amp;" ratus "&amp;MID(TEXT(ABS(K204),"000000000000000"),8,1)&amp;" puluh "&amp;MID(TEXT(ABS(K204),"000000000000000"),9,1)&amp;" juta ")&amp; IF(--MID(TEXT(ABS(K204),"000000000000000"),10,3)=0,"",IF(--MID(TEXT(ABS(K204),"000000000000000"),10,3)=1,"*",MID(TEXT(ABS(K204),"000000000000000"),10,1)&amp;" ratus "&amp;MID(TEXT(ABS(K204),"000000000000000"),11,1)&amp;" puluh ")&amp;MID(TEXT(ABS(K204),"000000000000000"),12,1)&amp;" ribu ")&amp; IF(--MID(TEXT(ABS(K204),"000000000000000"),13,3)=0,"",MID(TEXT(ABS(K204),"000000000000000"),13,1)&amp;" ratus "&amp;MID(TEXT(ABS(K204),"000000000000000"),14,1)&amp;" puluh "&amp;MID(TEXT(ABS(K204),"000000000000000"),15,1)),1,"satu"),2,"dua"),3,"tiga"),4,"empat"),5,"lima"),6,"enam"),7,"tujuh"),8,"delapan"),9,"sembilan"),"0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Sembilan Puluh Tiga Juta Dua Ratus Delapan Puluh Tujuh Ribu Sembilan Ratus Empat Puluh Empat Rupiah</v>
      </c>
      <c r="C205" s="627"/>
      <c r="D205" s="627"/>
      <c r="E205" s="627"/>
      <c r="F205" s="627"/>
      <c r="G205" s="627"/>
      <c r="H205" s="627"/>
      <c r="I205" s="627"/>
      <c r="J205" s="627"/>
      <c r="K205" s="628"/>
    </row>
    <row r="206" spans="1:22">
      <c r="B206" s="629"/>
      <c r="C206" s="630"/>
      <c r="D206" s="630"/>
      <c r="E206" s="630"/>
      <c r="F206" s="630"/>
      <c r="G206" s="630"/>
      <c r="H206" s="630"/>
      <c r="I206" s="630"/>
      <c r="J206" s="630"/>
      <c r="K206" s="631"/>
    </row>
    <row r="207" spans="1:22" ht="15.75" thickBot="1">
      <c r="B207" s="347" t="str">
        <f>"Harga yang dipakai adalah "&amp;'HARGA SATUAN'!I5&amp;""</f>
        <v>Harga yang dipakai adalah RAB HSS 2023</v>
      </c>
      <c r="C207" s="348"/>
      <c r="D207" s="349"/>
      <c r="E207" s="349"/>
      <c r="F207" s="349"/>
      <c r="G207" s="350"/>
      <c r="H207" s="350"/>
      <c r="I207" s="350"/>
      <c r="J207" s="350"/>
      <c r="K207" s="351"/>
    </row>
    <row r="208" spans="1:22">
      <c r="C208" s="352"/>
      <c r="E208" s="354"/>
      <c r="F208" s="354"/>
      <c r="G208" s="354"/>
    </row>
    <row r="209" spans="3:11">
      <c r="C209" s="284"/>
      <c r="E209" s="354"/>
      <c r="F209" s="354"/>
      <c r="G209" s="354"/>
      <c r="H209" s="632"/>
      <c r="I209" s="632"/>
      <c r="J209" s="633"/>
      <c r="K209" s="633"/>
    </row>
    <row r="210" spans="3:11">
      <c r="C210" s="284"/>
      <c r="E210" s="354"/>
      <c r="F210" s="354"/>
      <c r="G210" s="354"/>
      <c r="H210" s="355"/>
      <c r="I210" s="621" t="s">
        <v>1616</v>
      </c>
      <c r="J210" s="621"/>
      <c r="K210" s="621"/>
    </row>
    <row r="211" spans="3:11">
      <c r="C211" s="284"/>
      <c r="E211" s="354"/>
      <c r="F211" s="354"/>
      <c r="G211" s="354"/>
      <c r="H211" s="355"/>
      <c r="I211" s="621" t="s">
        <v>1611</v>
      </c>
      <c r="J211" s="621"/>
      <c r="K211" s="621"/>
    </row>
    <row r="212" spans="3:11">
      <c r="C212" s="284"/>
      <c r="E212" s="354"/>
      <c r="F212" s="354"/>
      <c r="G212" s="354"/>
      <c r="H212" s="356"/>
      <c r="I212" s="357"/>
      <c r="J212" s="357"/>
      <c r="K212" s="357"/>
    </row>
    <row r="213" spans="3:11">
      <c r="C213" s="284"/>
      <c r="E213" s="354"/>
      <c r="F213" s="354"/>
      <c r="G213" s="354"/>
      <c r="H213" s="356"/>
      <c r="I213" s="356"/>
      <c r="J213" s="356"/>
      <c r="K213" s="356"/>
    </row>
    <row r="214" spans="3:11">
      <c r="C214" s="284"/>
      <c r="E214" s="354"/>
      <c r="F214" s="354"/>
      <c r="G214" s="354"/>
      <c r="H214" s="356"/>
      <c r="I214" s="356"/>
      <c r="J214" s="356"/>
      <c r="K214" s="356"/>
    </row>
    <row r="215" spans="3:11">
      <c r="C215" s="284"/>
      <c r="E215" s="354"/>
      <c r="F215" s="354"/>
      <c r="G215" s="354"/>
      <c r="H215" s="356"/>
      <c r="I215" s="356"/>
      <c r="J215" s="356"/>
      <c r="K215" s="356"/>
    </row>
    <row r="216" spans="3:11">
      <c r="C216" s="284"/>
      <c r="E216" s="354"/>
      <c r="F216" s="354"/>
      <c r="G216" s="354"/>
      <c r="H216" s="358"/>
      <c r="I216" s="621" t="s">
        <v>1612</v>
      </c>
      <c r="J216" s="621"/>
      <c r="K216" s="621"/>
    </row>
    <row r="217" spans="3:11">
      <c r="C217" s="352"/>
      <c r="E217" s="354"/>
      <c r="F217" s="354"/>
      <c r="G217" s="354"/>
      <c r="H217" s="356"/>
      <c r="I217" s="356"/>
      <c r="J217" s="356"/>
      <c r="K217" s="356"/>
    </row>
    <row r="218" spans="3:11">
      <c r="C218" s="352"/>
      <c r="E218" s="354"/>
      <c r="F218" s="354"/>
      <c r="G218" s="354"/>
      <c r="H218" s="356"/>
      <c r="I218" s="356"/>
      <c r="J218" s="356"/>
      <c r="K218" s="356"/>
    </row>
    <row r="219" spans="3:11">
      <c r="C219" s="352"/>
      <c r="E219" s="354"/>
      <c r="F219" s="354"/>
      <c r="G219" s="354"/>
      <c r="H219" s="356"/>
      <c r="I219" s="356"/>
      <c r="J219" s="356"/>
      <c r="K219" s="356"/>
    </row>
  </sheetData>
  <sheetProtection sort="0" autoFilter="0"/>
  <protectedRanges>
    <protectedRange sqref="B181:C181 B15 B16:C16 B157:C177 B17:B20 B178:B180 B21:C154" name="Range1_6_1"/>
    <protectedRange sqref="C180" name="Range1_6_1_10"/>
    <protectedRange sqref="B188:C195 B182:B187 B196" name="Range1_6_1_11"/>
    <protectedRange sqref="B155:C156" name="Range1_6_1_15"/>
    <protectedRange sqref="C182:C185 C187" name="Range1_6_1_18"/>
    <protectedRange sqref="C186" name="Range1_1_3_3"/>
    <protectedRange sqref="C20" name="Range1_1_3_4"/>
    <protectedRange sqref="C196" name="Range1_1_3_5"/>
    <protectedRange sqref="C197" name="Range1_1_3_6"/>
    <protectedRange sqref="C178" name="Range1_1_3_7"/>
    <protectedRange sqref="C179" name="Range1_1_3_8"/>
    <protectedRange sqref="C17" name="Range1_1_3_9"/>
    <protectedRange sqref="C18" name="Range1_1_3_10"/>
    <protectedRange sqref="C19" name="Range1_1_3_11"/>
  </protectedRanges>
  <mergeCells count="22">
    <mergeCell ref="O3:P4"/>
    <mergeCell ref="B4:K4"/>
    <mergeCell ref="C202:F202"/>
    <mergeCell ref="B11:B13"/>
    <mergeCell ref="C11:C13"/>
    <mergeCell ref="D11:D13"/>
    <mergeCell ref="E11:E13"/>
    <mergeCell ref="F11:F13"/>
    <mergeCell ref="G11:G13"/>
    <mergeCell ref="I12:I13"/>
    <mergeCell ref="I211:K211"/>
    <mergeCell ref="I216:K216"/>
    <mergeCell ref="C204:F204"/>
    <mergeCell ref="G6:K6"/>
    <mergeCell ref="I210:K210"/>
    <mergeCell ref="C203:F203"/>
    <mergeCell ref="B205:K206"/>
    <mergeCell ref="H209:K209"/>
    <mergeCell ref="H11:K11"/>
    <mergeCell ref="H12:H13"/>
    <mergeCell ref="J12:J13"/>
    <mergeCell ref="K12:K13"/>
  </mergeCells>
  <phoneticPr fontId="135" type="noConversion"/>
  <conditionalFormatting sqref="C15">
    <cfRule type="cellIs" dxfId="21" priority="108" operator="equal">
      <formula>0</formula>
    </cfRule>
  </conditionalFormatting>
  <conditionalFormatting sqref="C20">
    <cfRule type="cellIs" dxfId="20" priority="24" operator="equal">
      <formula>0</formula>
    </cfRule>
  </conditionalFormatting>
  <conditionalFormatting sqref="C196:C197">
    <cfRule type="cellIs" dxfId="19" priority="17" operator="equal">
      <formula>0</formula>
    </cfRule>
  </conditionalFormatting>
  <conditionalFormatting sqref="E1:E3 E5:E13 H12:I12 O13 E199:G199 H199:K201 E200:H200 E201:F201 E68:K68 E53:E67 G53:K67 E85:K85 E69:E84 G69:K84 E105:K105 E86:E104 G86:K104 E106:E128 G106:K128 E22:E40 G22:K40 E41:K52 E129:K181 S14:V196 E14:K21">
    <cfRule type="cellIs" dxfId="18" priority="1152" stopIfTrue="1" operator="equal">
      <formula>0</formula>
    </cfRule>
  </conditionalFormatting>
  <conditionalFormatting sqref="E188:K198 E182:E187 G182:K187">
    <cfRule type="cellIs" dxfId="17" priority="19" stopIfTrue="1" operator="equal">
      <formula>0</formula>
    </cfRule>
  </conditionalFormatting>
  <conditionalFormatting sqref="G1:G13">
    <cfRule type="cellIs" dxfId="16" priority="77" stopIfTrue="1" operator="equal">
      <formula>0</formula>
    </cfRule>
  </conditionalFormatting>
  <conditionalFormatting sqref="G200:G65666 E205:E65666">
    <cfRule type="cellIs" dxfId="15" priority="286" stopIfTrue="1" operator="equal">
      <formula>0</formula>
    </cfRule>
  </conditionalFormatting>
  <conditionalFormatting sqref="C183">
    <cfRule type="cellIs" dxfId="14" priority="16" operator="equal">
      <formula>0</formula>
    </cfRule>
  </conditionalFormatting>
  <conditionalFormatting sqref="F182:F187">
    <cfRule type="cellIs" dxfId="13" priority="15" stopIfTrue="1" operator="equal">
      <formula>0</formula>
    </cfRule>
  </conditionalFormatting>
  <conditionalFormatting sqref="C178">
    <cfRule type="cellIs" dxfId="12" priority="14" operator="equal">
      <formula>0</formula>
    </cfRule>
  </conditionalFormatting>
  <conditionalFormatting sqref="C179">
    <cfRule type="cellIs" dxfId="11" priority="13" operator="equal">
      <formula>0</formula>
    </cfRule>
  </conditionalFormatting>
  <conditionalFormatting sqref="F53:F67">
    <cfRule type="cellIs" dxfId="10" priority="12" stopIfTrue="1" operator="equal">
      <formula>0</formula>
    </cfRule>
  </conditionalFormatting>
  <conditionalFormatting sqref="C80">
    <cfRule type="cellIs" dxfId="9" priority="11" stopIfTrue="1" operator="equal">
      <formula>0</formula>
    </cfRule>
  </conditionalFormatting>
  <conditionalFormatting sqref="F69:F84">
    <cfRule type="cellIs" dxfId="8" priority="10" stopIfTrue="1" operator="equal">
      <formula>0</formula>
    </cfRule>
  </conditionalFormatting>
  <conditionalFormatting sqref="F86:F104">
    <cfRule type="cellIs" dxfId="7" priority="9" stopIfTrue="1" operator="equal">
      <formula>0</formula>
    </cfRule>
  </conditionalFormatting>
  <conditionalFormatting sqref="F106:F110">
    <cfRule type="cellIs" dxfId="6" priority="7" stopIfTrue="1" operator="equal">
      <formula>0</formula>
    </cfRule>
  </conditionalFormatting>
  <conditionalFormatting sqref="C23">
    <cfRule type="cellIs" dxfId="5" priority="6" operator="equal">
      <formula>0</formula>
    </cfRule>
  </conditionalFormatting>
  <conditionalFormatting sqref="C27">
    <cfRule type="cellIs" dxfId="4" priority="5" operator="equal">
      <formula>0</formula>
    </cfRule>
  </conditionalFormatting>
  <conditionalFormatting sqref="F22:F40">
    <cfRule type="cellIs" dxfId="3" priority="4" stopIfTrue="1" operator="equal">
      <formula>0</formula>
    </cfRule>
  </conditionalFormatting>
  <conditionalFormatting sqref="C17">
    <cfRule type="cellIs" dxfId="2" priority="3" operator="equal">
      <formula>0</formula>
    </cfRule>
  </conditionalFormatting>
  <conditionalFormatting sqref="C18">
    <cfRule type="cellIs" dxfId="1" priority="2" operator="equal">
      <formula>0</formula>
    </cfRule>
  </conditionalFormatting>
  <conditionalFormatting sqref="C19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89:F196 F110 F178:F180 F145 F147:F176 C24:C26 F85 F105:F108 F16:F68 F129:F141 H14:K20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199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zoomScale="90" zoomScaleNormal="90" zoomScaleSheetLayoutView="100" workbookViewId="0">
      <selection activeCell="R38" sqref="R38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463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651" t="s">
        <v>1438</v>
      </c>
      <c r="X2" s="652"/>
      <c r="Y2" s="652"/>
      <c r="Z2" s="652"/>
      <c r="AA2" s="652"/>
      <c r="AB2" s="652"/>
      <c r="AC2" s="652"/>
      <c r="AD2" s="653"/>
    </row>
    <row r="3" spans="3:30">
      <c r="C3" s="465"/>
      <c r="W3" s="654"/>
      <c r="X3" s="655"/>
      <c r="Y3" s="655"/>
      <c r="Z3" s="655"/>
      <c r="AA3" s="655"/>
      <c r="AB3" s="655"/>
      <c r="AC3" s="655"/>
      <c r="AD3" s="656"/>
    </row>
    <row r="4" spans="3:30">
      <c r="C4" s="465"/>
      <c r="G4" s="466" t="s">
        <v>1636</v>
      </c>
      <c r="W4" s="467" t="s">
        <v>987</v>
      </c>
      <c r="AD4" s="468"/>
    </row>
    <row r="5" spans="3:30">
      <c r="C5" s="465"/>
      <c r="W5" s="469" t="s">
        <v>991</v>
      </c>
      <c r="X5" s="657" t="s">
        <v>990</v>
      </c>
      <c r="Y5" s="657"/>
      <c r="Z5" s="657"/>
      <c r="AA5" s="657" t="s">
        <v>988</v>
      </c>
      <c r="AB5" s="657"/>
      <c r="AC5" s="657" t="s">
        <v>989</v>
      </c>
      <c r="AD5" s="658"/>
    </row>
    <row r="6" spans="3:30">
      <c r="C6" s="465"/>
      <c r="W6" s="469">
        <v>1</v>
      </c>
      <c r="X6" s="657" t="s">
        <v>993</v>
      </c>
      <c r="Y6" s="657"/>
      <c r="Z6" s="657"/>
      <c r="AA6" s="657"/>
      <c r="AB6" s="657"/>
      <c r="AC6" s="657"/>
      <c r="AD6" s="658"/>
    </row>
    <row r="7" spans="3:30">
      <c r="C7" s="465"/>
      <c r="W7" s="469">
        <v>2</v>
      </c>
      <c r="X7" s="657" t="s">
        <v>994</v>
      </c>
      <c r="Y7" s="657"/>
      <c r="Z7" s="657"/>
      <c r="AA7" s="657"/>
      <c r="AB7" s="657"/>
      <c r="AC7" s="657"/>
      <c r="AD7" s="658"/>
    </row>
    <row r="8" spans="3:30">
      <c r="C8" s="465"/>
      <c r="W8" s="469">
        <v>3</v>
      </c>
      <c r="X8" s="657" t="s">
        <v>995</v>
      </c>
      <c r="Y8" s="657"/>
      <c r="Z8" s="657"/>
      <c r="AA8" s="657"/>
      <c r="AB8" s="657"/>
      <c r="AC8" s="657"/>
      <c r="AD8" s="658"/>
    </row>
    <row r="9" spans="3:30">
      <c r="C9" s="465"/>
      <c r="W9" s="469">
        <v>4</v>
      </c>
      <c r="X9" s="657" t="s">
        <v>996</v>
      </c>
      <c r="Y9" s="657"/>
      <c r="Z9" s="657"/>
      <c r="AA9" s="657"/>
      <c r="AB9" s="657"/>
      <c r="AC9" s="657"/>
      <c r="AD9" s="658"/>
    </row>
    <row r="10" spans="3:30">
      <c r="C10" s="465"/>
      <c r="W10" s="469">
        <v>5</v>
      </c>
      <c r="X10" s="657" t="s">
        <v>997</v>
      </c>
      <c r="Y10" s="657"/>
      <c r="Z10" s="657"/>
      <c r="AA10" s="657"/>
      <c r="AB10" s="657"/>
      <c r="AC10" s="657"/>
      <c r="AD10" s="658"/>
    </row>
    <row r="11" spans="3:30">
      <c r="C11" s="465"/>
      <c r="W11" s="469">
        <v>6</v>
      </c>
      <c r="X11" s="657" t="s">
        <v>998</v>
      </c>
      <c r="Y11" s="657"/>
      <c r="Z11" s="657"/>
      <c r="AA11" s="657"/>
      <c r="AB11" s="657"/>
      <c r="AC11" s="657"/>
      <c r="AD11" s="658"/>
    </row>
    <row r="12" spans="3:30">
      <c r="C12" s="465"/>
      <c r="W12" s="469">
        <v>7</v>
      </c>
      <c r="X12" s="657" t="s">
        <v>999</v>
      </c>
      <c r="Y12" s="657"/>
      <c r="Z12" s="657"/>
      <c r="AA12" s="657"/>
      <c r="AB12" s="657"/>
      <c r="AC12" s="657"/>
      <c r="AD12" s="658"/>
    </row>
    <row r="13" spans="3:30" ht="12.75" customHeight="1">
      <c r="C13" s="465"/>
      <c r="W13" s="469">
        <v>8</v>
      </c>
      <c r="X13" s="657" t="s">
        <v>1000</v>
      </c>
      <c r="Y13" s="657"/>
      <c r="Z13" s="657"/>
      <c r="AA13" s="657"/>
      <c r="AB13" s="657"/>
      <c r="AC13" s="657"/>
      <c r="AD13" s="658"/>
    </row>
    <row r="14" spans="3:30">
      <c r="C14" s="465"/>
      <c r="W14" s="469">
        <v>9</v>
      </c>
      <c r="X14" s="657" t="s">
        <v>1001</v>
      </c>
      <c r="Y14" s="657"/>
      <c r="Z14" s="657"/>
      <c r="AA14" s="657"/>
      <c r="AB14" s="657"/>
      <c r="AC14" s="657"/>
      <c r="AD14" s="658"/>
    </row>
    <row r="15" spans="3:30">
      <c r="C15" s="465"/>
      <c r="W15" s="469">
        <v>10</v>
      </c>
      <c r="X15" s="657" t="s">
        <v>1010</v>
      </c>
      <c r="Y15" s="657"/>
      <c r="Z15" s="657"/>
      <c r="AA15" s="657"/>
      <c r="AB15" s="657"/>
      <c r="AC15" s="657"/>
      <c r="AD15" s="658"/>
    </row>
    <row r="16" spans="3:30">
      <c r="C16" s="465"/>
      <c r="W16" s="469">
        <v>11</v>
      </c>
      <c r="X16" s="657" t="s">
        <v>1454</v>
      </c>
      <c r="Y16" s="657"/>
      <c r="Z16" s="657"/>
      <c r="AA16" s="657"/>
      <c r="AB16" s="657"/>
      <c r="AC16" s="657"/>
      <c r="AD16" s="658"/>
    </row>
    <row r="17" spans="3:30">
      <c r="C17" s="465"/>
      <c r="S17" s="471"/>
      <c r="W17" s="469">
        <v>12</v>
      </c>
      <c r="X17" s="657" t="s">
        <v>1011</v>
      </c>
      <c r="Y17" s="657"/>
      <c r="Z17" s="657"/>
      <c r="AA17" s="657"/>
      <c r="AB17" s="657"/>
      <c r="AC17" s="657"/>
      <c r="AD17" s="658"/>
    </row>
    <row r="18" spans="3:30">
      <c r="C18" s="472"/>
      <c r="D18" s="473"/>
      <c r="E18" s="473"/>
      <c r="W18" s="469">
        <v>13</v>
      </c>
      <c r="X18" s="657"/>
      <c r="Y18" s="657"/>
      <c r="Z18" s="657"/>
      <c r="AA18" s="657"/>
      <c r="AB18" s="657"/>
      <c r="AC18" s="657"/>
      <c r="AD18" s="658"/>
    </row>
    <row r="19" spans="3:30">
      <c r="C19" s="465"/>
      <c r="W19" s="474"/>
      <c r="X19" s="667"/>
      <c r="Y19" s="667"/>
      <c r="Z19" s="667"/>
      <c r="AA19" s="667"/>
      <c r="AB19" s="667"/>
      <c r="AC19" s="667"/>
      <c r="AD19" s="668"/>
    </row>
    <row r="20" spans="3:30">
      <c r="C20" s="465"/>
      <c r="Q20" s="475"/>
      <c r="W20" s="669" t="s">
        <v>992</v>
      </c>
      <c r="X20" s="670"/>
      <c r="Y20" s="670"/>
      <c r="Z20" s="670"/>
      <c r="AA20" s="670"/>
      <c r="AB20" s="670"/>
      <c r="AC20" s="670"/>
      <c r="AD20" s="671"/>
    </row>
    <row r="21" spans="3:30">
      <c r="C21" s="465"/>
      <c r="W21" s="672" t="s">
        <v>985</v>
      </c>
      <c r="X21" s="673"/>
      <c r="Y21" s="673"/>
      <c r="Z21" s="674"/>
      <c r="AA21" s="675" t="s">
        <v>986</v>
      </c>
      <c r="AB21" s="676"/>
      <c r="AC21" s="676"/>
      <c r="AD21" s="677"/>
    </row>
    <row r="22" spans="3:30">
      <c r="C22" s="465"/>
      <c r="S22" s="476"/>
      <c r="W22" s="659" t="s">
        <v>1637</v>
      </c>
      <c r="X22" s="660"/>
      <c r="Y22" s="477" t="s">
        <v>1617</v>
      </c>
      <c r="Z22" s="478">
        <v>1</v>
      </c>
      <c r="AA22" s="661"/>
      <c r="AB22" s="662"/>
      <c r="AC22" s="479"/>
      <c r="AD22" s="480"/>
    </row>
    <row r="23" spans="3:30">
      <c r="C23" s="465"/>
      <c r="W23" s="659" t="s">
        <v>1618</v>
      </c>
      <c r="X23" s="660"/>
      <c r="Y23" s="477" t="s">
        <v>1617</v>
      </c>
      <c r="Z23" s="478">
        <v>1</v>
      </c>
      <c r="AA23" s="663"/>
      <c r="AB23" s="664"/>
      <c r="AC23" s="479"/>
      <c r="AD23" s="480"/>
    </row>
    <row r="24" spans="3:30">
      <c r="C24" s="465"/>
      <c r="W24" s="659" t="s">
        <v>1638</v>
      </c>
      <c r="X24" s="660"/>
      <c r="Y24" s="477" t="s">
        <v>1625</v>
      </c>
      <c r="Z24" s="478">
        <v>2360</v>
      </c>
      <c r="AA24" s="665"/>
      <c r="AB24" s="666"/>
      <c r="AC24" s="479"/>
      <c r="AD24" s="480"/>
    </row>
    <row r="25" spans="3:30">
      <c r="C25" s="465"/>
      <c r="W25" s="659" t="s">
        <v>1644</v>
      </c>
      <c r="X25" s="660"/>
      <c r="Y25" s="477" t="s">
        <v>1617</v>
      </c>
      <c r="Z25" s="478">
        <v>4</v>
      </c>
      <c r="AA25" s="663"/>
      <c r="AB25" s="664"/>
      <c r="AC25" s="479"/>
      <c r="AD25" s="480"/>
    </row>
    <row r="26" spans="3:30">
      <c r="C26" s="465"/>
      <c r="W26" s="680" t="s">
        <v>1639</v>
      </c>
      <c r="X26" s="681"/>
      <c r="Y26" s="477" t="s">
        <v>1617</v>
      </c>
      <c r="Z26" s="478">
        <v>1</v>
      </c>
      <c r="AA26" s="663"/>
      <c r="AB26" s="664"/>
      <c r="AC26" s="479"/>
      <c r="AD26" s="480"/>
    </row>
    <row r="27" spans="3:30">
      <c r="C27" s="465"/>
      <c r="W27" s="680" t="s">
        <v>1626</v>
      </c>
      <c r="X27" s="681"/>
      <c r="Y27" s="477" t="s">
        <v>1617</v>
      </c>
      <c r="Z27" s="478">
        <v>2</v>
      </c>
      <c r="AA27" s="663"/>
      <c r="AB27" s="664"/>
      <c r="AC27" s="479"/>
      <c r="AD27" s="480"/>
    </row>
    <row r="28" spans="3:30">
      <c r="C28" s="465"/>
      <c r="W28" s="678" t="s">
        <v>1645</v>
      </c>
      <c r="X28" s="679"/>
      <c r="Y28" s="477" t="s">
        <v>1617</v>
      </c>
      <c r="Z28" s="478">
        <v>3</v>
      </c>
      <c r="AA28" s="663"/>
      <c r="AB28" s="664"/>
      <c r="AC28" s="479"/>
      <c r="AD28" s="480"/>
    </row>
    <row r="29" spans="3:30">
      <c r="C29" s="465"/>
      <c r="W29" s="680" t="s">
        <v>1631</v>
      </c>
      <c r="X29" s="681"/>
      <c r="Y29" s="477" t="s">
        <v>1617</v>
      </c>
      <c r="Z29" s="478">
        <v>1</v>
      </c>
      <c r="AA29" s="663"/>
      <c r="AB29" s="664"/>
      <c r="AC29" s="479"/>
      <c r="AD29" s="480"/>
    </row>
    <row r="30" spans="3:30" ht="11.25" customHeight="1">
      <c r="C30" s="465"/>
      <c r="W30" s="678" t="s">
        <v>1640</v>
      </c>
      <c r="X30" s="679"/>
      <c r="Y30" s="477" t="s">
        <v>1617</v>
      </c>
      <c r="Z30" s="478">
        <v>1</v>
      </c>
      <c r="AA30" s="663"/>
      <c r="AB30" s="664"/>
      <c r="AC30" s="479"/>
      <c r="AD30" s="480"/>
    </row>
    <row r="31" spans="3:30">
      <c r="C31" s="465"/>
      <c r="U31" s="485"/>
      <c r="W31" s="483" t="s">
        <v>1641</v>
      </c>
      <c r="X31" s="484"/>
      <c r="Y31" s="477" t="s">
        <v>1617</v>
      </c>
      <c r="Z31" s="478">
        <v>1</v>
      </c>
      <c r="AA31" s="663"/>
      <c r="AB31" s="664"/>
      <c r="AC31" s="479"/>
      <c r="AD31" s="480"/>
    </row>
    <row r="32" spans="3:30">
      <c r="C32" s="465"/>
      <c r="U32" s="485"/>
      <c r="W32" s="481" t="s">
        <v>1632</v>
      </c>
      <c r="X32" s="482"/>
      <c r="Y32" s="477" t="s">
        <v>1617</v>
      </c>
      <c r="Z32" s="478">
        <v>3</v>
      </c>
      <c r="AA32" s="663"/>
      <c r="AB32" s="664"/>
      <c r="AC32" s="479"/>
      <c r="AD32" s="480"/>
    </row>
    <row r="33" spans="3:30">
      <c r="C33" s="465"/>
      <c r="W33" s="678" t="s">
        <v>1642</v>
      </c>
      <c r="X33" s="679"/>
      <c r="Y33" s="477" t="s">
        <v>1633</v>
      </c>
      <c r="Z33" s="478">
        <v>1</v>
      </c>
      <c r="AA33" s="663"/>
      <c r="AB33" s="664"/>
      <c r="AC33" s="479"/>
      <c r="AD33" s="480"/>
    </row>
    <row r="34" spans="3:30">
      <c r="C34" s="465"/>
      <c r="Q34" s="462" t="s">
        <v>1607</v>
      </c>
      <c r="W34" s="678" t="s">
        <v>1643</v>
      </c>
      <c r="X34" s="679"/>
      <c r="Y34" s="477" t="s">
        <v>1633</v>
      </c>
      <c r="Z34" s="478">
        <v>1</v>
      </c>
      <c r="AA34" s="663"/>
      <c r="AB34" s="664"/>
      <c r="AC34" s="479"/>
      <c r="AD34" s="480"/>
    </row>
    <row r="35" spans="3:30">
      <c r="C35" s="465"/>
      <c r="W35" s="678" t="s">
        <v>1646</v>
      </c>
      <c r="X35" s="679"/>
      <c r="Y35" s="477" t="s">
        <v>1617</v>
      </c>
      <c r="Z35" s="478">
        <v>2</v>
      </c>
      <c r="AA35" s="663"/>
      <c r="AB35" s="664"/>
      <c r="AC35" s="479"/>
      <c r="AD35" s="480"/>
    </row>
    <row r="36" spans="3:30">
      <c r="C36" s="465"/>
      <c r="W36" s="678" t="s">
        <v>1647</v>
      </c>
      <c r="X36" s="679"/>
      <c r="Y36" s="477" t="s">
        <v>1617</v>
      </c>
      <c r="Z36" s="478">
        <v>3</v>
      </c>
      <c r="AA36" s="663"/>
      <c r="AB36" s="664"/>
      <c r="AC36" s="479"/>
      <c r="AD36" s="480"/>
    </row>
    <row r="37" spans="3:30" ht="12.75" customHeight="1">
      <c r="C37" s="465"/>
      <c r="W37" s="483"/>
      <c r="X37" s="486"/>
      <c r="Y37" s="477"/>
      <c r="Z37" s="478"/>
      <c r="AA37" s="682"/>
      <c r="AB37" s="683"/>
      <c r="AC37" s="479"/>
      <c r="AD37" s="487"/>
    </row>
    <row r="38" spans="3:30" ht="12.75" customHeight="1">
      <c r="C38" s="465"/>
      <c r="W38" s="488"/>
      <c r="X38" s="489"/>
      <c r="Y38" s="477"/>
      <c r="Z38" s="490"/>
      <c r="AA38" s="684"/>
      <c r="AB38" s="685"/>
      <c r="AC38" s="479"/>
      <c r="AD38" s="487"/>
    </row>
    <row r="39" spans="3:30" ht="12" customHeight="1">
      <c r="C39" s="465"/>
      <c r="W39" s="488"/>
      <c r="X39" s="489"/>
      <c r="Y39" s="477"/>
      <c r="Z39" s="490"/>
      <c r="AA39" s="689"/>
      <c r="AB39" s="690"/>
      <c r="AC39" s="479"/>
      <c r="AD39" s="487"/>
    </row>
    <row r="40" spans="3:30" ht="12" customHeight="1">
      <c r="C40" s="465"/>
      <c r="W40" s="491"/>
      <c r="X40" s="492"/>
      <c r="Y40" s="493"/>
      <c r="Z40" s="490"/>
      <c r="AA40" s="494"/>
      <c r="AB40" s="495"/>
      <c r="AC40" s="496"/>
      <c r="AD40" s="497"/>
    </row>
    <row r="41" spans="3:30" ht="12" customHeight="1">
      <c r="C41" s="465"/>
      <c r="W41" s="691"/>
      <c r="X41" s="692"/>
      <c r="Y41" s="498"/>
      <c r="Z41" s="499"/>
      <c r="AA41" s="693"/>
      <c r="AB41" s="694"/>
      <c r="AC41" s="496"/>
      <c r="AD41" s="497"/>
    </row>
    <row r="42" spans="3:30" ht="12" customHeight="1">
      <c r="C42" s="465"/>
      <c r="W42" s="695" t="s">
        <v>1624</v>
      </c>
      <c r="X42" s="696"/>
      <c r="Y42" s="696"/>
      <c r="Z42" s="696"/>
      <c r="AA42" s="696"/>
      <c r="AB42" s="696"/>
      <c r="AC42" s="696"/>
      <c r="AD42" s="697"/>
    </row>
    <row r="43" spans="3:30" ht="12" customHeight="1">
      <c r="C43" s="465"/>
      <c r="V43" s="500"/>
      <c r="W43" s="698"/>
      <c r="X43" s="699"/>
      <c r="Y43" s="699"/>
      <c r="Z43" s="699"/>
      <c r="AA43" s="699"/>
      <c r="AB43" s="699"/>
      <c r="AC43" s="699"/>
      <c r="AD43" s="700"/>
    </row>
    <row r="44" spans="3:30">
      <c r="C44" s="501"/>
      <c r="D44" s="502"/>
      <c r="E44" s="502"/>
      <c r="F44" s="502"/>
      <c r="G44" s="502"/>
      <c r="H44" s="502"/>
      <c r="I44" s="502"/>
      <c r="N44" s="502"/>
      <c r="O44" s="502"/>
      <c r="P44" s="502"/>
      <c r="Q44" s="502"/>
      <c r="R44" s="502"/>
      <c r="S44" s="502"/>
      <c r="T44" s="502"/>
      <c r="U44" s="502"/>
      <c r="V44" s="500"/>
      <c r="W44" s="686" t="s">
        <v>11</v>
      </c>
      <c r="X44" s="687"/>
      <c r="Y44" s="657"/>
      <c r="Z44" s="657"/>
      <c r="AA44" s="657"/>
      <c r="AB44" s="657"/>
      <c r="AC44" s="657"/>
      <c r="AD44" s="658"/>
    </row>
    <row r="45" spans="3:30">
      <c r="C45" s="501"/>
      <c r="D45" s="502"/>
      <c r="E45" s="502"/>
      <c r="F45" s="502"/>
      <c r="G45" s="502"/>
      <c r="H45" s="502"/>
      <c r="I45" s="502"/>
      <c r="N45" s="502"/>
      <c r="O45" s="502"/>
      <c r="P45" s="502"/>
      <c r="Q45" s="502"/>
      <c r="R45" s="502"/>
      <c r="S45" s="502"/>
      <c r="T45" s="502"/>
      <c r="U45" s="502"/>
      <c r="V45" s="500"/>
      <c r="W45" s="686" t="s">
        <v>984</v>
      </c>
      <c r="X45" s="687"/>
      <c r="Y45" s="657">
        <v>1</v>
      </c>
      <c r="Z45" s="657"/>
      <c r="AA45" s="657"/>
      <c r="AB45" s="657" t="s">
        <v>12</v>
      </c>
      <c r="AC45" s="657"/>
      <c r="AD45" s="470" t="s">
        <v>13</v>
      </c>
    </row>
    <row r="46" spans="3:30">
      <c r="C46" s="501"/>
      <c r="D46" s="502"/>
      <c r="E46" s="502"/>
      <c r="F46" s="502"/>
      <c r="G46" s="502"/>
      <c r="H46" s="502"/>
      <c r="I46" s="502"/>
      <c r="J46" s="502"/>
      <c r="K46" s="502"/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0"/>
      <c r="W46" s="686" t="s">
        <v>15</v>
      </c>
      <c r="X46" s="687"/>
      <c r="Y46" s="688"/>
      <c r="Z46" s="688"/>
      <c r="AA46" s="688"/>
      <c r="AB46" s="657" t="s">
        <v>16</v>
      </c>
      <c r="AC46" s="657"/>
      <c r="AD46" s="503"/>
    </row>
    <row r="47" spans="3:30">
      <c r="C47" s="501"/>
      <c r="D47" s="502"/>
      <c r="E47" s="502"/>
      <c r="F47" s="502"/>
      <c r="G47" s="502"/>
      <c r="H47" s="502"/>
      <c r="I47" s="502"/>
      <c r="J47" s="502"/>
      <c r="K47" s="502"/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0"/>
      <c r="W47" s="706" t="s">
        <v>17</v>
      </c>
      <c r="X47" s="706"/>
      <c r="Y47" s="706"/>
      <c r="Z47" s="706"/>
      <c r="AA47" s="706"/>
      <c r="AB47" s="706"/>
      <c r="AC47" s="706"/>
      <c r="AD47" s="707"/>
    </row>
    <row r="48" spans="3:30" ht="12.75" customHeight="1">
      <c r="C48" s="501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R48" s="502"/>
      <c r="S48" s="502"/>
      <c r="T48" s="502"/>
      <c r="U48" s="502"/>
      <c r="V48" s="500"/>
      <c r="W48" s="708" t="s">
        <v>1648</v>
      </c>
      <c r="X48" s="708"/>
      <c r="Y48" s="708"/>
      <c r="Z48" s="708"/>
      <c r="AA48" s="708"/>
      <c r="AB48" s="708"/>
      <c r="AC48" s="708"/>
      <c r="AD48" s="709"/>
    </row>
    <row r="49" spans="3:30">
      <c r="C49" s="501"/>
      <c r="D49" s="504"/>
      <c r="E49" s="502"/>
      <c r="F49" s="502"/>
      <c r="G49" s="502"/>
      <c r="I49" s="502"/>
      <c r="J49" s="502"/>
      <c r="K49" s="502"/>
      <c r="L49" s="502"/>
      <c r="M49" s="502"/>
      <c r="R49" s="502"/>
      <c r="S49" s="502"/>
      <c r="T49" s="502"/>
      <c r="U49" s="502"/>
      <c r="V49" s="505"/>
      <c r="W49" s="708"/>
      <c r="X49" s="708"/>
      <c r="Y49" s="708"/>
      <c r="Z49" s="708"/>
      <c r="AA49" s="708"/>
      <c r="AB49" s="708"/>
      <c r="AC49" s="708"/>
      <c r="AD49" s="709"/>
    </row>
    <row r="50" spans="3:30">
      <c r="C50" s="501"/>
      <c r="D50" s="506"/>
      <c r="E50" s="506"/>
      <c r="F50" s="506"/>
      <c r="G50" s="506"/>
      <c r="I50" s="502"/>
      <c r="J50" s="502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5"/>
      <c r="W50" s="708"/>
      <c r="X50" s="708"/>
      <c r="Y50" s="708"/>
      <c r="Z50" s="708"/>
      <c r="AA50" s="708"/>
      <c r="AB50" s="708"/>
      <c r="AC50" s="708"/>
      <c r="AD50" s="709"/>
    </row>
    <row r="51" spans="3:30" ht="19.5" customHeight="1">
      <c r="C51" s="501"/>
      <c r="D51" s="506"/>
      <c r="E51" s="506"/>
      <c r="F51" s="506"/>
      <c r="G51" s="506"/>
      <c r="I51" s="502"/>
      <c r="J51" s="502"/>
      <c r="K51" s="502"/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5"/>
      <c r="W51" s="710"/>
      <c r="X51" s="710"/>
      <c r="Y51" s="710"/>
      <c r="Z51" s="710"/>
      <c r="AA51" s="710"/>
      <c r="AB51" s="710"/>
      <c r="AC51" s="710"/>
      <c r="AD51" s="711"/>
    </row>
    <row r="52" spans="3:30">
      <c r="C52" s="501"/>
      <c r="D52" s="507"/>
      <c r="E52" s="507"/>
      <c r="F52" s="507"/>
      <c r="G52" s="507"/>
      <c r="I52" s="502"/>
      <c r="J52" s="502"/>
      <c r="K52" s="502"/>
      <c r="L52" s="422"/>
      <c r="M52" s="502"/>
      <c r="N52" s="502"/>
      <c r="O52" s="502"/>
      <c r="P52" s="502"/>
      <c r="Q52" s="502"/>
      <c r="R52" s="502"/>
      <c r="S52" s="502"/>
      <c r="T52" s="502"/>
      <c r="U52" s="502"/>
      <c r="V52" s="500"/>
      <c r="W52" s="701" t="s">
        <v>18</v>
      </c>
      <c r="X52" s="687"/>
      <c r="Y52" s="657" t="s">
        <v>1623</v>
      </c>
      <c r="Z52" s="657"/>
      <c r="AA52" s="657"/>
      <c r="AB52" s="657"/>
      <c r="AC52" s="657"/>
      <c r="AD52" s="658"/>
    </row>
    <row r="53" spans="3:30">
      <c r="C53" s="501"/>
      <c r="D53" s="506"/>
      <c r="E53" s="506"/>
      <c r="F53" s="506"/>
      <c r="G53" s="506"/>
      <c r="I53" s="502"/>
      <c r="J53" s="502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V53" s="500"/>
      <c r="W53" s="701" t="s">
        <v>19</v>
      </c>
      <c r="X53" s="687"/>
      <c r="Y53" s="657" t="s">
        <v>1622</v>
      </c>
      <c r="Z53" s="657"/>
      <c r="AA53" s="657"/>
      <c r="AB53" s="657"/>
      <c r="AC53" s="657"/>
      <c r="AD53" s="658"/>
    </row>
    <row r="54" spans="3:30">
      <c r="C54" s="501"/>
      <c r="D54" s="423"/>
      <c r="E54" s="423"/>
      <c r="F54" s="423"/>
      <c r="G54" s="423"/>
      <c r="I54" s="502"/>
      <c r="J54" s="502"/>
      <c r="K54" s="502"/>
      <c r="L54" s="502"/>
      <c r="M54" s="502"/>
      <c r="N54" s="502"/>
      <c r="O54" s="502"/>
      <c r="P54" s="502"/>
      <c r="Q54" s="502"/>
      <c r="R54" s="502"/>
      <c r="S54" s="502"/>
      <c r="T54" s="502"/>
      <c r="V54" s="500"/>
      <c r="W54" s="701" t="s">
        <v>20</v>
      </c>
      <c r="X54" s="687"/>
      <c r="Y54" s="657" t="s">
        <v>1622</v>
      </c>
      <c r="Z54" s="657"/>
      <c r="AA54" s="657"/>
      <c r="AB54" s="657"/>
      <c r="AC54" s="657"/>
      <c r="AD54" s="658"/>
    </row>
    <row r="55" spans="3:30" ht="12.75" thickBot="1">
      <c r="C55" s="508"/>
      <c r="D55" s="509"/>
      <c r="E55" s="509"/>
      <c r="F55" s="509"/>
      <c r="G55" s="509"/>
      <c r="H55" s="509"/>
      <c r="I55" s="509"/>
      <c r="J55" s="509"/>
      <c r="K55" s="509"/>
      <c r="L55" s="509"/>
      <c r="M55" s="509"/>
      <c r="N55" s="509"/>
      <c r="O55" s="509"/>
      <c r="P55" s="509"/>
      <c r="Q55" s="509"/>
      <c r="R55" s="509"/>
      <c r="S55" s="509"/>
      <c r="T55" s="509"/>
      <c r="U55" s="510"/>
      <c r="V55" s="511"/>
      <c r="W55" s="702" t="s">
        <v>21</v>
      </c>
      <c r="X55" s="703"/>
      <c r="Y55" s="704" t="s">
        <v>1621</v>
      </c>
      <c r="Z55" s="704"/>
      <c r="AA55" s="704"/>
      <c r="AB55" s="704"/>
      <c r="AC55" s="704"/>
      <c r="AD55" s="705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topLeftCell="A4" zoomScale="47" zoomScaleNormal="40" zoomScaleSheetLayoutView="103" workbookViewId="0">
      <selection activeCell="C6" sqref="C6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12" t="s">
        <v>1619</v>
      </c>
      <c r="D3" s="713"/>
      <c r="E3" s="713"/>
      <c r="F3" s="713"/>
      <c r="G3" s="713"/>
      <c r="H3" s="713"/>
      <c r="I3" s="713"/>
      <c r="J3" s="713"/>
      <c r="K3" s="713"/>
      <c r="L3" s="713"/>
      <c r="M3" s="713"/>
      <c r="N3" s="713"/>
      <c r="O3" s="713"/>
      <c r="P3" s="713"/>
      <c r="Q3" s="713"/>
      <c r="R3" s="713"/>
      <c r="S3" s="713"/>
      <c r="T3" s="713"/>
      <c r="U3" s="713"/>
      <c r="V3" s="713"/>
      <c r="W3" s="713"/>
      <c r="X3" s="713"/>
      <c r="Y3" s="713"/>
      <c r="Z3" s="713"/>
      <c r="AA3" s="713"/>
      <c r="AB3" s="714"/>
      <c r="AC3" s="430"/>
      <c r="AD3" s="428"/>
      <c r="AE3" s="428"/>
    </row>
    <row r="4" spans="2:31" ht="13.5" customHeight="1" thickBot="1">
      <c r="B4" s="429"/>
      <c r="C4" s="715"/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7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tabSelected="1" zoomScale="43" zoomScaleNormal="130" zoomScaleSheetLayoutView="40" workbookViewId="0">
      <selection activeCell="U63" sqref="U63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8" t="s">
        <v>1620</v>
      </c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20"/>
      <c r="AD4" s="206"/>
      <c r="AE4" s="205"/>
      <c r="AF4" s="205"/>
    </row>
    <row r="5" spans="2:32" ht="13.5" customHeight="1" thickBot="1">
      <c r="B5" s="204"/>
      <c r="C5" s="204"/>
      <c r="D5" s="721"/>
      <c r="E5" s="722"/>
      <c r="F5" s="722"/>
      <c r="G5" s="722"/>
      <c r="H5" s="722"/>
      <c r="I5" s="722"/>
      <c r="J5" s="722"/>
      <c r="K5" s="722"/>
      <c r="L5" s="722"/>
      <c r="M5" s="722"/>
      <c r="N5" s="722"/>
      <c r="O5" s="722"/>
      <c r="P5" s="722"/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2"/>
      <c r="AC5" s="723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2024-05-08T07:55:25Z</dcterms:modified>
</cp:coreProperties>
</file>