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B2A79052-73D4-4320-A056-0D47B3AE3CD5}" xr6:coauthVersionLast="47" xr6:coauthVersionMax="47" xr10:uidLastSave="{00000000-0000-0000-0000-000000000000}"/>
  <bookViews>
    <workbookView xWindow="-120" yWindow="-120" windowWidth="20730" windowHeight="11160" tabRatio="859" firstSheet="2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RAB!$A$1:$K$172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147" i="11"/>
  <c r="F146" i="11"/>
  <c r="F145" i="11"/>
  <c r="F144" i="11"/>
  <c r="F143" i="11"/>
  <c r="G141" i="11"/>
  <c r="G142" i="11"/>
  <c r="G143" i="11"/>
  <c r="G144" i="11"/>
  <c r="G145" i="11"/>
  <c r="G146" i="11"/>
  <c r="G147" i="11"/>
  <c r="D141" i="11"/>
  <c r="H141" i="11" s="1"/>
  <c r="E141" i="11"/>
  <c r="D142" i="11"/>
  <c r="J142" i="11" s="1"/>
  <c r="E142" i="11"/>
  <c r="D143" i="11"/>
  <c r="E143" i="11"/>
  <c r="D144" i="11"/>
  <c r="H144" i="11" s="1"/>
  <c r="E144" i="11"/>
  <c r="D145" i="11"/>
  <c r="H145" i="11" s="1"/>
  <c r="E145" i="11"/>
  <c r="D146" i="11"/>
  <c r="J146" i="11" s="1"/>
  <c r="E146" i="11"/>
  <c r="D147" i="11"/>
  <c r="I147" i="11" s="1"/>
  <c r="E147" i="11"/>
  <c r="G131" i="11"/>
  <c r="G132" i="11"/>
  <c r="G133" i="11"/>
  <c r="D131" i="11"/>
  <c r="E131" i="11"/>
  <c r="D132" i="11"/>
  <c r="J132" i="11" s="1"/>
  <c r="E132" i="11"/>
  <c r="D133" i="11"/>
  <c r="I133" i="11" s="1"/>
  <c r="E133" i="11"/>
  <c r="F107" i="11"/>
  <c r="F106" i="11"/>
  <c r="F105" i="11"/>
  <c r="F104" i="11"/>
  <c r="F101" i="11"/>
  <c r="F100" i="11"/>
  <c r="F99" i="11"/>
  <c r="F98" i="11"/>
  <c r="F97" i="11"/>
  <c r="F96" i="11"/>
  <c r="F93" i="11"/>
  <c r="F92" i="11"/>
  <c r="F91" i="11"/>
  <c r="F90" i="11"/>
  <c r="F87" i="11"/>
  <c r="F86" i="11"/>
  <c r="F85" i="11"/>
  <c r="F84" i="11"/>
  <c r="F81" i="11"/>
  <c r="F80" i="11"/>
  <c r="F79" i="11"/>
  <c r="F78" i="11"/>
  <c r="F77" i="11"/>
  <c r="F76" i="11"/>
  <c r="F75" i="11"/>
  <c r="F74" i="11"/>
  <c r="F73" i="11"/>
  <c r="F70" i="11"/>
  <c r="F69" i="11"/>
  <c r="F68" i="11"/>
  <c r="F67" i="11"/>
  <c r="F66" i="11"/>
  <c r="F65" i="11"/>
  <c r="F64" i="11"/>
  <c r="F63" i="11"/>
  <c r="F62" i="11"/>
  <c r="F61" i="11"/>
  <c r="F58" i="11"/>
  <c r="F57" i="11"/>
  <c r="F55" i="11"/>
  <c r="F54" i="11"/>
  <c r="F53" i="11"/>
  <c r="F52" i="11"/>
  <c r="F51" i="11"/>
  <c r="F50" i="11"/>
  <c r="F49" i="11"/>
  <c r="F48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D45" i="11"/>
  <c r="H45" i="11" s="1"/>
  <c r="E45" i="11"/>
  <c r="D46" i="11"/>
  <c r="J46" i="11" s="1"/>
  <c r="E46" i="11"/>
  <c r="D47" i="11"/>
  <c r="E47" i="11"/>
  <c r="D48" i="11"/>
  <c r="H48" i="11" s="1"/>
  <c r="E48" i="11"/>
  <c r="D49" i="11"/>
  <c r="E49" i="11"/>
  <c r="D50" i="11"/>
  <c r="J50" i="11" s="1"/>
  <c r="E50" i="11"/>
  <c r="D51" i="11"/>
  <c r="E51" i="11"/>
  <c r="D52" i="11"/>
  <c r="H52" i="11" s="1"/>
  <c r="E52" i="11"/>
  <c r="D53" i="11"/>
  <c r="E53" i="11"/>
  <c r="D54" i="11"/>
  <c r="J54" i="11" s="1"/>
  <c r="E54" i="11"/>
  <c r="D55" i="11"/>
  <c r="E55" i="11"/>
  <c r="D56" i="11"/>
  <c r="H56" i="11" s="1"/>
  <c r="E56" i="11"/>
  <c r="D57" i="11"/>
  <c r="E57" i="11"/>
  <c r="D58" i="11"/>
  <c r="J58" i="11" s="1"/>
  <c r="E58" i="11"/>
  <c r="D59" i="11"/>
  <c r="E59" i="11"/>
  <c r="D60" i="11"/>
  <c r="H60" i="11" s="1"/>
  <c r="E60" i="11"/>
  <c r="D61" i="11"/>
  <c r="E61" i="11"/>
  <c r="D62" i="11"/>
  <c r="J62" i="11" s="1"/>
  <c r="E62" i="11"/>
  <c r="D63" i="11"/>
  <c r="E63" i="11"/>
  <c r="D64" i="11"/>
  <c r="H64" i="11" s="1"/>
  <c r="E64" i="11"/>
  <c r="D65" i="11"/>
  <c r="E65" i="11"/>
  <c r="D66" i="11"/>
  <c r="J66" i="11" s="1"/>
  <c r="E66" i="11"/>
  <c r="D67" i="11"/>
  <c r="E67" i="11"/>
  <c r="D68" i="11"/>
  <c r="H68" i="11" s="1"/>
  <c r="E68" i="11"/>
  <c r="D69" i="11"/>
  <c r="E69" i="11"/>
  <c r="D70" i="11"/>
  <c r="E70" i="11"/>
  <c r="D71" i="11"/>
  <c r="E71" i="11"/>
  <c r="D72" i="11"/>
  <c r="H72" i="11" s="1"/>
  <c r="E72" i="11"/>
  <c r="D73" i="11"/>
  <c r="E73" i="11"/>
  <c r="D74" i="11"/>
  <c r="J74" i="11" s="1"/>
  <c r="E74" i="11"/>
  <c r="D75" i="11"/>
  <c r="E75" i="11"/>
  <c r="D76" i="11"/>
  <c r="H76" i="11" s="1"/>
  <c r="E76" i="11"/>
  <c r="D77" i="11"/>
  <c r="E77" i="11"/>
  <c r="D78" i="11"/>
  <c r="J78" i="11" s="1"/>
  <c r="E78" i="11"/>
  <c r="D79" i="11"/>
  <c r="E79" i="11"/>
  <c r="D80" i="11"/>
  <c r="H80" i="11" s="1"/>
  <c r="E80" i="11"/>
  <c r="D81" i="11"/>
  <c r="E81" i="11"/>
  <c r="D82" i="11"/>
  <c r="J82" i="11" s="1"/>
  <c r="E82" i="11"/>
  <c r="D83" i="11"/>
  <c r="E83" i="11"/>
  <c r="D84" i="11"/>
  <c r="H84" i="11" s="1"/>
  <c r="E84" i="11"/>
  <c r="D85" i="11"/>
  <c r="E85" i="11"/>
  <c r="D86" i="11"/>
  <c r="J86" i="11" s="1"/>
  <c r="E86" i="11"/>
  <c r="D87" i="11"/>
  <c r="E87" i="11"/>
  <c r="D88" i="11"/>
  <c r="H88" i="11" s="1"/>
  <c r="E88" i="11"/>
  <c r="D89" i="11"/>
  <c r="E89" i="11"/>
  <c r="D90" i="11"/>
  <c r="J90" i="11" s="1"/>
  <c r="E90" i="11"/>
  <c r="D91" i="11"/>
  <c r="E91" i="11"/>
  <c r="D92" i="11"/>
  <c r="H92" i="11" s="1"/>
  <c r="E92" i="11"/>
  <c r="D93" i="11"/>
  <c r="E93" i="11"/>
  <c r="D94" i="11"/>
  <c r="J94" i="11" s="1"/>
  <c r="E94" i="11"/>
  <c r="D95" i="11"/>
  <c r="E95" i="11"/>
  <c r="D96" i="11"/>
  <c r="H96" i="11" s="1"/>
  <c r="E96" i="11"/>
  <c r="D97" i="11"/>
  <c r="E97" i="11"/>
  <c r="D98" i="11"/>
  <c r="J98" i="11" s="1"/>
  <c r="E98" i="11"/>
  <c r="D99" i="11"/>
  <c r="E99" i="11"/>
  <c r="D100" i="11"/>
  <c r="H100" i="11" s="1"/>
  <c r="E100" i="11"/>
  <c r="D101" i="11"/>
  <c r="E101" i="11"/>
  <c r="D102" i="11"/>
  <c r="J102" i="11" s="1"/>
  <c r="E102" i="11"/>
  <c r="D103" i="11"/>
  <c r="E103" i="11"/>
  <c r="D104" i="11"/>
  <c r="H104" i="11" s="1"/>
  <c r="E104" i="11"/>
  <c r="D105" i="11"/>
  <c r="E105" i="11"/>
  <c r="D106" i="11"/>
  <c r="J106" i="11" s="1"/>
  <c r="E106" i="11"/>
  <c r="D107" i="11"/>
  <c r="E107" i="11"/>
  <c r="G17" i="11"/>
  <c r="G18" i="11"/>
  <c r="D17" i="11"/>
  <c r="H17" i="11" s="1"/>
  <c r="E17" i="11"/>
  <c r="D18" i="11"/>
  <c r="J18" i="11" s="1"/>
  <c r="E18" i="11"/>
  <c r="I143" i="11" l="1"/>
  <c r="H131" i="11"/>
  <c r="I142" i="11"/>
  <c r="I146" i="11"/>
  <c r="H147" i="11"/>
  <c r="J145" i="11"/>
  <c r="H143" i="11"/>
  <c r="J141" i="11"/>
  <c r="H146" i="11"/>
  <c r="I145" i="11"/>
  <c r="K145" i="11" s="1"/>
  <c r="J144" i="11"/>
  <c r="H142" i="11"/>
  <c r="I141" i="11"/>
  <c r="J147" i="11"/>
  <c r="I144" i="11"/>
  <c r="J143" i="11"/>
  <c r="J70" i="11"/>
  <c r="I132" i="11"/>
  <c r="H133" i="11"/>
  <c r="J131" i="11"/>
  <c r="H132" i="11"/>
  <c r="I131" i="11"/>
  <c r="J133" i="11"/>
  <c r="I98" i="11"/>
  <c r="I82" i="11"/>
  <c r="I66" i="11"/>
  <c r="I50" i="11"/>
  <c r="I94" i="11"/>
  <c r="I78" i="11"/>
  <c r="I62" i="11"/>
  <c r="I46" i="11"/>
  <c r="I106" i="11"/>
  <c r="I90" i="11"/>
  <c r="I74" i="11"/>
  <c r="I58" i="11"/>
  <c r="I102" i="11"/>
  <c r="I86" i="11"/>
  <c r="I70" i="11"/>
  <c r="I54" i="11"/>
  <c r="I107" i="11"/>
  <c r="H107" i="11"/>
  <c r="J107" i="11"/>
  <c r="H101" i="11"/>
  <c r="J101" i="11"/>
  <c r="I101" i="11"/>
  <c r="I95" i="11"/>
  <c r="H95" i="11"/>
  <c r="J95" i="11"/>
  <c r="I91" i="11"/>
  <c r="J91" i="11"/>
  <c r="H91" i="11"/>
  <c r="J85" i="11"/>
  <c r="H85" i="11"/>
  <c r="I85" i="11"/>
  <c r="I79" i="11"/>
  <c r="J79" i="11"/>
  <c r="H79" i="11"/>
  <c r="J73" i="11"/>
  <c r="H73" i="11"/>
  <c r="I73" i="11"/>
  <c r="J69" i="11"/>
  <c r="H69" i="11"/>
  <c r="I69" i="11"/>
  <c r="I63" i="11"/>
  <c r="J63" i="11"/>
  <c r="H63" i="11"/>
  <c r="I59" i="11"/>
  <c r="H59" i="11"/>
  <c r="J59" i="11"/>
  <c r="J57" i="11"/>
  <c r="H57" i="11"/>
  <c r="I57" i="11"/>
  <c r="I51" i="11"/>
  <c r="H51" i="11"/>
  <c r="J51" i="11"/>
  <c r="H49" i="11"/>
  <c r="J49" i="11"/>
  <c r="I49" i="11"/>
  <c r="I47" i="11"/>
  <c r="J47" i="11"/>
  <c r="H47" i="11"/>
  <c r="I103" i="11"/>
  <c r="H103" i="11"/>
  <c r="J103" i="11"/>
  <c r="H97" i="11"/>
  <c r="J97" i="11"/>
  <c r="I97" i="11"/>
  <c r="I87" i="11"/>
  <c r="J87" i="11"/>
  <c r="H87" i="11"/>
  <c r="J81" i="11"/>
  <c r="H81" i="11"/>
  <c r="I81" i="11"/>
  <c r="I75" i="11"/>
  <c r="J75" i="11"/>
  <c r="H75" i="11"/>
  <c r="I67" i="11"/>
  <c r="H67" i="11"/>
  <c r="J67" i="11"/>
  <c r="H53" i="11"/>
  <c r="I53" i="11"/>
  <c r="J53" i="11"/>
  <c r="J105" i="11"/>
  <c r="H105" i="11"/>
  <c r="I105" i="11"/>
  <c r="I99" i="11"/>
  <c r="J99" i="11"/>
  <c r="H99" i="11"/>
  <c r="J93" i="11"/>
  <c r="H93" i="11"/>
  <c r="I93" i="11"/>
  <c r="H89" i="11"/>
  <c r="J89" i="11"/>
  <c r="I89" i="11"/>
  <c r="I83" i="11"/>
  <c r="H83" i="11"/>
  <c r="J83" i="11"/>
  <c r="H77" i="11"/>
  <c r="I77" i="11"/>
  <c r="J77" i="11"/>
  <c r="I71" i="11"/>
  <c r="J71" i="11"/>
  <c r="H71" i="11"/>
  <c r="J65" i="11"/>
  <c r="H65" i="11"/>
  <c r="I65" i="11"/>
  <c r="H61" i="11"/>
  <c r="J61" i="11"/>
  <c r="I61" i="11"/>
  <c r="I55" i="11"/>
  <c r="J55" i="11"/>
  <c r="H55" i="11"/>
  <c r="J45" i="11"/>
  <c r="H106" i="11"/>
  <c r="J104" i="11"/>
  <c r="H102" i="11"/>
  <c r="K102" i="11" s="1"/>
  <c r="J100" i="11"/>
  <c r="H98" i="11"/>
  <c r="J96" i="11"/>
  <c r="H94" i="11"/>
  <c r="K94" i="11" s="1"/>
  <c r="J92" i="11"/>
  <c r="H90" i="11"/>
  <c r="J88" i="11"/>
  <c r="H86" i="11"/>
  <c r="J84" i="11"/>
  <c r="H82" i="11"/>
  <c r="J80" i="11"/>
  <c r="H78" i="11"/>
  <c r="J76" i="11"/>
  <c r="H74" i="11"/>
  <c r="K74" i="11" s="1"/>
  <c r="J72" i="11"/>
  <c r="H70" i="11"/>
  <c r="J68" i="11"/>
  <c r="H66" i="11"/>
  <c r="K66" i="11" s="1"/>
  <c r="J64" i="11"/>
  <c r="H62" i="11"/>
  <c r="J60" i="11"/>
  <c r="H58" i="11"/>
  <c r="J56" i="11"/>
  <c r="H54" i="11"/>
  <c r="J52" i="11"/>
  <c r="H50" i="11"/>
  <c r="J48" i="11"/>
  <c r="H46" i="11"/>
  <c r="I45" i="11"/>
  <c r="K45" i="11" s="1"/>
  <c r="I104" i="11"/>
  <c r="I100" i="11"/>
  <c r="I96" i="11"/>
  <c r="I92" i="11"/>
  <c r="K92" i="11" s="1"/>
  <c r="I88" i="11"/>
  <c r="I84" i="11"/>
  <c r="I80" i="11"/>
  <c r="I76" i="11"/>
  <c r="K76" i="11" s="1"/>
  <c r="I72" i="11"/>
  <c r="I68" i="11"/>
  <c r="I64" i="11"/>
  <c r="I60" i="11"/>
  <c r="K60" i="11" s="1"/>
  <c r="I52" i="11"/>
  <c r="I48" i="11"/>
  <c r="J17" i="11"/>
  <c r="I18" i="11"/>
  <c r="H18" i="11"/>
  <c r="I17" i="11"/>
  <c r="G148" i="11"/>
  <c r="G149" i="11"/>
  <c r="G150" i="11"/>
  <c r="D148" i="11"/>
  <c r="H148" i="11" s="1"/>
  <c r="E148" i="11"/>
  <c r="D149" i="11"/>
  <c r="J149" i="11" s="1"/>
  <c r="E149" i="11"/>
  <c r="D150" i="11"/>
  <c r="I150" i="11" s="1"/>
  <c r="E150" i="11"/>
  <c r="K142" i="11" l="1"/>
  <c r="K144" i="11"/>
  <c r="K147" i="11"/>
  <c r="K141" i="11"/>
  <c r="K146" i="11"/>
  <c r="K143" i="11"/>
  <c r="K132" i="11"/>
  <c r="K68" i="11"/>
  <c r="K84" i="11"/>
  <c r="K100" i="11"/>
  <c r="K98" i="11"/>
  <c r="K131" i="11"/>
  <c r="K133" i="11"/>
  <c r="K52" i="11"/>
  <c r="K57" i="11"/>
  <c r="K73" i="11"/>
  <c r="K95" i="11"/>
  <c r="K106" i="11"/>
  <c r="K62" i="11"/>
  <c r="K70" i="11"/>
  <c r="K50" i="11"/>
  <c r="K58" i="11"/>
  <c r="K85" i="11"/>
  <c r="K107" i="11"/>
  <c r="K46" i="11"/>
  <c r="K54" i="11"/>
  <c r="K91" i="11"/>
  <c r="K72" i="11"/>
  <c r="K88" i="11"/>
  <c r="K104" i="11"/>
  <c r="K82" i="11"/>
  <c r="K90" i="11"/>
  <c r="K48" i="11"/>
  <c r="K64" i="11"/>
  <c r="K80" i="11"/>
  <c r="K96" i="11"/>
  <c r="K78" i="11"/>
  <c r="K86" i="11"/>
  <c r="K55" i="11"/>
  <c r="K101" i="11"/>
  <c r="K83" i="11"/>
  <c r="K89" i="11"/>
  <c r="K93" i="11"/>
  <c r="K67" i="11"/>
  <c r="K87" i="11"/>
  <c r="K99" i="11"/>
  <c r="K105" i="11"/>
  <c r="K81" i="11"/>
  <c r="K61" i="11"/>
  <c r="K71" i="11"/>
  <c r="K97" i="11"/>
  <c r="K51" i="11"/>
  <c r="K63" i="11"/>
  <c r="K69" i="11"/>
  <c r="K77" i="11"/>
  <c r="K53" i="11"/>
  <c r="K75" i="11"/>
  <c r="K47" i="11"/>
  <c r="K79" i="11"/>
  <c r="K65" i="11"/>
  <c r="K103" i="11"/>
  <c r="K49" i="11"/>
  <c r="K59" i="11"/>
  <c r="K17" i="11"/>
  <c r="K18" i="11"/>
  <c r="I149" i="11"/>
  <c r="H150" i="11"/>
  <c r="J148" i="11"/>
  <c r="H149" i="11"/>
  <c r="I148" i="11"/>
  <c r="J150" i="11"/>
  <c r="K149" i="11" l="1"/>
  <c r="K148" i="11"/>
  <c r="K150" i="11"/>
  <c r="D16" i="11" l="1"/>
  <c r="D19" i="11"/>
  <c r="D20" i="11"/>
  <c r="F140" i="11"/>
  <c r="F138" i="11"/>
  <c r="F137" i="11"/>
  <c r="G135" i="11"/>
  <c r="G136" i="11"/>
  <c r="G137" i="11"/>
  <c r="G138" i="11"/>
  <c r="G139" i="11"/>
  <c r="G140" i="11"/>
  <c r="G151" i="11"/>
  <c r="D135" i="11"/>
  <c r="H135" i="11" s="1"/>
  <c r="E135" i="11"/>
  <c r="D136" i="11"/>
  <c r="J136" i="11" s="1"/>
  <c r="E136" i="11"/>
  <c r="D137" i="11"/>
  <c r="I137" i="11" s="1"/>
  <c r="E137" i="11"/>
  <c r="D138" i="11"/>
  <c r="E138" i="11"/>
  <c r="D139" i="11"/>
  <c r="E139" i="11"/>
  <c r="D140" i="11"/>
  <c r="E140" i="11"/>
  <c r="D151" i="11"/>
  <c r="J151" i="11" s="1"/>
  <c r="E151" i="11"/>
  <c r="D8" i="59"/>
  <c r="E16" i="11"/>
  <c r="E19" i="11"/>
  <c r="J140" i="11" l="1"/>
  <c r="H139" i="11"/>
  <c r="H138" i="11"/>
  <c r="I136" i="11"/>
  <c r="I140" i="11"/>
  <c r="H137" i="11"/>
  <c r="J135" i="11"/>
  <c r="J139" i="11"/>
  <c r="I151" i="11"/>
  <c r="H151" i="11"/>
  <c r="H140" i="11"/>
  <c r="I139" i="11"/>
  <c r="J138" i="11"/>
  <c r="H136" i="11"/>
  <c r="I135" i="11"/>
  <c r="K135" i="11" s="1"/>
  <c r="I138" i="11"/>
  <c r="J137" i="11"/>
  <c r="K136" i="11" l="1"/>
  <c r="K151" i="11"/>
  <c r="K140" i="11"/>
  <c r="K138" i="11"/>
  <c r="K137" i="11"/>
  <c r="K139" i="11"/>
  <c r="D134" i="11" l="1"/>
  <c r="H134" i="11" s="1"/>
  <c r="D152" i="11"/>
  <c r="J152" i="11" s="1"/>
  <c r="G134" i="11"/>
  <c r="D44" i="11"/>
  <c r="H44" i="11" s="1"/>
  <c r="G44" i="11"/>
  <c r="F44" i="11"/>
  <c r="D15" i="11"/>
  <c r="H15" i="11" s="1"/>
  <c r="I16" i="11"/>
  <c r="H19" i="11"/>
  <c r="I19" i="11"/>
  <c r="G19" i="11"/>
  <c r="J19" i="11" s="1"/>
  <c r="H20" i="11"/>
  <c r="D21" i="11"/>
  <c r="H21" i="11" s="1"/>
  <c r="G15" i="11"/>
  <c r="G16" i="11"/>
  <c r="G20" i="11"/>
  <c r="G21" i="11"/>
  <c r="G22" i="11"/>
  <c r="K6" i="60"/>
  <c r="M153" i="11"/>
  <c r="M35" i="11"/>
  <c r="M21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30" i="11"/>
  <c r="H30" i="11" s="1"/>
  <c r="E30" i="11"/>
  <c r="D31" i="11"/>
  <c r="H31" i="11" s="1"/>
  <c r="E31" i="11"/>
  <c r="O217" i="10"/>
  <c r="P217" i="10"/>
  <c r="K217" i="10"/>
  <c r="M217" i="10"/>
  <c r="J217" i="10"/>
  <c r="I217" i="10"/>
  <c r="G129" i="11"/>
  <c r="E129" i="11"/>
  <c r="D129" i="11"/>
  <c r="G128" i="11"/>
  <c r="E128" i="11"/>
  <c r="D128" i="11"/>
  <c r="H128" i="11" s="1"/>
  <c r="G127" i="11"/>
  <c r="E127" i="11"/>
  <c r="D127" i="11"/>
  <c r="G126" i="11"/>
  <c r="E126" i="11"/>
  <c r="D126" i="11"/>
  <c r="J126" i="11" s="1"/>
  <c r="G125" i="11"/>
  <c r="E125" i="11"/>
  <c r="D125" i="11"/>
  <c r="I125" i="11" s="1"/>
  <c r="G124" i="11"/>
  <c r="E124" i="11"/>
  <c r="D124" i="11"/>
  <c r="G123" i="11"/>
  <c r="E123" i="11"/>
  <c r="D123" i="11"/>
  <c r="H123" i="11" s="1"/>
  <c r="G122" i="11"/>
  <c r="E122" i="11"/>
  <c r="D122" i="11"/>
  <c r="G121" i="11"/>
  <c r="E121" i="11"/>
  <c r="D121" i="11"/>
  <c r="G120" i="11"/>
  <c r="E120" i="11"/>
  <c r="D120" i="11"/>
  <c r="G119" i="11"/>
  <c r="E119" i="11"/>
  <c r="D119" i="11"/>
  <c r="J119" i="11" s="1"/>
  <c r="G118" i="11"/>
  <c r="E118" i="11"/>
  <c r="D118" i="11"/>
  <c r="J118" i="11" s="1"/>
  <c r="G117" i="11"/>
  <c r="E117" i="11"/>
  <c r="D117" i="11"/>
  <c r="G116" i="11"/>
  <c r="E116" i="11"/>
  <c r="D116" i="11"/>
  <c r="G115" i="11"/>
  <c r="E115" i="11"/>
  <c r="D115" i="11"/>
  <c r="G114" i="11"/>
  <c r="E114" i="11"/>
  <c r="D114" i="11"/>
  <c r="G113" i="11"/>
  <c r="E113" i="11"/>
  <c r="D113" i="11"/>
  <c r="J113" i="11" s="1"/>
  <c r="G112" i="11"/>
  <c r="E112" i="11"/>
  <c r="D112" i="11"/>
  <c r="G111" i="11"/>
  <c r="E111" i="11"/>
  <c r="D111" i="11"/>
  <c r="G110" i="11"/>
  <c r="E110" i="11"/>
  <c r="D110" i="11"/>
  <c r="G109" i="11"/>
  <c r="E109" i="11"/>
  <c r="D109" i="11"/>
  <c r="I109" i="11" s="1"/>
  <c r="G108" i="11"/>
  <c r="E108" i="11"/>
  <c r="D108" i="11"/>
  <c r="F43" i="11"/>
  <c r="F42" i="11"/>
  <c r="F41" i="11"/>
  <c r="F56" i="11" s="1"/>
  <c r="I56" i="11" s="1"/>
  <c r="K56" i="11" s="1"/>
  <c r="F40" i="11"/>
  <c r="F39" i="11"/>
  <c r="F38" i="11"/>
  <c r="F37" i="11"/>
  <c r="F36" i="11"/>
  <c r="F33" i="11"/>
  <c r="F32" i="11"/>
  <c r="F31" i="11"/>
  <c r="F30" i="11"/>
  <c r="F29" i="11"/>
  <c r="F28" i="11"/>
  <c r="F27" i="11"/>
  <c r="F26" i="11"/>
  <c r="F25" i="11"/>
  <c r="F24" i="11"/>
  <c r="M24" i="11" s="1"/>
  <c r="F22" i="11"/>
  <c r="M108" i="11"/>
  <c r="D14" i="59"/>
  <c r="D5" i="60" s="1"/>
  <c r="K5" i="60" s="1"/>
  <c r="E44" i="11"/>
  <c r="E43" i="11"/>
  <c r="D43" i="11"/>
  <c r="E42" i="11"/>
  <c r="D42" i="11"/>
  <c r="E41" i="11"/>
  <c r="D41" i="11"/>
  <c r="E40" i="11"/>
  <c r="D40" i="11"/>
  <c r="E39" i="11"/>
  <c r="D39" i="11"/>
  <c r="J39" i="11" s="1"/>
  <c r="E38" i="11"/>
  <c r="D38" i="11"/>
  <c r="H38" i="11" s="1"/>
  <c r="E37" i="11"/>
  <c r="D37" i="11"/>
  <c r="J37" i="11" s="1"/>
  <c r="E36" i="11"/>
  <c r="D36" i="11"/>
  <c r="H36" i="11" s="1"/>
  <c r="G35" i="11"/>
  <c r="E35" i="11"/>
  <c r="D35" i="11"/>
  <c r="H35" i="11" s="1"/>
  <c r="G34" i="11"/>
  <c r="E34" i="11"/>
  <c r="D34" i="11"/>
  <c r="J34" i="11" s="1"/>
  <c r="E33" i="11"/>
  <c r="D33" i="11"/>
  <c r="E32" i="11"/>
  <c r="D32" i="11"/>
  <c r="J32" i="11" s="1"/>
  <c r="G30" i="11"/>
  <c r="E29" i="11"/>
  <c r="D29" i="11"/>
  <c r="J29" i="11" s="1"/>
  <c r="E28" i="11"/>
  <c r="D28" i="11"/>
  <c r="J28" i="11" s="1"/>
  <c r="E27" i="11"/>
  <c r="D27" i="11"/>
  <c r="H27" i="11" s="1"/>
  <c r="E26" i="11"/>
  <c r="D26" i="11"/>
  <c r="G25" i="11"/>
  <c r="E25" i="11"/>
  <c r="D25" i="11"/>
  <c r="E24" i="11"/>
  <c r="D24" i="11"/>
  <c r="J24" i="11" s="1"/>
  <c r="G23" i="11"/>
  <c r="E23" i="11"/>
  <c r="D23" i="11"/>
  <c r="I23" i="11" s="1"/>
  <c r="E22" i="11"/>
  <c r="D22" i="11"/>
  <c r="E21" i="11"/>
  <c r="E20" i="11"/>
  <c r="E15" i="11"/>
  <c r="A15" i="11"/>
  <c r="D19" i="59"/>
  <c r="D18" i="59"/>
  <c r="M16" i="11"/>
  <c r="E134" i="11"/>
  <c r="D130" i="11"/>
  <c r="E130" i="11"/>
  <c r="M134" i="11"/>
  <c r="E152" i="11"/>
  <c r="G152" i="11"/>
  <c r="D14" i="11"/>
  <c r="H14" i="11" s="1"/>
  <c r="E14" i="11"/>
  <c r="G14" i="11"/>
  <c r="K19" i="60"/>
  <c r="D19" i="60"/>
  <c r="M152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153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53" i="11"/>
  <c r="D154" i="11"/>
  <c r="E154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1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54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6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3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8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7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6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1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9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53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61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2" i="11"/>
  <c r="G39" i="11"/>
  <c r="G32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3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7" i="11"/>
  <c r="G24" i="11"/>
  <c r="G28" i="11"/>
  <c r="G40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30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836" i="41" l="1"/>
  <c r="E836" i="41" s="1"/>
  <c r="D346" i="29"/>
  <c r="E346" i="29" s="1"/>
  <c r="D312" i="29"/>
  <c r="E312" i="29" s="1"/>
  <c r="D802" i="41"/>
  <c r="E802" i="41" s="1"/>
  <c r="D22" i="59"/>
  <c r="K8" i="60" s="1"/>
  <c r="D21" i="59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30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1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8" i="11"/>
  <c r="I42" i="11"/>
  <c r="I26" i="11"/>
  <c r="H28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F314" i="29"/>
  <c r="H36" i="39"/>
  <c r="J38" i="11"/>
  <c r="F866" i="41"/>
  <c r="E1029" i="41"/>
  <c r="E784" i="41"/>
  <c r="E973" i="41"/>
  <c r="F315" i="29"/>
  <c r="F322" i="29"/>
  <c r="F250" i="29"/>
  <c r="E273" i="29"/>
  <c r="I31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9" i="11"/>
  <c r="H23" i="11"/>
  <c r="F822" i="4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F817" i="41"/>
  <c r="E947" i="41"/>
  <c r="E787" i="41"/>
  <c r="E930" i="41"/>
  <c r="E1028" i="41"/>
  <c r="E1289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720" i="41"/>
  <c r="F231" i="29"/>
  <c r="E282" i="29"/>
  <c r="J130" i="11"/>
  <c r="I130" i="11"/>
  <c r="F806" i="41"/>
  <c r="E1081" i="41"/>
  <c r="E1027" i="41"/>
  <c r="F861" i="41"/>
  <c r="E861" i="41"/>
  <c r="E230" i="29"/>
  <c r="E274" i="29"/>
  <c r="F274" i="29"/>
  <c r="H154" i="11"/>
  <c r="J154" i="11"/>
  <c r="I38" i="11"/>
  <c r="J36" i="11"/>
  <c r="F332" i="29"/>
  <c r="I43" i="11"/>
  <c r="H34" i="11"/>
  <c r="I35" i="11"/>
  <c r="E340" i="29"/>
  <c r="H29" i="11"/>
  <c r="I34" i="11"/>
  <c r="I113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F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7" i="11"/>
  <c r="J14" i="11"/>
  <c r="J27" i="11"/>
  <c r="H37" i="11"/>
  <c r="E1149" i="41"/>
  <c r="F833" i="41"/>
  <c r="H113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4" i="11"/>
  <c r="J35" i="11"/>
  <c r="I21" i="11"/>
  <c r="I15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F854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F847" i="41"/>
  <c r="E1041" i="41"/>
  <c r="E1013" i="41"/>
  <c r="E742" i="41"/>
  <c r="F782" i="41"/>
  <c r="F789" i="41"/>
  <c r="E749" i="41"/>
  <c r="F783" i="41"/>
  <c r="E1003" i="41"/>
  <c r="E785" i="41"/>
  <c r="F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F327" i="29"/>
  <c r="E327" i="29"/>
  <c r="E336" i="29"/>
  <c r="F336" i="29"/>
  <c r="E357" i="29"/>
  <c r="F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2" i="11"/>
  <c r="J22" i="11"/>
  <c r="H22" i="11"/>
  <c r="H33" i="11"/>
  <c r="J33" i="11"/>
  <c r="I30" i="11"/>
  <c r="E287" i="29"/>
  <c r="F287" i="29"/>
  <c r="E348" i="29"/>
  <c r="F348" i="29"/>
  <c r="E59" i="39"/>
  <c r="E290" i="29"/>
  <c r="F290" i="29"/>
  <c r="I29" i="11"/>
  <c r="F323" i="29"/>
  <c r="E260" i="29"/>
  <c r="E236" i="29"/>
  <c r="E73" i="39"/>
  <c r="E341" i="29"/>
  <c r="F341" i="29"/>
  <c r="F299" i="29"/>
  <c r="H40" i="11"/>
  <c r="J40" i="11"/>
  <c r="J42" i="11"/>
  <c r="H42" i="11"/>
  <c r="J129" i="11"/>
  <c r="H129" i="11"/>
  <c r="I129" i="11"/>
  <c r="F300" i="29"/>
  <c r="E284" i="29"/>
  <c r="J20" i="11"/>
  <c r="J16" i="11"/>
  <c r="I44" i="11"/>
  <c r="F233" i="29"/>
  <c r="E58" i="39"/>
  <c r="F59" i="39" s="1"/>
  <c r="F319" i="29"/>
  <c r="F310" i="29"/>
  <c r="I40" i="11"/>
  <c r="I37" i="11"/>
  <c r="I32" i="11"/>
  <c r="I36" i="11"/>
  <c r="H130" i="11"/>
  <c r="J23" i="11"/>
  <c r="J21" i="11"/>
  <c r="K19" i="11"/>
  <c r="H1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108" i="11"/>
  <c r="H108" i="11"/>
  <c r="H112" i="11"/>
  <c r="J112" i="11"/>
  <c r="I112" i="11"/>
  <c r="J116" i="11"/>
  <c r="I116" i="11"/>
  <c r="H116" i="11"/>
  <c r="J120" i="11"/>
  <c r="H120" i="11"/>
  <c r="I124" i="11"/>
  <c r="J124" i="11"/>
  <c r="H124" i="11"/>
  <c r="J26" i="11"/>
  <c r="H26" i="11"/>
  <c r="I41" i="11"/>
  <c r="H41" i="11"/>
  <c r="J43" i="11"/>
  <c r="H43" i="11"/>
  <c r="I108" i="11"/>
  <c r="I111" i="11"/>
  <c r="H111" i="11"/>
  <c r="J111" i="11"/>
  <c r="I115" i="11"/>
  <c r="J115" i="11"/>
  <c r="H115" i="11"/>
  <c r="H119" i="11"/>
  <c r="I119" i="11"/>
  <c r="I123" i="11"/>
  <c r="J123" i="11"/>
  <c r="I127" i="11"/>
  <c r="H127" i="11"/>
  <c r="J127" i="11"/>
  <c r="I154" i="11"/>
  <c r="J41" i="11"/>
  <c r="I33" i="11"/>
  <c r="J25" i="11"/>
  <c r="H25" i="11"/>
  <c r="I25" i="11"/>
  <c r="J110" i="11"/>
  <c r="H110" i="11"/>
  <c r="I110" i="11"/>
  <c r="J114" i="11"/>
  <c r="H114" i="11"/>
  <c r="I114" i="11"/>
  <c r="I118" i="11"/>
  <c r="H118" i="11"/>
  <c r="J122" i="11"/>
  <c r="H122" i="11"/>
  <c r="I122" i="11"/>
  <c r="H126" i="11"/>
  <c r="I126" i="11"/>
  <c r="I120" i="11"/>
  <c r="H109" i="11"/>
  <c r="J109" i="11"/>
  <c r="I117" i="11"/>
  <c r="H117" i="11"/>
  <c r="J117" i="11"/>
  <c r="J121" i="11"/>
  <c r="H121" i="11"/>
  <c r="I121" i="11"/>
  <c r="J125" i="11"/>
  <c r="H125" i="11"/>
  <c r="I128" i="11"/>
  <c r="I152" i="11"/>
  <c r="J134" i="11"/>
  <c r="H32" i="11"/>
  <c r="J128" i="11"/>
  <c r="I20" i="11"/>
  <c r="J15" i="11"/>
  <c r="H152" i="11"/>
  <c r="I134" i="11"/>
  <c r="H39" i="11"/>
  <c r="I24" i="11"/>
  <c r="J44" i="11"/>
  <c r="F824" i="41" l="1"/>
  <c r="F334" i="29"/>
  <c r="F728" i="41"/>
  <c r="F238" i="29"/>
  <c r="F69" i="39"/>
  <c r="F75" i="39"/>
  <c r="F368" i="29"/>
  <c r="F74" i="39"/>
  <c r="F1311" i="41"/>
  <c r="M135" i="11"/>
  <c r="F1297" i="41"/>
  <c r="F1047" i="41"/>
  <c r="F1279" i="41"/>
  <c r="F71" i="39"/>
  <c r="F64" i="39"/>
  <c r="F1063" i="41"/>
  <c r="F961" i="41"/>
  <c r="F76" i="39"/>
  <c r="F1138" i="41"/>
  <c r="F1133" i="41"/>
  <c r="F68" i="39"/>
  <c r="F958" i="41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8" i="11"/>
  <c r="M28" i="11" s="1"/>
  <c r="F60" i="39"/>
  <c r="D9" i="59"/>
  <c r="K7" i="54" s="1"/>
  <c r="C7" i="54"/>
  <c r="C8" i="54"/>
  <c r="K14" i="11"/>
  <c r="M14" i="11" s="1"/>
  <c r="K134" i="11"/>
  <c r="K34" i="11"/>
  <c r="M34" i="11" s="1"/>
  <c r="K36" i="11"/>
  <c r="M36" i="11" s="1"/>
  <c r="K38" i="11"/>
  <c r="M38" i="11" s="1"/>
  <c r="K44" i="11"/>
  <c r="M44" i="11" s="1"/>
  <c r="K30" i="11"/>
  <c r="M30" i="11" s="1"/>
  <c r="K31" i="11"/>
  <c r="M31" i="11" s="1"/>
  <c r="K39" i="11"/>
  <c r="M39" i="11" s="1"/>
  <c r="K123" i="11"/>
  <c r="M123" i="11" s="1"/>
  <c r="K113" i="11"/>
  <c r="M113" i="11" s="1"/>
  <c r="M131" i="11"/>
  <c r="K23" i="11"/>
  <c r="M23" i="11" s="1"/>
  <c r="K16" i="11"/>
  <c r="K37" i="11"/>
  <c r="M37" i="11" s="1"/>
  <c r="K35" i="11"/>
  <c r="K21" i="11"/>
  <c r="K27" i="11"/>
  <c r="M27" i="11" s="1"/>
  <c r="K20" i="11"/>
  <c r="M20" i="11" s="1"/>
  <c r="K43" i="11"/>
  <c r="M43" i="11" s="1"/>
  <c r="K26" i="11"/>
  <c r="M26" i="11" s="1"/>
  <c r="K29" i="11"/>
  <c r="M29" i="11" s="1"/>
  <c r="M151" i="11"/>
  <c r="K154" i="11"/>
  <c r="K129" i="11"/>
  <c r="M129" i="11" s="1"/>
  <c r="K40" i="11"/>
  <c r="M40" i="11" s="1"/>
  <c r="K42" i="11"/>
  <c r="M42" i="11" s="1"/>
  <c r="K130" i="11"/>
  <c r="M130" i="11" s="1"/>
  <c r="K24" i="11"/>
  <c r="F350" i="29"/>
  <c r="K126" i="11"/>
  <c r="M126" i="11" s="1"/>
  <c r="K128" i="11"/>
  <c r="M128" i="11" s="1"/>
  <c r="K109" i="11"/>
  <c r="M109" i="11" s="1"/>
  <c r="K33" i="11"/>
  <c r="M33" i="11" s="1"/>
  <c r="K119" i="11"/>
  <c r="M119" i="11" s="1"/>
  <c r="K112" i="11"/>
  <c r="M112" i="11" s="1"/>
  <c r="K22" i="11"/>
  <c r="M22" i="11" s="1"/>
  <c r="K32" i="11"/>
  <c r="M32" i="11" s="1"/>
  <c r="K117" i="11"/>
  <c r="M117" i="11" s="1"/>
  <c r="K152" i="11"/>
  <c r="K114" i="11"/>
  <c r="M114" i="11" s="1"/>
  <c r="K25" i="11"/>
  <c r="M25" i="11" s="1"/>
  <c r="H153" i="11"/>
  <c r="H156" i="11" s="1"/>
  <c r="K41" i="11"/>
  <c r="M41" i="11" s="1"/>
  <c r="F312" i="29"/>
  <c r="F339" i="29"/>
  <c r="F226" i="29"/>
  <c r="C19" i="29" s="1"/>
  <c r="F345" i="29"/>
  <c r="F239" i="29"/>
  <c r="I153" i="11"/>
  <c r="I156" i="11" s="1"/>
  <c r="J153" i="11"/>
  <c r="J156" i="11" s="1"/>
  <c r="K118" i="11"/>
  <c r="M118" i="11" s="1"/>
  <c r="K127" i="11"/>
  <c r="M127" i="11" s="1"/>
  <c r="K120" i="11"/>
  <c r="M120" i="11" s="1"/>
  <c r="K108" i="11"/>
  <c r="K121" i="11"/>
  <c r="M121" i="11" s="1"/>
  <c r="K124" i="11"/>
  <c r="M124" i="11" s="1"/>
  <c r="K125" i="11"/>
  <c r="M125" i="11" s="1"/>
  <c r="K15" i="11"/>
  <c r="K122" i="11"/>
  <c r="M122" i="11" s="1"/>
  <c r="K110" i="11"/>
  <c r="M110" i="11" s="1"/>
  <c r="K115" i="11"/>
  <c r="M115" i="11" s="1"/>
  <c r="K111" i="11"/>
  <c r="M111" i="11" s="1"/>
  <c r="K116" i="11"/>
  <c r="M116" i="11" s="1"/>
  <c r="F716" i="41"/>
  <c r="F840" i="41"/>
  <c r="F835" i="41"/>
  <c r="F729" i="41"/>
  <c r="F802" i="41"/>
  <c r="F829" i="41"/>
  <c r="F20" i="29" l="1"/>
  <c r="F22" i="29"/>
  <c r="F21" i="29"/>
  <c r="F23" i="29"/>
  <c r="F24" i="29"/>
  <c r="F19" i="29"/>
  <c r="C22" i="29"/>
  <c r="C21" i="29"/>
  <c r="C20" i="29"/>
  <c r="C16" i="39"/>
  <c r="F16" i="39"/>
  <c r="F17" i="39"/>
  <c r="C30" i="39"/>
  <c r="G30" i="39" s="1"/>
  <c r="C17" i="39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B26" i="39" s="1"/>
  <c r="E26" i="39" s="1"/>
  <c r="F21" i="39"/>
  <c r="C29" i="39"/>
  <c r="B29" i="39" s="1"/>
  <c r="E29" i="39" s="1"/>
  <c r="C32" i="39"/>
  <c r="F23" i="39"/>
  <c r="F18" i="39"/>
  <c r="C18" i="39"/>
  <c r="D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D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C33" i="29"/>
  <c r="B33" i="29" s="1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G122" i="29" s="1"/>
  <c r="C94" i="29"/>
  <c r="B94" i="29" s="1"/>
  <c r="E94" i="29" s="1"/>
  <c r="F128" i="29"/>
  <c r="C90" i="29"/>
  <c r="G90" i="29" s="1"/>
  <c r="F59" i="29"/>
  <c r="F85" i="29"/>
  <c r="C37" i="29"/>
  <c r="G37" i="29" s="1"/>
  <c r="F165" i="29"/>
  <c r="F249" i="41"/>
  <c r="F133" i="29"/>
  <c r="C67" i="29"/>
  <c r="B67" i="29" s="1"/>
  <c r="E67" i="29" s="1"/>
  <c r="C113" i="29"/>
  <c r="G113" i="29" s="1"/>
  <c r="C134" i="29"/>
  <c r="G134" i="29" s="1"/>
  <c r="F5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D22" i="29"/>
  <c r="C32" i="29"/>
  <c r="G32" i="29" s="1"/>
  <c r="C157" i="29"/>
  <c r="B157" i="29" s="1"/>
  <c r="E157" i="29" s="1"/>
  <c r="C124" i="29"/>
  <c r="D124" i="29" s="1"/>
  <c r="F130" i="29"/>
  <c r="C25" i="29"/>
  <c r="D25" i="29" s="1"/>
  <c r="F124" i="29"/>
  <c r="C160" i="29"/>
  <c r="B160" i="29" s="1"/>
  <c r="E160" i="29" s="1"/>
  <c r="C100" i="29"/>
  <c r="D100" i="29" s="1"/>
  <c r="F58" i="29"/>
  <c r="F109" i="29"/>
  <c r="C65" i="29"/>
  <c r="D65" i="29" s="1"/>
  <c r="C66" i="29"/>
  <c r="B66" i="29" s="1"/>
  <c r="E66" i="29" s="1"/>
  <c r="F88" i="29"/>
  <c r="C85" i="29"/>
  <c r="G85" i="29" s="1"/>
  <c r="C111" i="29"/>
  <c r="B111" i="29" s="1"/>
  <c r="E111" i="29" s="1"/>
  <c r="C54" i="29"/>
  <c r="D54" i="29" s="1"/>
  <c r="F108" i="29"/>
  <c r="C77" i="29"/>
  <c r="B77" i="29" s="1"/>
  <c r="E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G20" i="29"/>
  <c r="C42" i="29"/>
  <c r="G42" i="29" s="1"/>
  <c r="C107" i="29"/>
  <c r="D107" i="29" s="1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G19" i="29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D21" i="29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57" i="11"/>
  <c r="J158" i="11" s="1"/>
  <c r="H157" i="11"/>
  <c r="H158" i="11" s="1"/>
  <c r="I157" i="11"/>
  <c r="I158" i="11" s="1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34" i="39"/>
  <c r="B34" i="39"/>
  <c r="E34" i="39" s="1"/>
  <c r="D34" i="39"/>
  <c r="G19" i="39"/>
  <c r="D19" i="39"/>
  <c r="B19" i="39"/>
  <c r="E19" i="39" s="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G22" i="2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85" i="29"/>
  <c r="E85" i="29" s="1"/>
  <c r="B38" i="29"/>
  <c r="E38" i="29" s="1"/>
  <c r="D154" i="29"/>
  <c r="G99" i="29"/>
  <c r="B22" i="39"/>
  <c r="E22" i="39" s="1"/>
  <c r="D22" i="39"/>
  <c r="G22" i="39"/>
  <c r="G17" i="39"/>
  <c r="B17" i="39"/>
  <c r="E17" i="39" s="1"/>
  <c r="D17" i="39"/>
  <c r="M15" i="11"/>
  <c r="K153" i="11"/>
  <c r="K156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26" i="29"/>
  <c r="D19" i="29"/>
  <c r="G131" i="29" l="1"/>
  <c r="G24" i="29"/>
  <c r="G38" i="29"/>
  <c r="D149" i="29"/>
  <c r="H149" i="29" s="1"/>
  <c r="G77" i="29"/>
  <c r="D35" i="29"/>
  <c r="I35" i="29" s="1"/>
  <c r="D99" i="29"/>
  <c r="D109" i="29"/>
  <c r="J109" i="29" s="1"/>
  <c r="B40" i="29"/>
  <c r="E40" i="29" s="1"/>
  <c r="G74" i="29"/>
  <c r="B90" i="29"/>
  <c r="E90" i="29" s="1"/>
  <c r="D133" i="29"/>
  <c r="I133" i="29" s="1"/>
  <c r="B112" i="29"/>
  <c r="E112" i="29" s="1"/>
  <c r="G33" i="29"/>
  <c r="G124" i="29"/>
  <c r="G160" i="29"/>
  <c r="B122" i="29"/>
  <c r="E122" i="29" s="1"/>
  <c r="D115" i="29"/>
  <c r="H115" i="29" s="1"/>
  <c r="B65" i="29"/>
  <c r="E65" i="29" s="1"/>
  <c r="G112" i="29"/>
  <c r="D160" i="29"/>
  <c r="I160" i="29" s="1"/>
  <c r="D58" i="29"/>
  <c r="H58" i="29" s="1"/>
  <c r="B133" i="29"/>
  <c r="E133" i="29" s="1"/>
  <c r="D33" i="29"/>
  <c r="H33" i="29" s="1"/>
  <c r="G143" i="29"/>
  <c r="B124" i="29"/>
  <c r="E124" i="29" s="1"/>
  <c r="G115" i="29"/>
  <c r="G65" i="29"/>
  <c r="D90" i="29"/>
  <c r="I90" i="29" s="1"/>
  <c r="G58" i="29"/>
  <c r="D122" i="29"/>
  <c r="J122" i="29" s="1"/>
  <c r="D143" i="29"/>
  <c r="I143" i="29" s="1"/>
  <c r="B149" i="29"/>
  <c r="E149" i="29" s="1"/>
  <c r="D85" i="29"/>
  <c r="J85" i="29" s="1"/>
  <c r="D92" i="29"/>
  <c r="H92" i="29" s="1"/>
  <c r="D28" i="39"/>
  <c r="J28" i="39" s="1"/>
  <c r="G20" i="39"/>
  <c r="B148" i="29"/>
  <c r="E148" i="29" s="1"/>
  <c r="D67" i="29"/>
  <c r="H67" i="29" s="1"/>
  <c r="D68" i="29"/>
  <c r="I68" i="29" s="1"/>
  <c r="D20" i="29"/>
  <c r="H20" i="29" s="1"/>
  <c r="D33" i="39"/>
  <c r="I33" i="39" s="1"/>
  <c r="B18" i="39"/>
  <c r="E18" i="39" s="1"/>
  <c r="G29" i="39"/>
  <c r="B30" i="39"/>
  <c r="E30" i="39" s="1"/>
  <c r="B72" i="29"/>
  <c r="E72" i="29" s="1"/>
  <c r="B16" i="39"/>
  <c r="E16" i="39" s="1"/>
  <c r="G16" i="39"/>
  <c r="D16" i="39"/>
  <c r="G144" i="29"/>
  <c r="D148" i="29"/>
  <c r="H148" i="29" s="1"/>
  <c r="G105" i="29"/>
  <c r="D77" i="29"/>
  <c r="I77" i="29" s="1"/>
  <c r="G33" i="39"/>
  <c r="I30" i="39"/>
  <c r="D106" i="29"/>
  <c r="J106" i="29" s="1"/>
  <c r="G18" i="39"/>
  <c r="D29" i="39"/>
  <c r="I29" i="39" s="1"/>
  <c r="B28" i="39"/>
  <c r="E28" i="39" s="1"/>
  <c r="D20" i="39"/>
  <c r="J20" i="39" s="1"/>
  <c r="B128" i="29"/>
  <c r="E128" i="29" s="1"/>
  <c r="G104" i="29"/>
  <c r="G59" i="29"/>
  <c r="B55" i="29"/>
  <c r="E55" i="29" s="1"/>
  <c r="D31" i="39"/>
  <c r="I31" i="39" s="1"/>
  <c r="B131" i="29"/>
  <c r="E131" i="29" s="1"/>
  <c r="B109" i="29"/>
  <c r="E109" i="29" s="1"/>
  <c r="D57" i="29"/>
  <c r="H57" i="29" s="1"/>
  <c r="B64" i="29"/>
  <c r="E64" i="29" s="1"/>
  <c r="B48" i="29"/>
  <c r="E48" i="29" s="1"/>
  <c r="B89" i="29"/>
  <c r="E89" i="29" s="1"/>
  <c r="G117" i="29"/>
  <c r="D40" i="29"/>
  <c r="H40" i="29" s="1"/>
  <c r="D86" i="29"/>
  <c r="I86" i="29" s="1"/>
  <c r="G120" i="29"/>
  <c r="D26" i="39"/>
  <c r="J26" i="39" s="1"/>
  <c r="G66" i="29"/>
  <c r="D94" i="29"/>
  <c r="I94" i="29" s="1"/>
  <c r="G23" i="29"/>
  <c r="G23" i="39"/>
  <c r="D21" i="39"/>
  <c r="J21" i="39" s="1"/>
  <c r="D81" i="29"/>
  <c r="I81" i="29" s="1"/>
  <c r="G111" i="29"/>
  <c r="G18" i="29"/>
  <c r="H18" i="29" s="1"/>
  <c r="B100" i="29"/>
  <c r="E100" i="29" s="1"/>
  <c r="B97" i="29"/>
  <c r="E97" i="29" s="1"/>
  <c r="D132" i="29"/>
  <c r="H132" i="29" s="1"/>
  <c r="G26" i="39"/>
  <c r="B23" i="39"/>
  <c r="E23" i="39" s="1"/>
  <c r="G21" i="39"/>
  <c r="B18" i="29"/>
  <c r="E18" i="29" s="1"/>
  <c r="B114" i="29"/>
  <c r="E114" i="29" s="1"/>
  <c r="D113" i="29"/>
  <c r="J113" i="29" s="1"/>
  <c r="G25" i="39"/>
  <c r="B121" i="29"/>
  <c r="E121" i="29" s="1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I25" i="39" s="1"/>
  <c r="B35" i="39"/>
  <c r="E35" i="39" s="1"/>
  <c r="B27" i="39"/>
  <c r="E27" i="39" s="1"/>
  <c r="G35" i="39"/>
  <c r="D120" i="29"/>
  <c r="J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J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I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J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I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57" i="11"/>
  <c r="K158" i="11" s="1"/>
  <c r="H83" i="29"/>
  <c r="H35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H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I57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I154" i="29"/>
  <c r="H154" i="29"/>
  <c r="J154" i="2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H106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I33" i="29"/>
  <c r="I122" i="29"/>
  <c r="H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20" i="39" l="1"/>
  <c r="H28" i="39"/>
  <c r="H165" i="29"/>
  <c r="J143" i="29"/>
  <c r="I106" i="29"/>
  <c r="J68" i="29"/>
  <c r="J33" i="29"/>
  <c r="H20" i="39"/>
  <c r="I27" i="29"/>
  <c r="J57" i="29"/>
  <c r="J133" i="29"/>
  <c r="I149" i="29"/>
  <c r="J149" i="29"/>
  <c r="I113" i="29"/>
  <c r="J160" i="29"/>
  <c r="H160" i="29"/>
  <c r="J31" i="39"/>
  <c r="J77" i="29"/>
  <c r="H31" i="39"/>
  <c r="H77" i="29"/>
  <c r="I26" i="39"/>
  <c r="H26" i="39"/>
  <c r="I109" i="29"/>
  <c r="H109" i="29"/>
  <c r="J20" i="29"/>
  <c r="I20" i="29"/>
  <c r="J90" i="29"/>
  <c r="H90" i="29"/>
  <c r="I67" i="29"/>
  <c r="I148" i="29"/>
  <c r="J67" i="29"/>
  <c r="H122" i="29"/>
  <c r="K122" i="29" s="1"/>
  <c r="I115" i="29"/>
  <c r="H85" i="29"/>
  <c r="H25" i="39"/>
  <c r="H155" i="29"/>
  <c r="J94" i="29"/>
  <c r="I58" i="29"/>
  <c r="J115" i="29"/>
  <c r="H94" i="29"/>
  <c r="J58" i="29"/>
  <c r="H29" i="39"/>
  <c r="H33" i="39"/>
  <c r="J162" i="29"/>
  <c r="J25" i="39"/>
  <c r="J29" i="39"/>
  <c r="I85" i="29"/>
  <c r="H81" i="29"/>
  <c r="J151" i="29"/>
  <c r="I145" i="29"/>
  <c r="J33" i="39"/>
  <c r="J81" i="29"/>
  <c r="K81" i="29" s="1"/>
  <c r="J86" i="29"/>
  <c r="I59" i="29"/>
  <c r="I120" i="29"/>
  <c r="H86" i="29"/>
  <c r="J59" i="29"/>
  <c r="J75" i="29"/>
  <c r="J92" i="29"/>
  <c r="J148" i="29"/>
  <c r="I92" i="29"/>
  <c r="I16" i="39"/>
  <c r="J16" i="39"/>
  <c r="H16" i="39"/>
  <c r="I40" i="29"/>
  <c r="J40" i="29"/>
  <c r="H21" i="39"/>
  <c r="I132" i="29"/>
  <c r="J37" i="29"/>
  <c r="J132" i="29"/>
  <c r="J74" i="29"/>
  <c r="H32" i="29"/>
  <c r="I21" i="39"/>
  <c r="H113" i="29"/>
  <c r="K113" i="29" s="1"/>
  <c r="H162" i="29"/>
  <c r="H60" i="29"/>
  <c r="H42" i="29"/>
  <c r="H28" i="29"/>
  <c r="J42" i="29"/>
  <c r="I60" i="29"/>
  <c r="J88" i="29"/>
  <c r="H75" i="29"/>
  <c r="K75" i="29" s="1"/>
  <c r="J159" i="29"/>
  <c r="H120" i="29"/>
  <c r="H157" i="29"/>
  <c r="J82" i="29"/>
  <c r="I159" i="29"/>
  <c r="K159" i="29" s="1"/>
  <c r="I157" i="29"/>
  <c r="H88" i="29"/>
  <c r="K88" i="29" s="1"/>
  <c r="I151" i="29"/>
  <c r="H145" i="29"/>
  <c r="H30" i="29"/>
  <c r="I155" i="29"/>
  <c r="I28" i="29"/>
  <c r="J47" i="29"/>
  <c r="I8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K165" i="29" s="1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K133" i="29"/>
  <c r="H66" i="29"/>
  <c r="I91" i="29"/>
  <c r="J66" i="29"/>
  <c r="K22" i="39"/>
  <c r="K63" i="29"/>
  <c r="K34" i="39"/>
  <c r="K112" i="29"/>
  <c r="K154" i="29"/>
  <c r="K17" i="39"/>
  <c r="K19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24" i="39"/>
  <c r="K73" i="29"/>
  <c r="K21" i="29"/>
  <c r="K72" i="29"/>
  <c r="K124" i="29"/>
  <c r="K57" i="29"/>
  <c r="K108" i="2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K27" i="29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59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26" i="39" l="1"/>
  <c r="K77" i="29"/>
  <c r="K92" i="29"/>
  <c r="K109" i="29"/>
  <c r="K67" i="29"/>
  <c r="K33" i="39"/>
  <c r="K90" i="29"/>
  <c r="K58" i="29"/>
  <c r="K85" i="29"/>
  <c r="K25" i="39"/>
  <c r="K20" i="29"/>
  <c r="K115" i="29"/>
  <c r="K79" i="29"/>
  <c r="K148" i="29"/>
  <c r="K155" i="29"/>
  <c r="K59" i="29"/>
  <c r="K29" i="39"/>
  <c r="K145" i="29"/>
  <c r="J38" i="39"/>
  <c r="J39" i="39" s="1"/>
  <c r="J40" i="39" s="1"/>
  <c r="K120" i="29"/>
  <c r="K151" i="29"/>
  <c r="H38" i="39"/>
  <c r="H39" i="39" s="1"/>
  <c r="H40" i="39" s="1"/>
  <c r="K94" i="29"/>
  <c r="K162" i="29"/>
  <c r="K86" i="29"/>
  <c r="K28" i="29"/>
  <c r="K16" i="39"/>
  <c r="K40" i="29"/>
  <c r="K157" i="29"/>
  <c r="K21" i="39"/>
  <c r="I38" i="39"/>
  <c r="I39" i="39" s="1"/>
  <c r="I40" i="39" s="1"/>
  <c r="K132" i="29"/>
  <c r="K37" i="29"/>
  <c r="K74" i="29"/>
  <c r="K47" i="29"/>
  <c r="K42" i="29"/>
  <c r="K93" i="29"/>
  <c r="K60" i="29"/>
  <c r="K30" i="29"/>
  <c r="K82" i="2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<sst xmlns="http://schemas.openxmlformats.org/spreadsheetml/2006/main" count="4843" uniqueCount="1652">
  <si>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</si>
  <si>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</si>
  <si>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</si>
  <si>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</si>
  <si>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</si>
  <si>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</si>
  <si>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</si>
  <si>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</si>
  <si>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</si>
  <si>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</si>
  <si>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</si>
  <si>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</si>
  <si>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</si>
  <si>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</si>
  <si>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</si>
  <si>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</si>
  <si>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</si>
  <si>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</si>
  <si>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</si>
  <si>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</si>
  <si>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</si>
  <si>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</si>
  <si>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</si>
  <si>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</si>
  <si>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</si>
  <si>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</si>
  <si>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</si>
  <si>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</si>
  <si>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</si>
  <si>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</si>
  <si>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</si>
  <si>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</si>
  <si>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</si>
  <si>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</si>
  <si>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</si>
  <si>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</si>
  <si>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</si>
  <si>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</si>
  <si>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</si>
  <si>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</si>
  <si>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</si>
  <si>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</si>
  <si>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</si>
  <si>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</si>
  <si>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</si>
  <si>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</si>
  <si>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</si>
  <si>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</si>
  <si>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</si>
  <si>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</si>
  <si>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</si>
  <si>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</si>
  <si>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</si>
  <si>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</si>
  <si>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</si>
  <si>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</si>
  <si>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</si>
  <si>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</si>
  <si>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</si>
  <si>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</si>
  <si>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</si>
  <si>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</si>
  <si>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</si>
  <si>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</si>
  <si>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</si>
  <si>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</si>
  <si>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</si>
  <si>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</si>
  <si>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</si>
  <si>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</si>
  <si>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</si>
  <si>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</si>
  <si>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</si>
  <si>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</si>
  <si>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</si>
  <si>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</si>
  <si>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</si>
  <si>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</si>
  <si>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</si>
  <si>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</si>
  <si>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</si>
  <si>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</si>
  <si>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</si>
  <si>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</si>
  <si>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</si>
  <si>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</si>
  <si>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</si>
  <si>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</si>
  <si>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</si>
  <si>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</si>
  <si>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</si>
  <si>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</si>
  <si>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</si>
  <si>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</si>
  <si>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</si>
  <si>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</si>
  <si>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</si>
  <si>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</si>
  <si>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</si>
  <si>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</si>
  <si>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</si>
  <si>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</si>
  <si>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</si>
  <si>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</si>
  <si>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</si>
  <si>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</si>
  <si>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</si>
  <si>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</si>
  <si>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</si>
  <si>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</si>
  <si>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</si>
  <si>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</si>
  <si>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</si>
  <si>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</si>
  <si>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</si>
  <si>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</si>
  <si>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</si>
  <si>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</si>
  <si>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</si>
  <si>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</si>
  <si>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</si>
  <si>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</si>
  <si>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</si>
  <si>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</si>
  <si>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</si>
  <si>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</si>
  <si>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</si>
  <si>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</si>
  <si>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</si>
  <si>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</si>
  <si>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</si>
  <si>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</si>
  <si>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</si>
  <si>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</si>
  <si>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</si>
  <si>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</si>
  <si>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</si>
  <si>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</si>
  <si>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</si>
  <si>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</si>
  <si>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</si>
  <si>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</si>
  <si>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</si>
  <si>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</si>
  <si>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</si>
  <si>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</si>
  <si>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</si>
  <si>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</si>
  <si>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</si>
  <si>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</si>
  <si>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</si>
  <si>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</si>
  <si>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</si>
  <si>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</si>
  <si>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</si>
  <si>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</si>
  <si>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</si>
  <si>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</si>
  <si>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</si>
  <si>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</si>
  <si>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</si>
  <si>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</si>
  <si>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</si>
  <si>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</si>
  <si>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</si>
  <si>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</si>
  <si>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</si>
  <si>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</si>
  <si>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</si>
  <si>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</si>
  <si>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</si>
  <si>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</si>
  <si>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</si>
  <si>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</si>
  <si>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</si>
  <si>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</si>
  <si>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</si>
  <si>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</si>
  <si>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</si>
  <si>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</si>
  <si>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</si>
  <si>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</si>
  <si>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</si>
  <si>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</si>
  <si>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</si>
  <si>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</si>
  <si>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</si>
  <si>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</si>
  <si>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</si>
  <si>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</si>
  <si>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</si>
  <si>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</si>
  <si>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</si>
  <si>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</si>
  <si>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</si>
  <si>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</si>
  <si>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</si>
  <si>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</si>
  <si>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</si>
  <si>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</si>
  <si>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</si>
  <si>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</si>
  <si>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</si>
  <si>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</si>
  <si>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</si>
  <si>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</si>
  <si>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</si>
  <si>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</si>
  <si>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</si>
  <si>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</si>
  <si>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</si>
  <si>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</si>
  <si>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</si>
  <si>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</si>
  <si>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</si>
  <si>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</si>
  <si>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</si>
  <si>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</si>
  <si>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</si>
  <si>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</si>
  <si>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</si>
  <si>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</si>
  <si>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</si>
  <si>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</si>
  <si>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</si>
  <si>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</si>
  <si>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</si>
  <si>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</si>
  <si>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</si>
  <si>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</si>
  <si>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</si>
  <si>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</si>
  <si>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</si>
  <si>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</si>
  <si>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</si>
  <si>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</si>
  <si>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</si>
  <si>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</si>
  <si>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</si>
  <si>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</si>
  <si>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</si>
  <si>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</si>
  <si>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</si>
  <si>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</si>
  <si>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</si>
  <si>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</si>
  <si>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</si>
  <si>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</si>
  <si>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</si>
  <si>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</si>
  <si>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</si>
  <si>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</si>
  <si>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</si>
  <si>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</si>
  <si>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</si>
  <si>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</si>
  <si>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</si>
  <si>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</si>
  <si>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</si>
  <si>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</si>
  <si>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</si>
  <si>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</si>
  <si>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</si>
  <si>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</si>
  <si>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</si>
  <si>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</si>
  <si>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</si>
  <si>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</si>
  <si>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</si>
  <si>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</si>
  <si>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</si>
  <si>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</si>
  <si>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</si>
  <si>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</si>
  <si>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</si>
  <si>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</si>
  <si>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</si>
  <si>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</si>
  <si>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</si>
  <si>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</si>
  <si>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</si>
  <si>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</si>
  <si>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</si>
  <si>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</si>
  <si>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</si>
  <si>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</si>
  <si>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</si>
  <si>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</si>
  <si>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</si>
  <si>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</si>
  <si>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</si>
  <si>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</si>
  <si>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</si>
  <si>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</si>
  <si>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</si>
  <si>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</si>
  <si>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</si>
  <si>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</si>
  <si>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</si>
  <si>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</si>
  <si>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</si>
  <si>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</si>
  <si>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</si>
  <si>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</si>
  <si>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</si>
  <si>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</si>
  <si>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</si>
  <si>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</si>
  <si>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</si>
  <si>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</si>
  <si>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</si>
  <si>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</si>
  <si>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</si>
  <si>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</si>
  <si>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</si>
  <si>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</si>
  <si>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</si>
  <si>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</si>
  <si>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</si>
  <si>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</si>
  <si>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</si>
  <si>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</si>
  <si>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</si>
  <si>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</si>
  <si>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</si>
  <si>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</si>
  <si>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</si>
  <si>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</si>
  <si>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</si>
  <si>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</si>
  <si>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</si>
  <si>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</si>
  <si>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</si>
  <si>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</si>
  <si>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</si>
  <si>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</si>
  <si>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</si>
  <si>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</si>
  <si>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</si>
  <si>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</si>
  <si>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</si>
  <si>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</si>
  <si>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</si>
  <si>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</si>
  <si>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</si>
  <si>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</si>
  <si>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</si>
  <si>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</si>
  <si>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</si>
  <si>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</si>
  <si>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</si>
  <si>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</si>
  <si>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</si>
  <si>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</si>
  <si>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</si>
  <si>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</si>
  <si>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</si>
  <si>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</si>
  <si>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</si>
  <si>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</si>
  <si>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</si>
  <si>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</si>
  <si>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</si>
  <si>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</si>
  <si>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</si>
  <si>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</si>
  <si>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</si>
  <si>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</si>
  <si>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</si>
  <si>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</si>
  <si>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</si>
  <si>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</si>
  <si>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</si>
  <si>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</si>
  <si>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</si>
  <si>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</si>
  <si>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</si>
  <si>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</si>
  <si>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</si>
  <si>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</si>
  <si>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</si>
  <si>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</si>
  <si>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</si>
  <si>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</si>
  <si>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</si>
  <si>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</si>
  <si>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</si>
  <si>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</si>
  <si>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</si>
  <si>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</si>
  <si>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</si>
  <si>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</si>
  <si>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</si>
  <si>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</si>
  <si>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</si>
  <si>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</si>
  <si>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</si>
  <si>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</si>
  <si>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</si>
  <si>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</si>
  <si>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</si>
  <si>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</si>
  <si>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</si>
  <si>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</si>
  <si>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</si>
  <si>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</si>
  <si>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</si>
  <si>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</si>
  <si>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</si>
  <si>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</si>
  <si>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</si>
  <si>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</si>
  <si>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</si>
  <si>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</si>
  <si>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</si>
  <si>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</si>
  <si>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</si>
  <si>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</si>
  <si>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</si>
  <si>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</si>
  <si>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</si>
  <si>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</si>
  <si>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</si>
  <si>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</si>
  <si>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</si>
  <si>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</si>
  <si>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</si>
  <si>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</si>
  <si>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</si>
  <si>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</si>
  <si>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</si>
  <si>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</si>
  <si>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</si>
  <si>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</si>
  <si>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</si>
  <si>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</si>
  <si>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</si>
  <si>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</si>
  <si>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</si>
  <si>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</si>
  <si>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</si>
  <si>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</si>
  <si>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</si>
  <si>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</si>
  <si>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</si>
  <si>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</si>
  <si>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</si>
  <si>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</si>
  <si>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</si>
  <si>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</si>
  <si>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</si>
  <si>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</si>
  <si>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</si>
  <si>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</si>
  <si>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</si>
  <si>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</si>
  <si>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</si>
  <si>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</si>
  <si>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</si>
  <si>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</si>
  <si>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</si>
  <si>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</si>
  <si>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</si>
  <si>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</si>
  <si>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</si>
  <si>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</si>
  <si>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</si>
  <si>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</si>
  <si>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</si>
  <si>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</si>
  <si>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</si>
  <si>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</si>
  <si>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</si>
  <si>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</si>
  <si>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</si>
  <si>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</si>
  <si>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</si>
  <si>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</si>
  <si>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</si>
  <si>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</si>
  <si>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</si>
  <si>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</si>
  <si>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</si>
  <si>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</si>
  <si>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</si>
  <si>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</si>
  <si>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</si>
  <si>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</si>
  <si>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</si>
  <si>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</si>
  <si>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</si>
  <si>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</si>
  <si>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</si>
  <si>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</si>
  <si>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</si>
  <si>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</si>
  <si>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</si>
  <si>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</si>
  <si>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</si>
  <si>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</si>
  <si>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</si>
  <si>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</si>
  <si>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</si>
  <si>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</si>
  <si>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</si>
  <si>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</si>
  <si>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</si>
  <si>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</si>
  <si>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</si>
  <si>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</si>
  <si>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</si>
  <si>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</si>
  <si>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</si>
  <si>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</si>
  <si>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</si>
  <si>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</si>
  <si>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</si>
  <si>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</si>
  <si>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</si>
  <si>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</si>
  <si>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</si>
  <si>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</si>
  <si>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</si>
  <si>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</si>
  <si>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</si>
  <si>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</si>
  <si>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</si>
  <si>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</si>
  <si>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</si>
  <si>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</si>
  <si>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</si>
  <si>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</si>
  <si>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</si>
  <si>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</si>
  <si>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</si>
  <si>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</si>
  <si>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</si>
  <si>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</si>
  <si>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</si>
  <si>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</si>
  <si>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</si>
  <si>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</si>
  <si>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</si>
  <si>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</si>
  <si>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</si>
  <si>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</si>
  <si>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</si>
  <si>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</si>
  <si>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</si>
  <si>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</si>
  <si>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</si>
  <si>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</si>
  <si>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</si>
  <si>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</si>
  <si>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</si>
  <si>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</si>
  <si>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</si>
  <si>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</si>
  <si>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</si>
  <si>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</si>
  <si>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</si>
  <si>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</si>
  <si>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</si>
  <si>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</si>
  <si>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</si>
  <si>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</si>
  <si>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</si>
  <si>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</si>
  <si>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</si>
  <si>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</si>
  <si>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</si>
  <si>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</si>
  <si>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</si>
  <si>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</si>
  <si>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</si>
  <si>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</si>
  <si>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</si>
  <si>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</si>
  <si>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</si>
  <si>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</si>
  <si>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</si>
  <si>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</si>
  <si>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</si>
  <si>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</si>
  <si>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</si>
  <si>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</si>
  <si>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</si>
  <si>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</si>
  <si>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</si>
  <si>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</si>
  <si>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</si>
  <si>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</si>
  <si>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</si>
  <si>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</si>
  <si>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</si>
  <si>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</si>
  <si>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</si>
  <si>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</si>
  <si>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</si>
  <si>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</si>
  <si>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</si>
  <si>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</si>
  <si>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</si>
  <si>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</si>
  <si>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</si>
  <si>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</si>
  <si>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</si>
  <si>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</si>
  <si>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</si>
  <si>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</si>
  <si>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</si>
  <si>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</si>
  <si>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</si>
  <si>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</si>
  <si>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</si>
  <si>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</si>
  <si>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</si>
  <si>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</si>
  <si>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</si>
  <si>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</si>
  <si>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</si>
  <si>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</si>
  <si>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</si>
  <si>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</si>
  <si>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</si>
  <si>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</si>
  <si>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</si>
  <si>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</si>
  <si>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</si>
  <si>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</si>
  <si>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</si>
  <si>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</si>
  <si>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</si>
  <si>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</si>
  <si>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</si>
  <si>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</si>
  <si>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</si>
  <si>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</si>
  <si>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</si>
  <si>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</si>
  <si>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</si>
  <si>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</si>
  <si>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</si>
  <si>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</si>
  <si>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</si>
  <si>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</si>
  <si>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</si>
  <si>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</si>
  <si>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</si>
  <si>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</si>
  <si>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</si>
  <si>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</si>
  <si>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</si>
  <si>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</si>
  <si>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</si>
  <si>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</si>
  <si>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</si>
  <si>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</si>
  <si>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</si>
  <si>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</si>
  <si>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</si>
  <si>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</si>
  <si>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</si>
  <si>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</si>
  <si>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</si>
  <si>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</si>
  <si>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</si>
  <si>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</si>
  <si>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</si>
  <si>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</si>
  <si>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</si>
  <si>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</si>
  <si>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</si>
  <si>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</si>
  <si>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</si>
  <si>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</si>
  <si>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</si>
  <si>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</si>
  <si>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</si>
  <si>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</si>
  <si>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</si>
  <si>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</si>
  <si>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</si>
  <si>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</si>
  <si>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</si>
  <si>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</si>
  <si>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</si>
  <si>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</si>
  <si>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</si>
  <si>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</si>
  <si>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</si>
  <si>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</si>
  <si>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</si>
  <si>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</si>
  <si>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</si>
  <si>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</si>
  <si>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</si>
  <si>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</si>
  <si>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</si>
  <si>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</si>
  <si>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</si>
  <si>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</si>
  <si>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</si>
  <si>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</si>
  <si>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</si>
  <si>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</si>
  <si>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</si>
  <si>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</si>
  <si>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</si>
  <si>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</si>
  <si>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</si>
  <si>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</si>
  <si>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</si>
  <si>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</si>
  <si>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</si>
  <si>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</si>
  <si>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</si>
  <si>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</si>
  <si>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</si>
  <si>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</si>
  <si>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</si>
  <si>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</si>
  <si>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</si>
  <si>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</si>
  <si>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</si>
  <si>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</si>
  <si>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</si>
  <si>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</si>
  <si>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</si>
  <si>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</si>
  <si>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</si>
  <si>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</si>
  <si>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</si>
  <si>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</si>
  <si>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</si>
  <si>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</si>
  <si>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</si>
  <si>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</si>
  <si>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</si>
  <si>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</si>
  <si>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</si>
  <si>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</si>
  <si>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</si>
  <si>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</si>
  <si>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</si>
  <si>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</si>
  <si>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</si>
  <si>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</si>
  <si>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</si>
  <si>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</si>
  <si>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</si>
  <si>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</si>
  <si>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</si>
  <si>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</si>
  <si>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</si>
  <si>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</si>
  <si>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</si>
  <si>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</si>
  <si>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</si>
  <si>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</si>
  <si>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</si>
  <si>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</si>
  <si>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</si>
  <si>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</si>
  <si>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</si>
  <si>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</si>
  <si>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</si>
  <si>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</si>
  <si>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</si>
  <si>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</si>
  <si>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</si>
  <si>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</si>
  <si>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</si>
  <si>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</si>
  <si>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</si>
  <si>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</si>
  <si>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</si>
  <si>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</si>
  <si>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</si>
  <si>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</si>
  <si>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</si>
  <si>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</si>
  <si>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</si>
  <si>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</si>
  <si>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</si>
  <si>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</si>
  <si>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</si>
  <si>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</si>
  <si>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</si>
  <si>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</si>
  <si>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</si>
  <si>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</si>
  <si>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</si>
  <si>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</si>
  <si>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</si>
  <si>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</si>
  <si>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</si>
  <si>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</si>
  <si>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</si>
  <si>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</si>
  <si>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</si>
  <si>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</si>
  <si>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</si>
  <si>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</si>
  <si>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</si>
  <si>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</si>
  <si>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</si>
  <si>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</si>
  <si>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</si>
  <si>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</si>
  <si>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</si>
  <si>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</si>
  <si>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</si>
  <si>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</si>
  <si>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</si>
  <si>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</si>
  <si>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</si>
  <si>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</si>
  <si>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</si>
  <si>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</si>
  <si>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</si>
  <si>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</si>
  <si>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</si>
  <si>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</si>
  <si>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</si>
  <si>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</si>
  <si>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</si>
  <si>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</si>
  <si>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</si>
  <si>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</si>
  <si>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</si>
  <si>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</si>
  <si>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</si>
  <si>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</si>
  <si>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</si>
  <si>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</si>
  <si>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</si>
  <si>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</si>
  <si>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</si>
  <si>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</si>
  <si>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</si>
  <si>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</si>
  <si>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</si>
  <si>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</si>
  <si>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</si>
  <si>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</si>
  <si>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</si>
  <si>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</si>
  <si>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</si>
  <si>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</si>
  <si>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</si>
  <si>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</si>
  <si>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</si>
  <si>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</si>
  <si>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</si>
  <si>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</si>
  <si>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</si>
  <si>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</si>
  <si>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</si>
  <si>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</si>
  <si>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</si>
  <si>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</si>
  <si>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</si>
  <si>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</si>
  <si>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</si>
  <si>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</si>
  <si>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</si>
  <si>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</si>
  <si>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</si>
  <si>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</si>
  <si>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</si>
  <si>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</si>
  <si>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</si>
  <si>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</si>
  <si>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</si>
  <si>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</si>
  <si>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</si>
  <si>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</si>
  <si>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</si>
  <si>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</si>
  <si>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</si>
  <si>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</si>
  <si>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</si>
  <si>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</si>
  <si>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</si>
  <si>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</si>
  <si>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</si>
  <si>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</si>
  <si>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</si>
  <si>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</si>
  <si>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</si>
  <si>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</si>
  <si>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</si>
  <si>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</si>
  <si>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</si>
  <si>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</si>
  <si>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</si>
  <si>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</si>
  <si>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</si>
  <si>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</si>
  <si>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</si>
  <si>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</si>
  <si>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</si>
  <si>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</si>
  <si>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</si>
  <si>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</si>
  <si>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</si>
  <si>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</si>
  <si>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</si>
  <si>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</si>
  <si>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</si>
  <si>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</si>
  <si>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</si>
  <si>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</si>
  <si>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</si>
  <si>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</si>
  <si>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</si>
  <si>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</si>
  <si>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</si>
  <si>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</si>
  <si>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</si>
  <si>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</si>
  <si>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</si>
  <si>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</si>
  <si>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</si>
  <si>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</si>
  <si>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</si>
  <si>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</si>
  <si>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</si>
  <si>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</si>
  <si>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</si>
  <si>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</si>
  <si>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</si>
  <si>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</si>
  <si>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</si>
  <si>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</si>
  <si>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</si>
  <si>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</si>
  <si>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</si>
  <si>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</si>
  <si>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</si>
  <si>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</si>
  <si>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</si>
  <si>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</si>
  <si>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</si>
  <si>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</si>
  <si>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</si>
  <si>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</si>
  <si>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</si>
  <si>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</si>
  <si>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</si>
  <si>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</si>
  <si>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</si>
  <si>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</si>
  <si>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</si>
  <si>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</si>
  <si>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</si>
  <si>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</si>
  <si>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</si>
  <si>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</si>
  <si>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</si>
  <si>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</si>
  <si>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</si>
  <si>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</si>
  <si>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</si>
  <si>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</si>
  <si>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</si>
  <si>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</si>
  <si>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</si>
  <si>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</si>
  <si>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</si>
  <si>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</si>
  <si>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</si>
  <si>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</si>
  <si>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</si>
  <si>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</si>
  <si>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</si>
  <si>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</si>
  <si>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</si>
  <si>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</si>
  <si>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</si>
  <si>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</si>
  <si>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</si>
  <si>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</si>
  <si>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</si>
  <si>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</si>
  <si>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</si>
  <si>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</si>
  <si>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</si>
  <si>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</si>
  <si>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</si>
  <si>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</si>
  <si>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</si>
  <si>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</si>
  <si>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</si>
  <si>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</si>
  <si>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</si>
  <si>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</si>
  <si>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</si>
  <si>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</si>
  <si>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</si>
  <si>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</si>
  <si>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</si>
  <si>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</si>
  <si>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</si>
  <si>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</si>
  <si>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</si>
  <si>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</si>
  <si>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</si>
  <si>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</si>
  <si>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</si>
  <si>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</si>
  <si>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</si>
  <si>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</si>
  <si>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</si>
  <si>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</si>
  <si>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</si>
  <si>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</si>
  <si>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</si>
  <si>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</si>
  <si>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</si>
  <si>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</si>
  <si>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</si>
  <si>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</si>
  <si>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</si>
  <si>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</si>
  <si>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</si>
  <si>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</si>
  <si>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</si>
  <si>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</si>
  <si>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</si>
  <si>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</si>
  <si>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</si>
  <si>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</si>
  <si>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</si>
  <si>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</si>
  <si>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</si>
  <si>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</si>
  <si>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</si>
  <si>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</si>
  <si>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</si>
  <si>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</si>
  <si>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</si>
  <si>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</si>
  <si>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</si>
  <si>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</si>
  <si>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</si>
  <si>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</si>
  <si>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</si>
  <si>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</si>
  <si>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</si>
  <si>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</si>
  <si>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</si>
  <si>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</si>
  <si>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</si>
  <si>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</si>
  <si>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</si>
  <si>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</si>
  <si>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</si>
  <si>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</si>
  <si>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</si>
  <si>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</si>
  <si>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</si>
  <si>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</si>
  <si>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</si>
  <si>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</si>
  <si>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</si>
  <si>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</si>
  <si>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</si>
  <si>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</si>
  <si>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</si>
  <si>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</si>
  <si>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</si>
  <si>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</si>
  <si>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</si>
  <si>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</si>
  <si>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</si>
  <si>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</si>
  <si>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</si>
  <si>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</si>
  <si>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</si>
  <si>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</si>
  <si>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</si>
  <si>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</si>
  <si>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</si>
  <si>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</si>
  <si>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</si>
  <si>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</si>
  <si>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</si>
  <si>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</si>
  <si>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</si>
  <si>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</si>
  <si>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</si>
  <si>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</si>
  <si>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</si>
  <si>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</si>
  <si>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</si>
  <si>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</si>
  <si>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</si>
  <si>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</si>
  <si>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</si>
  <si>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</si>
  <si>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</si>
  <si>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</si>
  <si>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</si>
  <si>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</si>
  <si>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</si>
  <si>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</si>
  <si>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</si>
  <si>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</si>
  <si>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</si>
  <si>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</si>
  <si>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</si>
  <si>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</si>
  <si>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</si>
  <si>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</si>
  <si>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</si>
  <si>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</si>
  <si>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</si>
  <si>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</si>
  <si>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</si>
  <si>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</si>
  <si>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</si>
  <si>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</si>
  <si>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</si>
  <si>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</si>
  <si>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</si>
  <si>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</si>
  <si>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</si>
  <si>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</si>
  <si>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</si>
  <si>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</si>
  <si>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</si>
  <si>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</si>
  <si>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</si>
  <si>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</si>
  <si>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</si>
  <si>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</si>
  <si>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</si>
  <si>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</si>
  <si>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</si>
  <si>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</si>
  <si>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</si>
  <si>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</si>
  <si>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</si>
  <si>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</si>
  <si>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</si>
  <si>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</si>
  <si>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</si>
  <si>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</si>
  <si>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</si>
  <si>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</si>
  <si>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</si>
  <si>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</si>
  <si>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</si>
  <si>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</si>
  <si>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</si>
  <si>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</si>
  <si>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</si>
  <si>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</si>
  <si>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</si>
  <si>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</si>
  <si>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</si>
  <si>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</si>
  <si>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</si>
  <si>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</si>
  <si>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</si>
  <si>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</si>
  <si>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</si>
  <si>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</si>
  <si>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</si>
  <si>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</si>
  <si>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</si>
  <si>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</si>
  <si>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</si>
  <si>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</si>
  <si>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</si>
  <si>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</si>
  <si>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</si>
  <si>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</si>
  <si>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</si>
  <si>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</si>
  <si>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</si>
  <si>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</si>
  <si>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</si>
  <si>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</si>
  <si>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</si>
  <si>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</si>
  <si>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</si>
  <si>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</si>
  <si>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</si>
  <si>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</si>
  <si>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</si>
  <si>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</si>
  <si>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</si>
  <si>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</si>
  <si>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</si>
  <si>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</si>
  <si>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</si>
  <si>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</si>
  <si>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</si>
  <si>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</si>
  <si>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</si>
  <si>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</si>
  <si>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</si>
  <si>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</si>
  <si>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</si>
  <si>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</si>
  <si>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</si>
  <si>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</si>
  <si>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</si>
  <si>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</si>
  <si>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</si>
  <si>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</si>
  <si>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</si>
  <si>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</si>
  <si>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</si>
  <si>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</si>
  <si>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</si>
  <si>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</si>
  <si>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</si>
  <si>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</si>
  <si>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</si>
  <si>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</si>
  <si>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</si>
  <si>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</si>
  <si>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</si>
  <si>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</si>
  <si>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</si>
  <si>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</si>
  <si>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</si>
  <si>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</si>
  <si>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</si>
  <si>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</si>
  <si>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</si>
  <si>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</si>
  <si>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</si>
  <si>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</si>
  <si>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</si>
  <si>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</si>
  <si>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</si>
  <si>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</si>
  <si>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</si>
  <si>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</si>
  <si>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</si>
  <si>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</si>
  <si>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</si>
  <si>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</si>
  <si>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</si>
  <si>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</si>
  <si>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</si>
  <si>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</si>
  <si>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</si>
  <si>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</si>
  <si>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</si>
  <si>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</si>
  <si>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</si>
  <si>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</si>
  <si>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</si>
  <si>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</si>
  <si>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</si>
  <si>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</si>
  <si>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</si>
  <si>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</si>
  <si>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</si>
  <si>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</si>
  <si>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</si>
  <si>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</si>
  <si>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</si>
  <si>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</si>
  <si>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</si>
  <si>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</si>
  <si>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</si>
  <si>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</si>
  <si>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</si>
  <si>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</si>
  <si>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</si>
  <si>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</si>
  <si>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</si>
  <si>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</si>
  <si>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</si>
  <si>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</si>
  <si>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</si>
  <si>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</si>
  <si>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</si>
  <si>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</si>
  <si>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</si>
  <si>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</si>
  <si>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</si>
  <si>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</si>
  <si>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</si>
  <si>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</si>
  <si>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</si>
  <si>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</si>
  <si>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</si>
  <si>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</si>
  <si>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</si>
  <si>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</si>
  <si>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</si>
  <si>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</si>
  <si>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</si>
  <si>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</si>
  <si>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</si>
  <si>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</si>
  <si>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</si>
  <si>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</si>
  <si>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</si>
  <si>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</si>
  <si>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</si>
  <si>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</si>
  <si>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</si>
  <si>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</si>
  <si>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</si>
  <si>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</si>
  <si>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</si>
  <si>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</si>
  <si>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</si>
  <si>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</si>
  <si>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</si>
  <si>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</si>
  <si>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</si>
  <si>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</si>
  <si>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</si>
  <si>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</si>
  <si>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</si>
  <si>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</si>
  <si>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</si>
  <si>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</si>
  <si>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</si>
  <si>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</si>
  <si>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</si>
  <si>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</si>
  <si>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</si>
  <si>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</si>
  <si>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</si>
  <si>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</si>
  <si>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</si>
  <si>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</si>
  <si>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</si>
  <si>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</si>
  <si>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</si>
  <si>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</si>
  <si>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</si>
  <si>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</si>
  <si>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</si>
  <si>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</si>
  <si>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</si>
  <si>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</si>
  <si>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</si>
  <si>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</si>
  <si>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</si>
  <si>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</si>
  <si>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</si>
  <si>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</si>
  <si>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</si>
  <si>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</si>
  <si>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</si>
  <si>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</si>
  <si>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</si>
  <si>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</si>
  <si>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</si>
  <si>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</si>
  <si>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</si>
  <si>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</si>
  <si>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</si>
  <si>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</si>
  <si>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</si>
  <si>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</si>
  <si>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</si>
  <si>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</si>
  <si>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</si>
  <si>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</si>
  <si>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</si>
  <si>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</si>
  <si>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</si>
  <si>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</si>
  <si>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</si>
  <si>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</si>
  <si>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</si>
  <si>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</si>
  <si>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</si>
  <si>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</si>
  <si>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</si>
  <si>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</si>
  <si>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</si>
  <si>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</si>
  <si>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</si>
  <si>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</si>
  <si>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</si>
  <si>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</si>
  <si>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</si>
  <si>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</si>
  <si>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</si>
  <si>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</si>
  <si>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</si>
  <si>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</si>
  <si>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</si>
  <si>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</si>
  <si>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</si>
  <si>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</si>
  <si>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</si>
  <si>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</si>
  <si>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</si>
  <si>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</si>
  <si>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</si>
  <si>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</si>
  <si>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</si>
  <si>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</si>
  <si>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</si>
  <si>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</si>
  <si>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</si>
  <si>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</si>
  <si>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</si>
  <si>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</si>
  <si>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</si>
  <si>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</si>
  <si>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</si>
  <si>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</si>
  <si>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</si>
  <si>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</si>
  <si>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</si>
  <si>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</si>
  <si>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</si>
  <si>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</si>
  <si>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</si>
  <si>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</si>
  <si>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</si>
  <si>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</si>
  <si>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</si>
  <si>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</si>
  <si>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</si>
  <si>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</si>
  <si>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</si>
  <si>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</si>
  <si>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</si>
  <si>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</si>
  <si>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</si>
  <si>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</si>
  <si>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</si>
  <si>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</si>
  <si>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</si>
  <si>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</si>
  <si>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</si>
  <si>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</si>
  <si>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</si>
  <si>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</si>
  <si>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</si>
  <si>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</si>
  <si>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</si>
  <si>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</si>
  <si>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</si>
  <si>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</si>
  <si>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</si>
  <si>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</si>
  <si>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</si>
  <si>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</si>
  <si>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</si>
  <si>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</si>
  <si>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</si>
  <si>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</si>
  <si>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</si>
  <si>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</si>
  <si>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</si>
  <si>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</si>
  <si>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</si>
  <si>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</si>
  <si>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</si>
  <si>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</si>
  <si>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</si>
  <si>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</si>
  <si>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</si>
  <si>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</si>
  <si>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</si>
  <si>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</si>
  <si>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</si>
  <si>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</si>
  <si>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</si>
  <si>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</si>
  <si>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</si>
  <si>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</si>
  <si>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</si>
  <si>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</si>
  <si>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</si>
  <si>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</si>
  <si>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</si>
  <si>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</si>
  <si>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</si>
  <si>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</si>
  <si>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</si>
  <si>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</si>
  <si>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</si>
  <si>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</si>
  <si>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</si>
  <si>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</si>
  <si>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</si>
  <si>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</si>
  <si>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</si>
  <si>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</si>
  <si>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</si>
  <si>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</si>
  <si>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</si>
  <si>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</si>
  <si>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</si>
  <si>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</si>
  <si>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</si>
  <si>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</si>
  <si>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</si>
  <si>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</si>
  <si>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</si>
  <si>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</si>
  <si>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</si>
  <si>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</si>
  <si>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</si>
  <si>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</si>
  <si>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</si>
  <si>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</si>
  <si>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</si>
  <si>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</si>
  <si>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</si>
  <si>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</si>
  <si>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</si>
  <si>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</si>
  <si>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</si>
  <si>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</si>
  <si>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</si>
  <si>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</si>
  <si>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</si>
  <si>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</si>
  <si>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</si>
  <si>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</si>
  <si>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</si>
  <si>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</si>
  <si>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</si>
  <si>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</si>
  <si>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</si>
  <si>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</si>
  <si>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</si>
  <si>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</si>
  <si>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</si>
  <si>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</si>
  <si>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</si>
  <si>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</si>
  <si>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</si>
  <si>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</si>
  <si>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</si>
  <si>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</si>
  <si>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</si>
  <si>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</si>
  <si>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</si>
  <si>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</si>
  <si>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</si>
  <si>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</si>
  <si>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</si>
  <si>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</si>
  <si>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</si>
  <si>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</si>
  <si>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</si>
  <si>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</si>
  <si>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</si>
  <si>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</si>
  <si>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</si>
  <si>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</si>
  <si>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</si>
  <si>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</si>
  <si>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</si>
  <si>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</si>
  <si>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</si>
  <si>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</si>
  <si>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</si>
  <si>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</si>
  <si>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</si>
  <si>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</si>
  <si>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</si>
  <si>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</si>
  <si>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</si>
  <si>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</si>
  <si>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</si>
  <si>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</si>
  <si>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</si>
  <si>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</si>
  <si>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</si>
  <si>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</si>
  <si>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</si>
  <si>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</si>
  <si>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</si>
  <si>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</si>
  <si>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</si>
  <si>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</si>
  <si>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</si>
  <si>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</si>
  <si>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</si>
  <si>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</si>
  <si>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</si>
  <si>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</si>
  <si>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</si>
  <si>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</si>
  <si>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</si>
  <si>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</si>
  <si>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</si>
  <si>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</si>
  <si>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</si>
  <si>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</si>
  <si>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</si>
  <si>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</si>
  <si>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</si>
  <si>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</si>
  <si>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</si>
  <si>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</si>
  <si>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</si>
  <si>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</si>
  <si>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</si>
  <si>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</si>
  <si>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</si>
  <si>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</si>
  <si>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</si>
  <si>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</si>
  <si>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</si>
  <si>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</si>
  <si>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</si>
  <si>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</si>
  <si>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</si>
  <si>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</si>
  <si>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</si>
  <si>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</si>
  <si>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</si>
  <si>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</si>
  <si>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</si>
  <si>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</si>
  <si>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</si>
  <si>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B2</t>
  </si>
  <si>
    <t>SR APP 11 KVA</t>
  </si>
  <si>
    <t>Daya 11.000 VA</t>
  </si>
  <si>
    <t>CA5</t>
  </si>
  <si>
    <t>CA9</t>
  </si>
  <si>
    <t>CA1</t>
  </si>
  <si>
    <t>CM2-12</t>
  </si>
  <si>
    <t>CM2-12A</t>
  </si>
  <si>
    <t>CE1-3</t>
  </si>
  <si>
    <t>F1-3</t>
  </si>
  <si>
    <t>C12-200E</t>
  </si>
  <si>
    <t>BTG</t>
  </si>
  <si>
    <t>C9-200E</t>
  </si>
  <si>
    <t>LVTC 2X70+70</t>
  </si>
  <si>
    <t>MTR</t>
  </si>
  <si>
    <t>AAAC 70MM</t>
  </si>
  <si>
    <t>-7.123958, 110.906781</t>
  </si>
  <si>
    <t>PB SUBARJO 11KVA</t>
  </si>
  <si>
    <t>DS KRANGGANHARJO</t>
  </si>
  <si>
    <t>CM2-11</t>
  </si>
  <si>
    <t>K2-715</t>
  </si>
  <si>
    <t>PWI12</t>
  </si>
  <si>
    <t>K2-715/6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</si>
</sst>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8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42" fillId="0" borderId="21" xfId="1450" applyFont="1" applyBorder="1" applyAlignment="1">
      <alignment vertical="center" wrapText="1"/>
    </xf>
    <xf numFmtId="0" fontId="42" fillId="0" borderId="21" xfId="1652" applyFont="1" applyBorder="1" applyAlignment="1">
      <alignment vertical="center" wrapText="1"/>
    </xf>
    <xf numFmtId="0" fontId="112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1.9679561275597579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8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8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167</xdr:row>
      <xdr:rowOff>68515</xdr:rowOff>
    </xdr:from>
    <xdr:to>
      <xdr:col>12</xdr:col>
      <xdr:colOff>189677</xdr:colOff>
      <xdr:row>170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52224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52807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20639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20639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14935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15641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66455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308044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53010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98044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98627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66459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66459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62660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63366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96325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75371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13469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707754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9655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30615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41080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71586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80171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83028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67787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363791</xdr:colOff>
      <xdr:row>4</xdr:row>
      <xdr:rowOff>91109</xdr:rowOff>
    </xdr:from>
    <xdr:to>
      <xdr:col>8</xdr:col>
      <xdr:colOff>177574</xdr:colOff>
      <xdr:row>36</xdr:row>
      <xdr:rowOff>108829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 rot="5400000">
          <a:off x="218960" y="3074390"/>
          <a:ext cx="4904045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331306</xdr:colOff>
      <xdr:row>12</xdr:row>
      <xdr:rowOff>107674</xdr:rowOff>
    </xdr:from>
    <xdr:to>
      <xdr:col>9</xdr:col>
      <xdr:colOff>94858</xdr:colOff>
      <xdr:row>13</xdr:row>
      <xdr:rowOff>87542</xdr:rowOff>
    </xdr:to>
    <xdr:grpSp>
      <xdr:nvGrpSpPr>
        <xdr:cNvPr id="182" name="Group 13">
          <a:extLst>
            <a:ext uri="{FF2B5EF4-FFF2-40B4-BE49-F238E27FC236}">
              <a16:creationId xmlns:a16="http://schemas.microsoft.com/office/drawing/2014/main" id="{ADCBFF56-9E95-40AE-B719-9191380E7412}"/>
            </a:ext>
          </a:extLst>
        </xdr:cNvPr>
        <xdr:cNvGrpSpPr/>
      </xdr:nvGrpSpPr>
      <xdr:grpSpPr>
        <a:xfrm>
          <a:off x="2922106" y="1965049"/>
          <a:ext cx="144552" cy="141793"/>
          <a:chOff x="9937028" y="802652"/>
          <a:chExt cx="83991" cy="77961"/>
        </a:xfrm>
      </xdr:grpSpPr>
      <xdr:sp macro="" textlink="">
        <xdr:nvSpPr>
          <xdr:cNvPr id="183" name="Oval 1">
            <a:extLst>
              <a:ext uri="{FF2B5EF4-FFF2-40B4-BE49-F238E27FC236}">
                <a16:creationId xmlns:a16="http://schemas.microsoft.com/office/drawing/2014/main" id="{E7D8FD80-4AB2-1D2B-ECBA-D01242835D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3">
            <a:extLst>
              <a:ext uri="{FF2B5EF4-FFF2-40B4-BE49-F238E27FC236}">
                <a16:creationId xmlns:a16="http://schemas.microsoft.com/office/drawing/2014/main" id="{ED1605B0-7E8E-AB79-DFF2-CE2101C9BB4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7">
            <a:extLst>
              <a:ext uri="{FF2B5EF4-FFF2-40B4-BE49-F238E27FC236}">
                <a16:creationId xmlns:a16="http://schemas.microsoft.com/office/drawing/2014/main" id="{44D03887-2F4E-215A-C8BD-2BB73B5B3C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323025</xdr:colOff>
      <xdr:row>23</xdr:row>
      <xdr:rowOff>1</xdr:rowOff>
    </xdr:from>
    <xdr:to>
      <xdr:col>9</xdr:col>
      <xdr:colOff>86577</xdr:colOff>
      <xdr:row>23</xdr:row>
      <xdr:rowOff>145521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913825" y="3543301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180561</xdr:colOff>
      <xdr:row>11</xdr:row>
      <xdr:rowOff>74957</xdr:rowOff>
    </xdr:from>
    <xdr:to>
      <xdr:col>16</xdr:col>
      <xdr:colOff>322630</xdr:colOff>
      <xdr:row>12</xdr:row>
      <xdr:rowOff>7748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5819361" y="177993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1241</xdr:colOff>
      <xdr:row>19</xdr:row>
      <xdr:rowOff>48453</xdr:rowOff>
    </xdr:from>
    <xdr:to>
      <xdr:col>19</xdr:col>
      <xdr:colOff>104775</xdr:colOff>
      <xdr:row>22</xdr:row>
      <xdr:rowOff>38100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6402041" y="2982153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18</xdr:col>
      <xdr:colOff>14081</xdr:colOff>
      <xdr:row>19</xdr:row>
      <xdr:rowOff>54252</xdr:rowOff>
    </xdr:from>
    <xdr:to>
      <xdr:col>18</xdr:col>
      <xdr:colOff>146603</xdr:colOff>
      <xdr:row>20</xdr:row>
      <xdr:rowOff>62535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6414881" y="2987952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5</xdr:col>
      <xdr:colOff>275397</xdr:colOff>
      <xdr:row>11</xdr:row>
      <xdr:rowOff>38101</xdr:rowOff>
    </xdr:from>
    <xdr:to>
      <xdr:col>8</xdr:col>
      <xdr:colOff>47625</xdr:colOff>
      <xdr:row>15</xdr:row>
      <xdr:rowOff>85726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1723197" y="1743076"/>
          <a:ext cx="915228" cy="66675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K2-715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</xdr:txBody>
    </xdr:sp>
    <xdr:clientData/>
  </xdr:twoCellAnchor>
  <xdr:twoCellAnchor>
    <xdr:from>
      <xdr:col>10</xdr:col>
      <xdr:colOff>190500</xdr:colOff>
      <xdr:row>12</xdr:row>
      <xdr:rowOff>104775</xdr:rowOff>
    </xdr:from>
    <xdr:to>
      <xdr:col>10</xdr:col>
      <xdr:colOff>335052</xdr:colOff>
      <xdr:row>13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3543300" y="1962150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342458</xdr:colOff>
      <xdr:row>13</xdr:row>
      <xdr:rowOff>67059</xdr:rowOff>
    </xdr:from>
    <xdr:to>
      <xdr:col>17</xdr:col>
      <xdr:colOff>68794</xdr:colOff>
      <xdr:row>16</xdr:row>
      <xdr:rowOff>21311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>
          <a:stCxn id="229" idx="5"/>
          <a:endCxn id="241" idx="1"/>
        </xdr:cNvCxnSpPr>
      </xdr:nvCxnSpPr>
      <xdr:spPr>
        <a:xfrm>
          <a:off x="5981258" y="2086359"/>
          <a:ext cx="107336" cy="41145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11</xdr:row>
      <xdr:rowOff>28575</xdr:rowOff>
    </xdr:from>
    <xdr:to>
      <xdr:col>17</xdr:col>
      <xdr:colOff>333375</xdr:colOff>
      <xdr:row>12</xdr:row>
      <xdr:rowOff>39967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5867400" y="1733550"/>
          <a:ext cx="485775" cy="1637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17</xdr:col>
      <xdr:colOff>192177</xdr:colOff>
      <xdr:row>16</xdr:row>
      <xdr:rowOff>72760</xdr:rowOff>
    </xdr:from>
    <xdr:to>
      <xdr:col>18</xdr:col>
      <xdr:colOff>38100</xdr:colOff>
      <xdr:row>19</xdr:row>
      <xdr:rowOff>57150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241" idx="6"/>
        </xdr:cNvCxnSpPr>
      </xdr:nvCxnSpPr>
      <xdr:spPr>
        <a:xfrm flipH="1" flipV="1">
          <a:off x="6211977" y="2549260"/>
          <a:ext cx="226923" cy="4415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291589</xdr:colOff>
      <xdr:row>17</xdr:row>
      <xdr:rowOff>127511</xdr:rowOff>
    </xdr:from>
    <xdr:to>
      <xdr:col>17</xdr:col>
      <xdr:colOff>356140</xdr:colOff>
      <xdr:row>18</xdr:row>
      <xdr:rowOff>51341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13719580">
          <a:off x="6305550" y="2762250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200025</xdr:colOff>
      <xdr:row>21</xdr:row>
      <xdr:rowOff>114300</xdr:rowOff>
    </xdr:from>
    <xdr:to>
      <xdr:col>20</xdr:col>
      <xdr:colOff>142875</xdr:colOff>
      <xdr:row>24</xdr:row>
      <xdr:rowOff>95250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6219825" y="3352800"/>
          <a:ext cx="1085850" cy="43815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323850</xdr:colOff>
      <xdr:row>8</xdr:row>
      <xdr:rowOff>9525</xdr:rowOff>
    </xdr:from>
    <xdr:to>
      <xdr:col>8</xdr:col>
      <xdr:colOff>342900</xdr:colOff>
      <xdr:row>27</xdr:row>
      <xdr:rowOff>114300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7CF82C8-8C18-40A0-8DD6-311F008DB7B0}"/>
            </a:ext>
          </a:extLst>
        </xdr:cNvPr>
        <xdr:cNvCxnSpPr/>
      </xdr:nvCxnSpPr>
      <xdr:spPr>
        <a:xfrm flipH="1">
          <a:off x="2914650" y="1257300"/>
          <a:ext cx="19050" cy="30099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316308</xdr:colOff>
      <xdr:row>17</xdr:row>
      <xdr:rowOff>140892</xdr:rowOff>
    </xdr:from>
    <xdr:to>
      <xdr:col>9</xdr:col>
      <xdr:colOff>495</xdr:colOff>
      <xdr:row>18</xdr:row>
      <xdr:rowOff>95744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5D53F16A-727C-43D2-9EAB-355A1CB995A3}"/>
            </a:ext>
          </a:extLst>
        </xdr:cNvPr>
        <xdr:cNvGrpSpPr/>
      </xdr:nvGrpSpPr>
      <xdr:grpSpPr>
        <a:xfrm rot="4218280">
          <a:off x="2886076" y="2790824"/>
          <a:ext cx="107252" cy="65187"/>
          <a:chOff x="13029613" y="2289822"/>
          <a:chExt cx="107252" cy="65187"/>
        </a:xfrm>
      </xdr:grpSpPr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0E2D1F8D-AF08-072A-CAFB-977F367D681E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50">
            <a:extLst>
              <a:ext uri="{FF2B5EF4-FFF2-40B4-BE49-F238E27FC236}">
                <a16:creationId xmlns:a16="http://schemas.microsoft.com/office/drawing/2014/main" id="{57908099-CEA9-D669-CF62-F99AF7D840B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A287BCB0-5EC2-A507-F32C-37D2A241549B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316308</xdr:colOff>
      <xdr:row>10</xdr:row>
      <xdr:rowOff>36118</xdr:rowOff>
    </xdr:from>
    <xdr:to>
      <xdr:col>9</xdr:col>
      <xdr:colOff>495</xdr:colOff>
      <xdr:row>10</xdr:row>
      <xdr:rowOff>143370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6DF46274-8106-4E60-9D2E-AE2D140C6F30}"/>
            </a:ext>
          </a:extLst>
        </xdr:cNvPr>
        <xdr:cNvGrpSpPr/>
      </xdr:nvGrpSpPr>
      <xdr:grpSpPr>
        <a:xfrm rot="4765071">
          <a:off x="2886076" y="1609725"/>
          <a:ext cx="107252" cy="65187"/>
          <a:chOff x="13029613" y="2289822"/>
          <a:chExt cx="107252" cy="65187"/>
        </a:xfrm>
      </xdr:grpSpPr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47F797AD-C16F-AD02-0E10-FF68006A6937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50">
            <a:extLst>
              <a:ext uri="{FF2B5EF4-FFF2-40B4-BE49-F238E27FC236}">
                <a16:creationId xmlns:a16="http://schemas.microsoft.com/office/drawing/2014/main" id="{16E8E7C3-FE8A-85A4-7E0C-DDD7B2130F5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DF0B19D-1F3C-69C9-E505-E9A6BF54B99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287731</xdr:colOff>
      <xdr:row>25</xdr:row>
      <xdr:rowOff>150419</xdr:rowOff>
    </xdr:from>
    <xdr:to>
      <xdr:col>8</xdr:col>
      <xdr:colOff>352918</xdr:colOff>
      <xdr:row>26</xdr:row>
      <xdr:rowOff>105271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2D2F67AB-D068-4B64-BC12-2B51DC92C0BF}"/>
            </a:ext>
          </a:extLst>
        </xdr:cNvPr>
        <xdr:cNvGrpSpPr/>
      </xdr:nvGrpSpPr>
      <xdr:grpSpPr>
        <a:xfrm rot="4185919">
          <a:off x="2857499" y="4019551"/>
          <a:ext cx="107252" cy="65187"/>
          <a:chOff x="13029613" y="2289822"/>
          <a:chExt cx="107252" cy="65187"/>
        </a:xfrm>
      </xdr:grpSpPr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5A8673D2-0A6F-B4E9-4DE6-04C5F5F6215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50">
            <a:extLst>
              <a:ext uri="{FF2B5EF4-FFF2-40B4-BE49-F238E27FC236}">
                <a16:creationId xmlns:a16="http://schemas.microsoft.com/office/drawing/2014/main" id="{29E46F7C-B466-694E-5F36-379CDF0AF08B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712C3FB-7DA2-F100-045E-D085CC7D0249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19050</xdr:colOff>
      <xdr:row>12</xdr:row>
      <xdr:rowOff>114300</xdr:rowOff>
    </xdr:from>
    <xdr:to>
      <xdr:col>9</xdr:col>
      <xdr:colOff>577</xdr:colOff>
      <xdr:row>13</xdr:row>
      <xdr:rowOff>144742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FA0AA05D-BB4E-4F6E-9A4F-B2E0B7E858B2}"/>
            </a:ext>
          </a:extLst>
        </xdr:cNvPr>
        <xdr:cNvSpPr txBox="1"/>
      </xdr:nvSpPr>
      <xdr:spPr>
        <a:xfrm>
          <a:off x="2609850" y="1971675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100</a:t>
          </a:r>
        </a:p>
      </xdr:txBody>
    </xdr:sp>
    <xdr:clientData/>
  </xdr:twoCellAnchor>
  <xdr:twoCellAnchor>
    <xdr:from>
      <xdr:col>9</xdr:col>
      <xdr:colOff>85725</xdr:colOff>
      <xdr:row>7</xdr:row>
      <xdr:rowOff>123825</xdr:rowOff>
    </xdr:from>
    <xdr:to>
      <xdr:col>9</xdr:col>
      <xdr:colOff>104775</xdr:colOff>
      <xdr:row>27</xdr:row>
      <xdr:rowOff>66675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709469E-257E-4DC3-932A-F3622A5027F5}"/>
            </a:ext>
          </a:extLst>
        </xdr:cNvPr>
        <xdr:cNvCxnSpPr/>
      </xdr:nvCxnSpPr>
      <xdr:spPr>
        <a:xfrm flipH="1">
          <a:off x="3057525" y="1209675"/>
          <a:ext cx="19050" cy="30099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12</xdr:row>
      <xdr:rowOff>28575</xdr:rowOff>
    </xdr:from>
    <xdr:to>
      <xdr:col>8</xdr:col>
      <xdr:colOff>326253</xdr:colOff>
      <xdr:row>12</xdr:row>
      <xdr:rowOff>113766</xdr:rowOff>
    </xdr:to>
    <xdr:grpSp>
      <xdr:nvGrpSpPr>
        <xdr:cNvPr id="190" name="Group 134">
          <a:extLst>
            <a:ext uri="{FF2B5EF4-FFF2-40B4-BE49-F238E27FC236}">
              <a16:creationId xmlns:a16="http://schemas.microsoft.com/office/drawing/2014/main" id="{3ACD9574-5085-49D7-BF01-B6950E72EB12}"/>
            </a:ext>
          </a:extLst>
        </xdr:cNvPr>
        <xdr:cNvGrpSpPr/>
      </xdr:nvGrpSpPr>
      <xdr:grpSpPr>
        <a:xfrm>
          <a:off x="2667000" y="188595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2" name="Isosceles Triangle 118">
            <a:extLst>
              <a:ext uri="{FF2B5EF4-FFF2-40B4-BE49-F238E27FC236}">
                <a16:creationId xmlns:a16="http://schemas.microsoft.com/office/drawing/2014/main" id="{8200429A-216F-7DF1-034D-0D11A2AE2E5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4" name="Isosceles Triangle 119">
            <a:extLst>
              <a:ext uri="{FF2B5EF4-FFF2-40B4-BE49-F238E27FC236}">
                <a16:creationId xmlns:a16="http://schemas.microsoft.com/office/drawing/2014/main" id="{11CBCC98-F3B2-F943-84F3-7D8F77EFD6C1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5" name="Isosceles Triangle 120">
            <a:extLst>
              <a:ext uri="{FF2B5EF4-FFF2-40B4-BE49-F238E27FC236}">
                <a16:creationId xmlns:a16="http://schemas.microsoft.com/office/drawing/2014/main" id="{D5BEE1D1-4A31-7F07-4F8C-81CC7168C3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352425</xdr:colOff>
      <xdr:row>12</xdr:row>
      <xdr:rowOff>114300</xdr:rowOff>
    </xdr:from>
    <xdr:to>
      <xdr:col>12</xdr:col>
      <xdr:colOff>115977</xdr:colOff>
      <xdr:row>13</xdr:row>
      <xdr:rowOff>97895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FAB929E3-5E36-4E72-9E61-8943226985F8}"/>
            </a:ext>
          </a:extLst>
        </xdr:cNvPr>
        <xdr:cNvGrpSpPr/>
      </xdr:nvGrpSpPr>
      <xdr:grpSpPr>
        <a:xfrm>
          <a:off x="4086225" y="1971675"/>
          <a:ext cx="144552" cy="145520"/>
          <a:chOff x="9937028" y="802652"/>
          <a:chExt cx="83991" cy="77961"/>
        </a:xfrm>
      </xdr:grpSpPr>
      <xdr:sp macro="" textlink="">
        <xdr:nvSpPr>
          <xdr:cNvPr id="201" name="Oval 1">
            <a:extLst>
              <a:ext uri="{FF2B5EF4-FFF2-40B4-BE49-F238E27FC236}">
                <a16:creationId xmlns:a16="http://schemas.microsoft.com/office/drawing/2014/main" id="{9596A4B0-3687-B8CB-F448-5EDD4A65BA5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8ECC09E7-D501-E281-2D1F-5A125766936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ABC7EAFC-8156-A4A3-4DEF-61E27E62BE6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47625</xdr:colOff>
      <xdr:row>12</xdr:row>
      <xdr:rowOff>114300</xdr:rowOff>
    </xdr:from>
    <xdr:to>
      <xdr:col>13</xdr:col>
      <xdr:colOff>192177</xdr:colOff>
      <xdr:row>13</xdr:row>
      <xdr:rowOff>97895</xdr:rowOff>
    </xdr:to>
    <xdr:grpSp>
      <xdr:nvGrpSpPr>
        <xdr:cNvPr id="224" name="Group 13">
          <a:extLst>
            <a:ext uri="{FF2B5EF4-FFF2-40B4-BE49-F238E27FC236}">
              <a16:creationId xmlns:a16="http://schemas.microsoft.com/office/drawing/2014/main" id="{5365A653-12E1-47C5-8EE5-E5C16B6C195C}"/>
            </a:ext>
          </a:extLst>
        </xdr:cNvPr>
        <xdr:cNvGrpSpPr/>
      </xdr:nvGrpSpPr>
      <xdr:grpSpPr>
        <a:xfrm>
          <a:off x="4543425" y="1971675"/>
          <a:ext cx="144552" cy="145520"/>
          <a:chOff x="9937028" y="802652"/>
          <a:chExt cx="83991" cy="77961"/>
        </a:xfrm>
      </xdr:grpSpPr>
      <xdr:sp macro="" textlink="">
        <xdr:nvSpPr>
          <xdr:cNvPr id="225" name="Oval 1">
            <a:extLst>
              <a:ext uri="{FF2B5EF4-FFF2-40B4-BE49-F238E27FC236}">
                <a16:creationId xmlns:a16="http://schemas.microsoft.com/office/drawing/2014/main" id="{307E91E3-4A60-A38C-9D84-2F1928CDB1F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6" name="Straight Connector 3">
            <a:extLst>
              <a:ext uri="{FF2B5EF4-FFF2-40B4-BE49-F238E27FC236}">
                <a16:creationId xmlns:a16="http://schemas.microsoft.com/office/drawing/2014/main" id="{28F1A423-3DF9-10B2-BE29-B1150B48874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7">
            <a:extLst>
              <a:ext uri="{FF2B5EF4-FFF2-40B4-BE49-F238E27FC236}">
                <a16:creationId xmlns:a16="http://schemas.microsoft.com/office/drawing/2014/main" id="{1D68DCCB-21C0-529A-6E92-D3E729CC7CA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219075</xdr:colOff>
      <xdr:row>12</xdr:row>
      <xdr:rowOff>104775</xdr:rowOff>
    </xdr:from>
    <xdr:to>
      <xdr:col>16</xdr:col>
      <xdr:colOff>363627</xdr:colOff>
      <xdr:row>13</xdr:row>
      <xdr:rowOff>88370</xdr:rowOff>
    </xdr:to>
    <xdr:grpSp>
      <xdr:nvGrpSpPr>
        <xdr:cNvPr id="228" name="Group 13">
          <a:extLst>
            <a:ext uri="{FF2B5EF4-FFF2-40B4-BE49-F238E27FC236}">
              <a16:creationId xmlns:a16="http://schemas.microsoft.com/office/drawing/2014/main" id="{54474297-DFD7-4D4A-9E05-524FD1818CD5}"/>
            </a:ext>
          </a:extLst>
        </xdr:cNvPr>
        <xdr:cNvGrpSpPr/>
      </xdr:nvGrpSpPr>
      <xdr:grpSpPr>
        <a:xfrm>
          <a:off x="5857875" y="1962150"/>
          <a:ext cx="144552" cy="145520"/>
          <a:chOff x="9937028" y="802652"/>
          <a:chExt cx="83991" cy="77961"/>
        </a:xfrm>
      </xdr:grpSpPr>
      <xdr:sp macro="" textlink="">
        <xdr:nvSpPr>
          <xdr:cNvPr id="229" name="Oval 1">
            <a:extLst>
              <a:ext uri="{FF2B5EF4-FFF2-40B4-BE49-F238E27FC236}">
                <a16:creationId xmlns:a16="http://schemas.microsoft.com/office/drawing/2014/main" id="{BDF8AC21-3031-ADB0-A734-5BC25D656E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0" name="Straight Connector 3">
            <a:extLst>
              <a:ext uri="{FF2B5EF4-FFF2-40B4-BE49-F238E27FC236}">
                <a16:creationId xmlns:a16="http://schemas.microsoft.com/office/drawing/2014/main" id="{C48C2A9F-4B39-A012-147A-E38D39F05C2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">
            <a:extLst>
              <a:ext uri="{FF2B5EF4-FFF2-40B4-BE49-F238E27FC236}">
                <a16:creationId xmlns:a16="http://schemas.microsoft.com/office/drawing/2014/main" id="{71469948-BD1A-27D3-C15F-885866C801A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190500</xdr:colOff>
      <xdr:row>12</xdr:row>
      <xdr:rowOff>114300</xdr:rowOff>
    </xdr:from>
    <xdr:to>
      <xdr:col>15</xdr:col>
      <xdr:colOff>335052</xdr:colOff>
      <xdr:row>13</xdr:row>
      <xdr:rowOff>97895</xdr:rowOff>
    </xdr:to>
    <xdr:grpSp>
      <xdr:nvGrpSpPr>
        <xdr:cNvPr id="232" name="Group 13">
          <a:extLst>
            <a:ext uri="{FF2B5EF4-FFF2-40B4-BE49-F238E27FC236}">
              <a16:creationId xmlns:a16="http://schemas.microsoft.com/office/drawing/2014/main" id="{A8278A65-B3F9-44AA-A8E6-2D4B2DB684B1}"/>
            </a:ext>
          </a:extLst>
        </xdr:cNvPr>
        <xdr:cNvGrpSpPr/>
      </xdr:nvGrpSpPr>
      <xdr:grpSpPr>
        <a:xfrm>
          <a:off x="5448300" y="1971675"/>
          <a:ext cx="144552" cy="145520"/>
          <a:chOff x="9937028" y="802652"/>
          <a:chExt cx="83991" cy="77961"/>
        </a:xfrm>
      </xdr:grpSpPr>
      <xdr:sp macro="" textlink="">
        <xdr:nvSpPr>
          <xdr:cNvPr id="233" name="Oval 1">
            <a:extLst>
              <a:ext uri="{FF2B5EF4-FFF2-40B4-BE49-F238E27FC236}">
                <a16:creationId xmlns:a16="http://schemas.microsoft.com/office/drawing/2014/main" id="{2397EE25-1E9E-E140-43A6-13DC18014F0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4" name="Straight Connector 3">
            <a:extLst>
              <a:ext uri="{FF2B5EF4-FFF2-40B4-BE49-F238E27FC236}">
                <a16:creationId xmlns:a16="http://schemas.microsoft.com/office/drawing/2014/main" id="{8D43B02B-35A2-1BA5-A94C-24FA492741E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7">
            <a:extLst>
              <a:ext uri="{FF2B5EF4-FFF2-40B4-BE49-F238E27FC236}">
                <a16:creationId xmlns:a16="http://schemas.microsoft.com/office/drawing/2014/main" id="{8B48141B-D075-2A4B-6FBB-F88B9530DB8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142875</xdr:colOff>
      <xdr:row>12</xdr:row>
      <xdr:rowOff>104775</xdr:rowOff>
    </xdr:from>
    <xdr:to>
      <xdr:col>14</xdr:col>
      <xdr:colOff>287427</xdr:colOff>
      <xdr:row>13</xdr:row>
      <xdr:rowOff>88370</xdr:rowOff>
    </xdr:to>
    <xdr:grpSp>
      <xdr:nvGrpSpPr>
        <xdr:cNvPr id="236" name="Group 13">
          <a:extLst>
            <a:ext uri="{FF2B5EF4-FFF2-40B4-BE49-F238E27FC236}">
              <a16:creationId xmlns:a16="http://schemas.microsoft.com/office/drawing/2014/main" id="{6F59B778-D5A6-4484-B9D5-D2F2C79F3435}"/>
            </a:ext>
          </a:extLst>
        </xdr:cNvPr>
        <xdr:cNvGrpSpPr/>
      </xdr:nvGrpSpPr>
      <xdr:grpSpPr>
        <a:xfrm>
          <a:off x="5019675" y="1962150"/>
          <a:ext cx="144552" cy="145520"/>
          <a:chOff x="9937028" y="802652"/>
          <a:chExt cx="83991" cy="77961"/>
        </a:xfrm>
      </xdr:grpSpPr>
      <xdr:sp macro="" textlink="">
        <xdr:nvSpPr>
          <xdr:cNvPr id="237" name="Oval 1">
            <a:extLst>
              <a:ext uri="{FF2B5EF4-FFF2-40B4-BE49-F238E27FC236}">
                <a16:creationId xmlns:a16="http://schemas.microsoft.com/office/drawing/2014/main" id="{4FD2D97F-2192-AD8A-4F00-060D1A03A12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8" name="Straight Connector 3">
            <a:extLst>
              <a:ext uri="{FF2B5EF4-FFF2-40B4-BE49-F238E27FC236}">
                <a16:creationId xmlns:a16="http://schemas.microsoft.com/office/drawing/2014/main" id="{B9BC0CC5-5BFC-554B-7079-1C9A22EE21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7">
            <a:extLst>
              <a:ext uri="{FF2B5EF4-FFF2-40B4-BE49-F238E27FC236}">
                <a16:creationId xmlns:a16="http://schemas.microsoft.com/office/drawing/2014/main" id="{A0906C45-7DD4-C4EF-F910-7957B8DA2EB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47625</xdr:colOff>
      <xdr:row>16</xdr:row>
      <xdr:rowOff>0</xdr:rowOff>
    </xdr:from>
    <xdr:to>
      <xdr:col>17</xdr:col>
      <xdr:colOff>192177</xdr:colOff>
      <xdr:row>16</xdr:row>
      <xdr:rowOff>145520</xdr:rowOff>
    </xdr:to>
    <xdr:grpSp>
      <xdr:nvGrpSpPr>
        <xdr:cNvPr id="240" name="Group 13">
          <a:extLst>
            <a:ext uri="{FF2B5EF4-FFF2-40B4-BE49-F238E27FC236}">
              <a16:creationId xmlns:a16="http://schemas.microsoft.com/office/drawing/2014/main" id="{008F6F1C-36D8-4AE6-8C6E-FDA71E8E959C}"/>
            </a:ext>
          </a:extLst>
        </xdr:cNvPr>
        <xdr:cNvGrpSpPr/>
      </xdr:nvGrpSpPr>
      <xdr:grpSpPr>
        <a:xfrm>
          <a:off x="6067425" y="2476500"/>
          <a:ext cx="144552" cy="145520"/>
          <a:chOff x="9937028" y="802652"/>
          <a:chExt cx="83991" cy="77961"/>
        </a:xfrm>
      </xdr:grpSpPr>
      <xdr:sp macro="" textlink="">
        <xdr:nvSpPr>
          <xdr:cNvPr id="241" name="Oval 1">
            <a:extLst>
              <a:ext uri="{FF2B5EF4-FFF2-40B4-BE49-F238E27FC236}">
                <a16:creationId xmlns:a16="http://schemas.microsoft.com/office/drawing/2014/main" id="{74908B6E-3357-207B-9030-87A3BF4820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2" name="Straight Connector 3">
            <a:extLst>
              <a:ext uri="{FF2B5EF4-FFF2-40B4-BE49-F238E27FC236}">
                <a16:creationId xmlns:a16="http://schemas.microsoft.com/office/drawing/2014/main" id="{831D27E1-9059-F69D-108C-23FFC31ED92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7">
            <a:extLst>
              <a:ext uri="{FF2B5EF4-FFF2-40B4-BE49-F238E27FC236}">
                <a16:creationId xmlns:a16="http://schemas.microsoft.com/office/drawing/2014/main" id="{6C71FAAA-C0F3-38DC-20D8-78791758A5D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371475</xdr:colOff>
      <xdr:row>13</xdr:row>
      <xdr:rowOff>9525</xdr:rowOff>
    </xdr:from>
    <xdr:to>
      <xdr:col>17</xdr:col>
      <xdr:colOff>182880</xdr:colOff>
      <xdr:row>13</xdr:row>
      <xdr:rowOff>20955</xdr:rowOff>
    </xdr:to>
    <xdr:cxnSp macro="">
      <xdr:nvCxnSpPr>
        <xdr:cNvPr id="244" name="Straight Arrow Connector 166">
          <a:extLst>
            <a:ext uri="{FF2B5EF4-FFF2-40B4-BE49-F238E27FC236}">
              <a16:creationId xmlns:a16="http://schemas.microsoft.com/office/drawing/2014/main" id="{249624D3-CECB-4E83-9FFE-0D5E8F236271}"/>
            </a:ext>
          </a:extLst>
        </xdr:cNvPr>
        <xdr:cNvCxnSpPr>
          <a:cxnSpLocks/>
        </xdr:cNvCxnSpPr>
      </xdr:nvCxnSpPr>
      <xdr:spPr>
        <a:xfrm flipV="1">
          <a:off x="6010275" y="2028825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13</xdr:row>
      <xdr:rowOff>21311</xdr:rowOff>
    </xdr:from>
    <xdr:to>
      <xdr:col>16</xdr:col>
      <xdr:colOff>230719</xdr:colOff>
      <xdr:row>13</xdr:row>
      <xdr:rowOff>28575</xdr:rowOff>
    </xdr:to>
    <xdr:cxnSp macro="">
      <xdr:nvCxnSpPr>
        <xdr:cNvPr id="245" name="Straight Connector 244">
          <a:extLst>
            <a:ext uri="{FF2B5EF4-FFF2-40B4-BE49-F238E27FC236}">
              <a16:creationId xmlns:a16="http://schemas.microsoft.com/office/drawing/2014/main" id="{81209C2D-DCA2-4A97-A935-8FC8DF06818F}"/>
            </a:ext>
          </a:extLst>
        </xdr:cNvPr>
        <xdr:cNvCxnSpPr/>
      </xdr:nvCxnSpPr>
      <xdr:spPr>
        <a:xfrm flipV="1">
          <a:off x="3019425" y="2040611"/>
          <a:ext cx="2850094" cy="7264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114300</xdr:colOff>
      <xdr:row>16</xdr:row>
      <xdr:rowOff>135255</xdr:rowOff>
    </xdr:from>
    <xdr:to>
      <xdr:col>17</xdr:col>
      <xdr:colOff>142875</xdr:colOff>
      <xdr:row>18</xdr:row>
      <xdr:rowOff>0</xdr:rowOff>
    </xdr:to>
    <xdr:cxnSp macro="">
      <xdr:nvCxnSpPr>
        <xdr:cNvPr id="249" name="Straight Arrow Connector 166">
          <a:extLst>
            <a:ext uri="{FF2B5EF4-FFF2-40B4-BE49-F238E27FC236}">
              <a16:creationId xmlns:a16="http://schemas.microsoft.com/office/drawing/2014/main" id="{BDB97C10-EB71-4E80-94B6-4CABF2023C04}"/>
            </a:ext>
          </a:extLst>
        </xdr:cNvPr>
        <xdr:cNvCxnSpPr>
          <a:cxnSpLocks/>
        </xdr:cNvCxnSpPr>
      </xdr:nvCxnSpPr>
      <xdr:spPr>
        <a:xfrm>
          <a:off x="6134100" y="2611755"/>
          <a:ext cx="28575" cy="169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</xdr:colOff>
      <xdr:row>14</xdr:row>
      <xdr:rowOff>113825</xdr:rowOff>
    </xdr:from>
    <xdr:to>
      <xdr:col>17</xdr:col>
      <xdr:colOff>83347</xdr:colOff>
      <xdr:row>15</xdr:row>
      <xdr:rowOff>45247</xdr:rowOff>
    </xdr:to>
    <xdr:grpSp>
      <xdr:nvGrpSpPr>
        <xdr:cNvPr id="252" name="Group 251">
          <a:extLst>
            <a:ext uri="{FF2B5EF4-FFF2-40B4-BE49-F238E27FC236}">
              <a16:creationId xmlns:a16="http://schemas.microsoft.com/office/drawing/2014/main" id="{9F931659-8BF5-4A6D-8369-372AEA5F2F8E}"/>
            </a:ext>
          </a:extLst>
        </xdr:cNvPr>
        <xdr:cNvGrpSpPr/>
      </xdr:nvGrpSpPr>
      <xdr:grpSpPr>
        <a:xfrm rot="3013699">
          <a:off x="6019801" y="2286000"/>
          <a:ext cx="83822" cy="82871"/>
          <a:chOff x="12175074" y="2285812"/>
          <a:chExt cx="107252" cy="65186"/>
        </a:xfrm>
      </xdr:grpSpPr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360B367C-A1E4-2360-F693-3CAF4EB1E92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D92D2C25-F5C2-05EE-1056-A85384E2AB8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13AC4AB0-3EA8-34D8-9981-D89419AA4DA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304800</xdr:colOff>
      <xdr:row>8</xdr:row>
      <xdr:rowOff>114301</xdr:rowOff>
    </xdr:from>
    <xdr:to>
      <xdr:col>11</xdr:col>
      <xdr:colOff>219075</xdr:colOff>
      <xdr:row>12</xdr:row>
      <xdr:rowOff>47625</xdr:rowOff>
    </xdr:to>
    <xdr:sp macro="" textlink="">
      <xdr:nvSpPr>
        <xdr:cNvPr id="258" name="TextBox 157">
          <a:extLst>
            <a:ext uri="{FF2B5EF4-FFF2-40B4-BE49-F238E27FC236}">
              <a16:creationId xmlns:a16="http://schemas.microsoft.com/office/drawing/2014/main" id="{AFBA2E76-EFE1-4D21-B491-3F7EA2D716F1}"/>
            </a:ext>
          </a:extLst>
        </xdr:cNvPr>
        <xdr:cNvSpPr txBox="1"/>
      </xdr:nvSpPr>
      <xdr:spPr>
        <a:xfrm>
          <a:off x="3276600" y="1362076"/>
          <a:ext cx="676275" cy="542924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K2-715/1</a:t>
          </a: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CA9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11</xdr:col>
      <xdr:colOff>85725</xdr:colOff>
      <xdr:row>14</xdr:row>
      <xdr:rowOff>38100</xdr:rowOff>
    </xdr:from>
    <xdr:to>
      <xdr:col>13</xdr:col>
      <xdr:colOff>0</xdr:colOff>
      <xdr:row>17</xdr:row>
      <xdr:rowOff>142875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79608792-4C0C-4925-AF60-76C8E5844C8F}"/>
            </a:ext>
          </a:extLst>
        </xdr:cNvPr>
        <xdr:cNvSpPr txBox="1"/>
      </xdr:nvSpPr>
      <xdr:spPr>
        <a:xfrm>
          <a:off x="3819525" y="2209800"/>
          <a:ext cx="676275" cy="56197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K2-715/2</a:t>
          </a: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180975</xdr:colOff>
      <xdr:row>8</xdr:row>
      <xdr:rowOff>104775</xdr:rowOff>
    </xdr:from>
    <xdr:to>
      <xdr:col>14</xdr:col>
      <xdr:colOff>95250</xdr:colOff>
      <xdr:row>12</xdr:row>
      <xdr:rowOff>47625</xdr:rowOff>
    </xdr:to>
    <xdr:sp macro="" textlink="">
      <xdr:nvSpPr>
        <xdr:cNvPr id="260" name="TextBox 157">
          <a:extLst>
            <a:ext uri="{FF2B5EF4-FFF2-40B4-BE49-F238E27FC236}">
              <a16:creationId xmlns:a16="http://schemas.microsoft.com/office/drawing/2014/main" id="{09110B5F-A5D9-4F10-BE62-4FDAB90220D8}"/>
            </a:ext>
          </a:extLst>
        </xdr:cNvPr>
        <xdr:cNvSpPr txBox="1"/>
      </xdr:nvSpPr>
      <xdr:spPr>
        <a:xfrm>
          <a:off x="4295775" y="1352550"/>
          <a:ext cx="676275" cy="55245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K2-715/3</a:t>
          </a: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266700</xdr:colOff>
      <xdr:row>14</xdr:row>
      <xdr:rowOff>0</xdr:rowOff>
    </xdr:from>
    <xdr:to>
      <xdr:col>15</xdr:col>
      <xdr:colOff>180975</xdr:colOff>
      <xdr:row>17</xdr:row>
      <xdr:rowOff>85725</xdr:rowOff>
    </xdr:to>
    <xdr:sp macro="" textlink="">
      <xdr:nvSpPr>
        <xdr:cNvPr id="261" name="TextBox 157">
          <a:extLst>
            <a:ext uri="{FF2B5EF4-FFF2-40B4-BE49-F238E27FC236}">
              <a16:creationId xmlns:a16="http://schemas.microsoft.com/office/drawing/2014/main" id="{E6A793B8-E918-4DFB-A3EB-B9D09307D97E}"/>
            </a:ext>
          </a:extLst>
        </xdr:cNvPr>
        <xdr:cNvSpPr txBox="1"/>
      </xdr:nvSpPr>
      <xdr:spPr>
        <a:xfrm>
          <a:off x="4762500" y="2171700"/>
          <a:ext cx="676275" cy="5429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K2-715/4</a:t>
          </a: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14</xdr:col>
      <xdr:colOff>266700</xdr:colOff>
      <xdr:row>8</xdr:row>
      <xdr:rowOff>123825</xdr:rowOff>
    </xdr:from>
    <xdr:to>
      <xdr:col>16</xdr:col>
      <xdr:colOff>180975</xdr:colOff>
      <xdr:row>12</xdr:row>
      <xdr:rowOff>85725</xdr:rowOff>
    </xdr:to>
    <xdr:sp macro="" textlink="">
      <xdr:nvSpPr>
        <xdr:cNvPr id="262" name="TextBox 157">
          <a:extLst>
            <a:ext uri="{FF2B5EF4-FFF2-40B4-BE49-F238E27FC236}">
              <a16:creationId xmlns:a16="http://schemas.microsoft.com/office/drawing/2014/main" id="{7DC9DC92-23FF-4B3F-8ACB-55A550075447}"/>
            </a:ext>
          </a:extLst>
        </xdr:cNvPr>
        <xdr:cNvSpPr txBox="1"/>
      </xdr:nvSpPr>
      <xdr:spPr>
        <a:xfrm>
          <a:off x="5143500" y="1371600"/>
          <a:ext cx="676275" cy="57150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K2-715/5</a:t>
          </a: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17</xdr:col>
      <xdr:colOff>285749</xdr:colOff>
      <xdr:row>6</xdr:row>
      <xdr:rowOff>142874</xdr:rowOff>
    </xdr:from>
    <xdr:to>
      <xdr:col>20</xdr:col>
      <xdr:colOff>9524</xdr:colOff>
      <xdr:row>14</xdr:row>
      <xdr:rowOff>57150</xdr:rowOff>
    </xdr:to>
    <xdr:sp macro="" textlink="">
      <xdr:nvSpPr>
        <xdr:cNvPr id="263" name="TextBox 157">
          <a:extLst>
            <a:ext uri="{FF2B5EF4-FFF2-40B4-BE49-F238E27FC236}">
              <a16:creationId xmlns:a16="http://schemas.microsoft.com/office/drawing/2014/main" id="{DB667002-9E53-447A-890A-01433B670B80}"/>
            </a:ext>
          </a:extLst>
        </xdr:cNvPr>
        <xdr:cNvSpPr txBox="1"/>
      </xdr:nvSpPr>
      <xdr:spPr>
        <a:xfrm>
          <a:off x="6305549" y="1076324"/>
          <a:ext cx="866775" cy="1152526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K2-715/6</a:t>
          </a: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50KVA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18</xdr:col>
      <xdr:colOff>228600</xdr:colOff>
      <xdr:row>15</xdr:row>
      <xdr:rowOff>0</xdr:rowOff>
    </xdr:from>
    <xdr:to>
      <xdr:col>20</xdr:col>
      <xdr:colOff>333375</xdr:colOff>
      <xdr:row>19</xdr:row>
      <xdr:rowOff>66675</xdr:rowOff>
    </xdr:to>
    <xdr:sp macro="" textlink="">
      <xdr:nvSpPr>
        <xdr:cNvPr id="264" name="TextBox 157">
          <a:extLst>
            <a:ext uri="{FF2B5EF4-FFF2-40B4-BE49-F238E27FC236}">
              <a16:creationId xmlns:a16="http://schemas.microsoft.com/office/drawing/2014/main" id="{8194CD5D-3266-4F42-BCF8-66E7C9E586E8}"/>
            </a:ext>
          </a:extLst>
        </xdr:cNvPr>
        <xdr:cNvSpPr txBox="1"/>
      </xdr:nvSpPr>
      <xdr:spPr>
        <a:xfrm>
          <a:off x="6629400" y="2324100"/>
          <a:ext cx="866775" cy="67627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C9-200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9</xdr:col>
      <xdr:colOff>95250</xdr:colOff>
      <xdr:row>13</xdr:row>
      <xdr:rowOff>28576</xdr:rowOff>
    </xdr:from>
    <xdr:to>
      <xdr:col>10</xdr:col>
      <xdr:colOff>142875</xdr:colOff>
      <xdr:row>14</xdr:row>
      <xdr:rowOff>47626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81857DFB-77C0-47BC-BA95-497605A97EC0}"/>
            </a:ext>
          </a:extLst>
        </xdr:cNvPr>
        <xdr:cNvSpPr txBox="1"/>
      </xdr:nvSpPr>
      <xdr:spPr>
        <a:xfrm>
          <a:off x="3067050" y="2047876"/>
          <a:ext cx="4286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10</xdr:col>
      <xdr:colOff>323850</xdr:colOff>
      <xdr:row>13</xdr:row>
      <xdr:rowOff>0</xdr:rowOff>
    </xdr:from>
    <xdr:to>
      <xdr:col>11</xdr:col>
      <xdr:colOff>371475</xdr:colOff>
      <xdr:row>14</xdr:row>
      <xdr:rowOff>19050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B40DFF56-7A8A-4600-855B-B02AE063F678}"/>
            </a:ext>
          </a:extLst>
        </xdr:cNvPr>
        <xdr:cNvSpPr txBox="1"/>
      </xdr:nvSpPr>
      <xdr:spPr>
        <a:xfrm>
          <a:off x="3676650" y="2019300"/>
          <a:ext cx="4286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12</xdr:col>
      <xdr:colOff>66675</xdr:colOff>
      <xdr:row>12</xdr:row>
      <xdr:rowOff>152400</xdr:rowOff>
    </xdr:from>
    <xdr:to>
      <xdr:col>13</xdr:col>
      <xdr:colOff>114300</xdr:colOff>
      <xdr:row>14</xdr:row>
      <xdr:rowOff>9525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67B25D00-27ED-4DCE-A446-042839314751}"/>
            </a:ext>
          </a:extLst>
        </xdr:cNvPr>
        <xdr:cNvSpPr txBox="1"/>
      </xdr:nvSpPr>
      <xdr:spPr>
        <a:xfrm>
          <a:off x="4181475" y="2009775"/>
          <a:ext cx="4286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13</xdr:col>
      <xdr:colOff>123825</xdr:colOff>
      <xdr:row>12</xdr:row>
      <xdr:rowOff>152400</xdr:rowOff>
    </xdr:from>
    <xdr:to>
      <xdr:col>14</xdr:col>
      <xdr:colOff>171450</xdr:colOff>
      <xdr:row>14</xdr:row>
      <xdr:rowOff>9525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A5C8B4EA-C5DE-4E6C-AC33-1964E9ADB15C}"/>
            </a:ext>
          </a:extLst>
        </xdr:cNvPr>
        <xdr:cNvSpPr txBox="1"/>
      </xdr:nvSpPr>
      <xdr:spPr>
        <a:xfrm>
          <a:off x="4619625" y="2009775"/>
          <a:ext cx="4286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14</xdr:col>
      <xdr:colOff>209550</xdr:colOff>
      <xdr:row>12</xdr:row>
      <xdr:rowOff>152400</xdr:rowOff>
    </xdr:from>
    <xdr:to>
      <xdr:col>15</xdr:col>
      <xdr:colOff>257175</xdr:colOff>
      <xdr:row>14</xdr:row>
      <xdr:rowOff>9525</xdr:rowOff>
    </xdr:to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56F6449E-B487-4863-BDA6-7AA1BFD8E6DA}"/>
            </a:ext>
          </a:extLst>
        </xdr:cNvPr>
        <xdr:cNvSpPr txBox="1"/>
      </xdr:nvSpPr>
      <xdr:spPr>
        <a:xfrm>
          <a:off x="5086350" y="2009775"/>
          <a:ext cx="4286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15</xdr:col>
      <xdr:colOff>266700</xdr:colOff>
      <xdr:row>12</xdr:row>
      <xdr:rowOff>152400</xdr:rowOff>
    </xdr:from>
    <xdr:to>
      <xdr:col>16</xdr:col>
      <xdr:colOff>314325</xdr:colOff>
      <xdr:row>14</xdr:row>
      <xdr:rowOff>9525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D48D7B34-CCFC-4ECA-BD80-267AD304EE94}"/>
            </a:ext>
          </a:extLst>
        </xdr:cNvPr>
        <xdr:cNvSpPr txBox="1"/>
      </xdr:nvSpPr>
      <xdr:spPr>
        <a:xfrm>
          <a:off x="5524500" y="2009775"/>
          <a:ext cx="4286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16</xdr:col>
      <xdr:colOff>214313</xdr:colOff>
      <xdr:row>13</xdr:row>
      <xdr:rowOff>147637</xdr:rowOff>
    </xdr:from>
    <xdr:to>
      <xdr:col>17</xdr:col>
      <xdr:colOff>4763</xdr:colOff>
      <xdr:row>16</xdr:row>
      <xdr:rowOff>119062</xdr:rowOff>
    </xdr:to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DC554AFD-46EA-42DA-9671-1877ED946167}"/>
            </a:ext>
          </a:extLst>
        </xdr:cNvPr>
        <xdr:cNvSpPr txBox="1"/>
      </xdr:nvSpPr>
      <xdr:spPr>
        <a:xfrm rot="4407185">
          <a:off x="5724525" y="2295525"/>
          <a:ext cx="4286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141861</xdr:colOff>
      <xdr:row>47</xdr:row>
      <xdr:rowOff>20266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CDA28E-CEC5-FD28-3F75-5AB4CE11B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753617" cy="68296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-1</xdr:rowOff>
    </xdr:from>
    <xdr:to>
      <xdr:col>28</xdr:col>
      <xdr:colOff>66453</xdr:colOff>
      <xdr:row>58</xdr:row>
      <xdr:rowOff>-1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1B2EE7-B0EE-191F-9B65-44BEE8C1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5"/>
          <a:ext cx="14641918" cy="790796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1133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1134</v>
      </c>
      <c r="G7" s="530" t="s">
        <v>41</v>
      </c>
      <c r="H7" s="526" t="s">
        <v>1042</v>
      </c>
      <c r="I7" s="526" t="s">
        <v>1136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Pin Post ) 20 KV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235900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Line Post ) 20 KV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4</v>
      </c>
      <c r="G16" s="41">
        <f ca="1">IF(ISERROR(OFFSET('HARGA SATUAN'!$I$6,MATCH(C16,'HARGA SATUAN'!$C$7:$C$1495,0),0)),"",OFFSET('HARGA SATUAN'!$I$6,MATCH(C16,'HARGA SATUAN'!$C$7:$C$1495,0),0))</f>
        <v>176900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Porcelain ) 20 KV + Primary Dead End Clamp 70-150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Set</v>
      </c>
      <c r="F17" s="138">
        <f t="shared" ca="1" si="2"/>
        <v>2</v>
      </c>
      <c r="G17" s="41">
        <f ca="1">IF(ISERROR(OFFSET('HARGA SATUAN'!$I$6,MATCH(C17,'HARGA SATUAN'!$C$7:$C$1495,0),0)),"",OFFSET('HARGA SATUAN'!$I$6,MATCH(C17,'HARGA SATUAN'!$C$7:$C$1495,0),0))</f>
        <v>205700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722</v>
      </c>
      <c r="G18" s="41">
        <f ca="1">IF(ISERROR(OFFSET('HARGA SATUAN'!$I$6,MATCH(C18,'HARGA SATUAN'!$C$7:$C$1495,0),0)),"",OFFSET('HARGA SATUAN'!$I$6,MATCH(C18,'HARGA SATUAN'!$C$7:$C$1495,0),0))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52</v>
      </c>
      <c r="G19" s="41">
        <f ca="1">IF(ISERROR(OFFSET('HARGA SATUAN'!$I$6,MATCH(C19,'HARGA SATUAN'!$C$7:$C$1495,0),0)),"",OFFSET('HARGA SATUAN'!$I$6,MATCH(C19,'HARGA SATUAN'!$C$7:$C$1495,0),0))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16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38">
        <f t="shared" ca="1" si="2"/>
        <v>45</v>
      </c>
      <c r="G20" s="41">
        <f ca="1">IF(ISERROR(OFFSET('HARGA SATUAN'!$I$6,MATCH(C20,'HARGA SATUAN'!$C$7:$C$1495,0),0)),"",OFFSET('HARGA SATUAN'!$I$6,MATCH(C20,'HARGA SATUAN'!$C$7:$C$1495,0),0))</f>
        <v>6600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SUMIFS(RAB!$F$14:$F$152,RAB!$C$14:$C$152,C714)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SUMIFS(RAB!$F$14:$F$152,RAB!$C$14:$C$152,C715)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SUMIFS(RAB!$F$14:$F$152,RAB!$C$14:$C$152,C716)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SUMIFS(RAB!$F$14:$F$152,RAB!$C$14:$C$152,C717)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SUMIFS(RAB!$F$14:$F$152,RAB!$C$14:$C$152,C718)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SUMIFS(RAB!$F$14:$F$152,RAB!$C$14:$C$152,C719)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SUMIFS(RAB!$F$14:$F$152,RAB!$C$14:$C$152,C720)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SUMIFS(RAB!$F$14:$F$152,RAB!$C$14:$C$152,C721)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SUMIFS(RAB!$F$14:$F$152,RAB!$C$14:$C$152,C722)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SUMIFS(RAB!$F$14:$F$152,RAB!$C$14:$C$152,C723)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SUMIFS(RAB!$F$14:$F$152,RAB!$C$14:$C$152,C724)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SUMIFS(RAB!$F$14:$F$152,RAB!$C$14:$C$152,C725)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SUMIFS(RAB!$F$14:$F$152,RAB!$C$14:$C$152,C726)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SUMIFS(RAB!$F$14:$F$152,RAB!$C$14:$C$152,C727)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SUMIFS(RAB!$F$14:$F$152,RAB!$C$14:$C$152,C728)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SUMIFS(RAB!$F$14:$F$152,RAB!$C$14:$C$152,C729)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SUMIFS(RAB!$F$14:$F$152,RAB!$C$14:$C$152,C730)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SUMIFS(RAB!$F$14:$F$152,RAB!$C$14:$C$152,C731)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SUMIFS(RAB!$F$14:$F$152,RAB!$C$14:$C$152,C732)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SUMIFS(RAB!$F$14:$F$152,RAB!$C$14:$C$152,C733)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SUMIFS(RAB!$F$14:$F$152,RAB!$C$14:$C$152,C734)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SUMIFS(RAB!$F$14:$F$152,RAB!$C$14:$C$152,C735)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SUMIFS(RAB!$F$14:$F$152,RAB!$C$14:$C$152,C736)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SUMIFS(RAB!$F$14:$F$152,RAB!$C$14:$C$152,C737)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SUMIFS(RAB!$F$14:$F$152,RAB!$C$14:$C$152,C738)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SUMIFS(RAB!$F$14:$F$152,RAB!$C$14:$C$152,C739)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SUMIFS(RAB!$F$14:$F$152,RAB!$C$14:$C$152,C740)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SUMIFS(RAB!$F$14:$F$152,RAB!$C$14:$C$152,C741)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SUMIFS(RAB!$F$14:$F$152,RAB!$C$14:$C$152,C742)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SUMIFS(RAB!$F$14:$F$152,RAB!$C$14:$C$152,C743)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SUMIFS(RAB!$F$14:$F$152,RAB!$C$14:$C$152,C744)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SUMIFS(RAB!$F$14:$F$152,RAB!$C$14:$C$152,C745)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SUMIFS(RAB!$F$14:$F$152,RAB!$C$14:$C$152,C746)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SUMIFS(RAB!$F$14:$F$152,RAB!$C$14:$C$152,C747)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SUMIFS(RAB!$F$14:$F$152,RAB!$C$14:$C$152,C748)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SUMIFS(RAB!$F$14:$F$152,RAB!$C$14:$C$152,C749)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SUMIFS(RAB!$F$14:$F$152,RAB!$C$14:$C$152,C750)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SUMIFS(RAB!$F$14:$F$152,RAB!$C$14:$C$152,C751)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SUMIFS(RAB!$F$14:$F$152,RAB!$C$14:$C$152,C752)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SUMIFS(RAB!$F$14:$F$152,RAB!$C$14:$C$152,C753)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SUMIFS(RAB!$F$14:$F$152,RAB!$C$14:$C$152,C754)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SUMIFS(RAB!$F$14:$F$152,RAB!$C$14:$C$152,C755)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SUMIFS(RAB!$F$14:$F$152,RAB!$C$14:$C$152,C756)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SUMIFS(RAB!$F$14:$F$152,RAB!$C$14:$C$152,C757)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SUMIFS(RAB!$F$14:$F$152,RAB!$C$14:$C$152,C758)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SUMIFS(RAB!$F$14:$F$152,RAB!$C$14:$C$152,C759)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SUMIFS(RAB!$F$14:$F$152,RAB!$C$14:$C$152,C760)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SUMIFS(RAB!$F$14:$F$152,RAB!$C$14:$C$152,C761)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SUMIFS(RAB!$F$14:$F$152,RAB!$C$14:$C$152,C762)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SUMIFS(RAB!$F$14:$F$152,RAB!$C$14:$C$152,C763)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SUMIFS(RAB!$F$14:$F$152,RAB!$C$14:$C$152,C764)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SUMIFS(RAB!$F$14:$F$152,RAB!$C$14:$C$152,C765)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SUMIFS(RAB!$F$14:$F$152,RAB!$C$14:$C$152,C766)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SUMIFS(RAB!$F$14:$F$152,RAB!$C$14:$C$152,C767)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SUMIFS(RAB!$F$14:$F$152,RAB!$C$14:$C$152,C768)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SUMIFS(RAB!$F$14:$F$152,RAB!$C$14:$C$152,C769)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SUMIFS(RAB!$F$14:$F$152,RAB!$C$14:$C$152,C770)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SUMIFS(RAB!$F$14:$F$152,RAB!$C$14:$C$152,C771)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SUMIFS(RAB!$F$14:$F$152,RAB!$C$14:$C$152,C772)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SUMIFS(RAB!$F$14:$F$152,RAB!$C$14:$C$152,C773)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SUMIFS(RAB!$F$14:$F$152,RAB!$C$14:$C$152,C774)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SUMIFS(RAB!$F$14:$F$152,RAB!$C$14:$C$152,C775)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SUMIFS(RAB!$F$14:$F$152,RAB!$C$14:$C$152,C776)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SUMIFS(RAB!$F$14:$F$152,RAB!$C$14:$C$152,C777)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SUMIFS(RAB!$F$14:$F$152,RAB!$C$14:$C$152,C778)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SUMIFS(RAB!$F$14:$F$152,RAB!$C$14:$C$152,C779)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SUMIFS(RAB!$F$14:$F$152,RAB!$C$14:$C$152,C780)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SUMIFS(RAB!$F$14:$F$152,RAB!$C$14:$C$152,C781)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SUMIFS(RAB!$F$14:$F$152,RAB!$C$14:$C$152,C782)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SUMIFS(RAB!$F$14:$F$152,RAB!$C$14:$C$152,C783)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SUMIFS(RAB!$F$14:$F$152,RAB!$C$14:$C$152,C784)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SUMIFS(RAB!$F$14:$F$152,RAB!$C$14:$C$152,C785)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SUMIFS(RAB!$F$14:$F$152,RAB!$C$14:$C$152,C786)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SUMIFS(RAB!$F$14:$F$152,RAB!$C$14:$C$152,C787)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SUMIFS(RAB!$F$14:$F$152,RAB!$C$14:$C$152,C788)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SUMIFS(RAB!$F$14:$F$152,RAB!$C$14:$C$152,C789)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SUMIFS(RAB!$F$14:$F$152,RAB!$C$14:$C$152,C790)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SUMIFS(RAB!$F$14:$F$152,RAB!$C$14:$C$152,C791)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SUMIFS(RAB!$F$14:$F$152,RAB!$C$14:$C$152,C792)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SUMIFS(RAB!$F$14:$F$152,RAB!$C$14:$C$152,C793)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SUMIFS(RAB!$F$14:$F$152,RAB!$C$14:$C$152,C794)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SUMIFS(RAB!$F$14:$F$152,RAB!$C$14:$C$152,C795)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SUMIFS(RAB!$F$14:$F$152,RAB!$C$14:$C$152,C796)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SUMIFS(RAB!$F$14:$F$152,RAB!$C$14:$C$152,C797)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SUMIFS(RAB!$F$14:$F$152,RAB!$C$14:$C$152,C798)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SUMIFS(RAB!$F$14:$F$152,RAB!$C$14:$C$152,C799)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SUMIFS(RAB!$F$14:$F$152,RAB!$C$14:$C$152,C800)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SUMIFS(RAB!$F$14:$F$152,RAB!$C$14:$C$152,C801)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SUMIFS(RAB!$F$14:$F$152,RAB!$C$14:$C$152,C802)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SUMIFS(RAB!$F$14:$F$152,RAB!$C$14:$C$152,C803)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SUMIFS(RAB!$F$14:$F$152,RAB!$C$14:$C$152,C804)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SUMIFS(RAB!$F$14:$F$152,RAB!$C$14:$C$152,C805)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SUMIFS(RAB!$F$14:$F$152,RAB!$C$14:$C$152,C806)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SUMIFS(RAB!$F$14:$F$152,RAB!$C$14:$C$152,C807)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SUMIFS(RAB!$F$14:$F$152,RAB!$C$14:$C$152,C808)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SUMIFS(RAB!$F$14:$F$152,RAB!$C$14:$C$152,C809)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SUMIFS(RAB!$F$14:$F$152,RAB!$C$14:$C$152,C810)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SUMIFS(RAB!$F$14:$F$152,RAB!$C$14:$C$152,C811)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SUMIFS(RAB!$F$14:$F$152,RAB!$C$14:$C$152,C812)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SUMIFS(RAB!$F$14:$F$152,RAB!$C$14:$C$152,C813)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SUMIFS(RAB!$F$14:$F$152,RAB!$C$14:$C$152,C814)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SUMIFS(RAB!$F$14:$F$152,RAB!$C$14:$C$152,C815)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SUMIFS(RAB!$F$14:$F$152,RAB!$C$14:$C$152,C816)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SUMIFS(RAB!$F$14:$F$152,RAB!$C$14:$C$152,C817)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SUMIFS(RAB!$F$14:$F$152,RAB!$C$14:$C$152,C818)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SUMIFS(RAB!$F$14:$F$152,RAB!$C$14:$C$152,C819)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SUMIFS(RAB!$F$14:$F$152,RAB!$C$14:$C$152,C820)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SUMIFS(RAB!$F$14:$F$152,RAB!$C$14:$C$152,C821)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SUMIFS(RAB!$F$14:$F$152,RAB!$C$14:$C$152,C822)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SUMIFS(RAB!$F$14:$F$152,RAB!$C$14:$C$152,C823)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SUMIFS(RAB!$F$14:$F$152,RAB!$C$14:$C$152,C824)</f>
        <v>2</v>
      </c>
      <c r="E824" s="26">
        <f t="shared" ca="1" si="34"/>
        <v>1</v>
      </c>
      <c r="F824" s="26">
        <f ca="1">IF(D824=0,0,SUM($E$713:E824))</f>
        <v>4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SUMIFS(RAB!$F$14:$F$152,RAB!$C$14:$C$152,C825)</f>
        <v>4</v>
      </c>
      <c r="E825" s="26">
        <f t="shared" ca="1" si="34"/>
        <v>1</v>
      </c>
      <c r="F825" s="26">
        <f ca="1">IF(D825=0,0,SUM($E$713:E825))</f>
        <v>5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SUMIFS(RAB!$F$14:$F$152,RAB!$C$14:$C$152,C826)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SUMIFS(RAB!$F$14:$F$152,RAB!$C$14:$C$152,C827)</f>
        <v>2</v>
      </c>
      <c r="E827" s="26">
        <f t="shared" ca="1" si="34"/>
        <v>1</v>
      </c>
      <c r="F827" s="26">
        <f ca="1">IF(D827=0,0,SUM($E$713:E827))</f>
        <v>6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SUMIFS(RAB!$F$14:$F$152,RAB!$C$14:$C$152,C828)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SUMIFS(RAB!$F$14:$F$152,RAB!$C$14:$C$152,C829)</f>
        <v>722</v>
      </c>
      <c r="E829" s="26">
        <f t="shared" ca="1" si="34"/>
        <v>1</v>
      </c>
      <c r="F829" s="26">
        <f ca="1">IF(D829=0,0,SUM($E$713:E829))</f>
        <v>7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SUMIFS(RAB!$F$14:$F$152,RAB!$C$14:$C$152,C830)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SUMIFS(RAB!$F$14:$F$152,RAB!$C$14:$C$152,C831)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SUMIFS(RAB!$F$14:$F$152,RAB!$C$14:$C$152,C832)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SUMIFS(RAB!$F$14:$F$152,RAB!$C$14:$C$152,C833)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SUMIFS(RAB!$F$14:$F$152,RAB!$C$14:$C$152,C834)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SUMIFS(RAB!$F$14:$F$152,RAB!$C$14:$C$152,C835)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SUMIFS(RAB!$F$14:$F$152,RAB!$C$14:$C$152,C836)</f>
        <v>52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SUMIFS(RAB!$F$14:$F$152,RAB!$C$14:$C$152,C837)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SUMIFS(RAB!$F$14:$F$152,RAB!$C$14:$C$152,C838)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SUMIFS(RAB!$F$14:$F$152,RAB!$C$14:$C$152,C839)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SUMIFS(RAB!$F$14:$F$152,RAB!$C$14:$C$152,C840)</f>
        <v>45</v>
      </c>
      <c r="E840" s="26">
        <f t="shared" ca="1" si="34"/>
        <v>1</v>
      </c>
      <c r="F840" s="26">
        <f ca="1">IF(D840=0,0,SUM($E$713:E840))</f>
        <v>9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SUMIFS(RAB!$F$14:$F$152,RAB!$C$14:$C$152,C841)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SUMIFS(RAB!$F$14:$F$152,RAB!$C$14:$C$152,C842)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SUMIFS(RAB!$F$14:$F$152,RAB!$C$14:$C$152,C843)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SUMIFS(RAB!$F$14:$F$152,RAB!$C$14:$C$152,C844)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SUMIFS(RAB!$F$14:$F$152,RAB!$C$14:$C$152,C845)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SUMIFS(RAB!$F$14:$F$152,RAB!$C$14:$C$152,C846)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SUMIFS(RAB!$F$14:$F$152,RAB!$C$14:$C$152,C847)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SUMIFS(RAB!$F$14:$F$152,RAB!$C$14:$C$152,C848)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SUMIFS(RAB!$F$14:$F$152,RAB!$C$14:$C$152,C849)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SUMIFS(RAB!$F$14:$F$152,RAB!$C$14:$C$152,C850)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SUMIFS(RAB!$F$14:$F$152,RAB!$C$14:$C$152,C851)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SUMIFS(RAB!$F$14:$F$152,RAB!$C$14:$C$152,C852)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SUMIFS(RAB!$F$14:$F$152,RAB!$C$14:$C$152,C853)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SUMIFS(RAB!$F$14:$F$152,RAB!$C$14:$C$152,C854)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SUMIFS(RAB!$F$14:$F$152,RAB!$C$14:$C$152,C855)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SUMIFS(RAB!$F$14:$F$152,RAB!$C$14:$C$152,C856)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SUMIFS(RAB!$F$14:$F$152,RAB!$C$14:$C$152,C857)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SUMIFS(RAB!$F$14:$F$152,RAB!$C$14:$C$152,C858)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SUMIFS(RAB!$F$14:$F$152,RAB!$C$14:$C$152,C859)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SUMIFS(RAB!$F$14:$F$152,RAB!$C$14:$C$152,C860)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SUMIFS(RAB!$F$14:$F$152,RAB!$C$14:$C$152,C861)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SUMIFS(RAB!$F$14:$F$152,RAB!$C$14:$C$152,C862)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SUMIFS(RAB!$F$14:$F$152,RAB!$C$14:$C$152,C863)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SUMIFS(RAB!$F$14:$F$152,RAB!$C$14:$C$152,C864)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SUMIFS(RAB!$F$14:$F$152,RAB!$C$14:$C$152,C865)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SUMIFS(RAB!$F$14:$F$152,RAB!$C$14:$C$152,C866)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SUMIFS(RAB!$F$14:$F$152,RAB!$C$14:$C$152,C867)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SUMIFS(RAB!$F$14:$F$152,RAB!$C$14:$C$152,C868)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SUMIFS(RAB!$F$14:$F$152,RAB!$C$14:$C$152,C869)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SUMIFS(RAB!$F$14:$F$152,RAB!$C$14:$C$152,C870)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SUMIFS(RAB!$F$14:$F$152,RAB!$C$14:$C$152,C871)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SUMIFS(RAB!$F$14:$F$152,RAB!$C$14:$C$152,C872)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SUMIFS(RAB!$F$14:$F$152,RAB!$C$14:$C$152,C873)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SUMIFS(RAB!$F$14:$F$152,RAB!$C$14:$C$152,C874)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SUMIFS(RAB!$F$14:$F$152,RAB!$C$14:$C$152,C875)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SUMIFS(RAB!$F$14:$F$152,RAB!$C$14:$C$152,C876)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SUMIFS(RAB!$F$14:$F$152,RAB!$C$14:$C$152,C877)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SUMIFS(RAB!$F$14:$F$152,RAB!$C$14:$C$152,C878)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SUMIFS(RAB!$F$14:$F$152,RAB!$C$14:$C$152,C879)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SUMIFS(RAB!$F$14:$F$152,RAB!$C$14:$C$152,C880)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SUMIFS(RAB!$F$14:$F$152,RAB!$C$14:$C$152,C881)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SUMIFS(RAB!$F$14:$F$152,RAB!$C$14:$C$152,C882)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SUMIFS(RAB!$F$14:$F$152,RAB!$C$14:$C$152,C883)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SUMIFS(RAB!$F$14:$F$152,RAB!$C$14:$C$152,C884)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SUMIFS(RAB!$F$14:$F$152,RAB!$C$14:$C$152,C885)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SUMIFS(RAB!$F$14:$F$152,RAB!$C$14:$C$152,C886)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SUMIFS(RAB!$F$14:$F$152,RAB!$C$14:$C$152,C887)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SUMIFS(RAB!$F$14:$F$152,RAB!$C$14:$C$152,C888)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SUMIFS(RAB!$F$14:$F$152,RAB!$C$14:$C$152,C889)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SUMIFS(RAB!$F$14:$F$152,RAB!$C$14:$C$152,C890)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SUMIFS(RAB!$F$14:$F$152,RAB!$C$14:$C$152,C891)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SUMIFS(RAB!$F$14:$F$152,RAB!$C$14:$C$152,C892)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SUMIFS(RAB!$F$14:$F$152,RAB!$C$14:$C$152,C893)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SUMIFS(RAB!$F$14:$F$152,RAB!$C$14:$C$152,C894)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SUMIFS(RAB!$F$14:$F$152,RAB!$C$14:$C$152,C895)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SUMIFS(RAB!$F$14:$F$152,RAB!$C$14:$C$152,C896)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SUMIFS(RAB!$F$14:$F$152,RAB!$C$14:$C$152,C897)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SUMIFS(RAB!$F$14:$F$152,RAB!$C$14:$C$152,C898)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SUMIFS(RAB!$F$14:$F$152,RAB!$C$14:$C$152,C899)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SUMIFS(RAB!$F$14:$F$152,RAB!$C$14:$C$152,C900)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SUMIFS(RAB!$F$14:$F$152,RAB!$C$14:$C$152,C901)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SUMIFS(RAB!$F$14:$F$152,RAB!$C$14:$C$152,C902)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SUMIFS(RAB!$F$14:$F$152,RAB!$C$14:$C$152,C903)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SUMIFS(RAB!$F$14:$F$152,RAB!$C$14:$C$152,C904)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SUMIFS(RAB!$F$14:$F$152,RAB!$C$14:$C$152,C905)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SUMIFS(RAB!$F$14:$F$152,RAB!$C$14:$C$152,C906)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SUMIFS(RAB!$F$14:$F$152,RAB!$C$14:$C$152,C907)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SUMIFS(RAB!$F$14:$F$152,RAB!$C$14:$C$152,C908)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SUMIFS(RAB!$F$14:$F$152,RAB!$C$14:$C$152,C909)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SUMIFS(RAB!$F$14:$F$152,RAB!$C$14:$C$152,C910)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SUMIFS(RAB!$F$14:$F$152,RAB!$C$14:$C$152,C911)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SUMIFS(RAB!$F$14:$F$152,RAB!$C$14:$C$152,C912)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SUMIFS(RAB!$F$14:$F$152,RAB!$C$14:$C$152,C913)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SUMIFS(RAB!$F$14:$F$152,RAB!$C$14:$C$152,C914)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SUMIFS(RAB!$F$14:$F$152,RAB!$C$14:$C$152,C915)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SUMIFS(RAB!$F$14:$F$152,RAB!$C$14:$C$152,C916)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SUMIFS(RAB!$F$14:$F$152,RAB!$C$14:$C$152,C917)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SUMIFS(RAB!$F$14:$F$152,RAB!$C$14:$C$152,C918)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SUMIFS(RAB!$F$14:$F$152,RAB!$C$14:$C$152,C919)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SUMIFS(RAB!$F$14:$F$152,RAB!$C$14:$C$152,C920)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SUMIFS(RAB!$F$14:$F$152,RAB!$C$14:$C$152,C921)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SUMIFS(RAB!$F$14:$F$152,RAB!$C$14:$C$152,C922)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SUMIFS(RAB!$F$14:$F$152,RAB!$C$14:$C$152,C923)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SUMIFS(RAB!$F$14:$F$152,RAB!$C$14:$C$152,C924)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SUMIFS(RAB!$F$14:$F$152,RAB!$C$14:$C$152,C925)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SUMIFS(RAB!$F$14:$F$152,RAB!$C$14:$C$152,C926)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SUMIFS(RAB!$F$14:$F$152,RAB!$C$14:$C$152,C927)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SUMIFS(RAB!$F$14:$F$152,RAB!$C$14:$C$152,C928)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SUMIFS(RAB!$F$14:$F$152,RAB!$C$14:$C$152,C929)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SUMIFS(RAB!$F$14:$F$152,RAB!$C$14:$C$152,C930)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SUMIFS(RAB!$F$14:$F$152,RAB!$C$14:$C$152,C931)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SUMIFS(RAB!$F$14:$F$152,RAB!$C$14:$C$152,C932)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SUMIFS(RAB!$F$14:$F$152,RAB!$C$14:$C$152,C933)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SUMIFS(RAB!$F$14:$F$152,RAB!$C$14:$C$152,C934)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SUMIFS(RAB!$F$14:$F$152,RAB!$C$14:$C$152,C935)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SUMIFS(RAB!$F$14:$F$152,RAB!$C$14:$C$152,C936)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SUMIFS(RAB!$F$14:$F$152,RAB!$C$14:$C$152,C937)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SUMIFS(RAB!$F$14:$F$152,RAB!$C$14:$C$152,C938)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SUMIFS(RAB!$F$14:$F$152,RAB!$C$14:$C$152,C939)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SUMIFS(RAB!$F$14:$F$152,RAB!$C$14:$C$152,C940)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SUMIFS(RAB!$F$14:$F$152,RAB!$C$14:$C$152,C941)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SUMIFS(RAB!$F$14:$F$152,RAB!$C$14:$C$152,C942)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SUMIFS(RAB!$F$14:$F$152,RAB!$C$14:$C$152,C943)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SUMIFS(RAB!$F$14:$F$152,RAB!$C$14:$C$152,C944)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SUMIFS(RAB!$F$14:$F$152,RAB!$C$14:$C$152,C945)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SUMIFS(RAB!$F$14:$F$152,RAB!$C$14:$C$152,C946)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SUMIFS(RAB!$F$14:$F$152,RAB!$C$14:$C$152,C947)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SUMIFS(RAB!$F$14:$F$152,RAB!$C$14:$C$152,C948)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SUMIFS(RAB!$F$14:$F$152,RAB!$C$14:$C$152,C949)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SUMIFS(RAB!$F$14:$F$152,RAB!$C$14:$C$152,C950)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SUMIFS(RAB!$F$14:$F$152,RAB!$C$14:$C$152,C951)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SUMIFS(RAB!$F$14:$F$152,RAB!$C$14:$C$152,C952)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SUMIFS(RAB!$F$14:$F$152,RAB!$C$14:$C$152,C953)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SUMIFS(RAB!$F$14:$F$152,RAB!$C$14:$C$152,C954)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SUMIFS(RAB!$F$14:$F$152,RAB!$C$14:$C$152,C955)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SUMIFS(RAB!$F$14:$F$152,RAB!$C$14:$C$152,C956)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SUMIFS(RAB!$F$14:$F$152,RAB!$C$14:$C$152,C957)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SUMIFS(RAB!$F$14:$F$152,RAB!$C$14:$C$152,C958)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SUMIFS(RAB!$F$14:$F$152,RAB!$C$14:$C$152,C959)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SUMIFS(RAB!$F$14:$F$152,RAB!$C$14:$C$152,C960)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SUMIFS(RAB!$F$14:$F$152,RAB!$C$14:$C$152,C961)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SUMIFS(RAB!$F$14:$F$152,RAB!$C$14:$C$152,C962)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SUMIFS(RAB!$F$14:$F$152,RAB!$C$14:$C$152,C963)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SUMIFS(RAB!$F$14:$F$152,RAB!$C$14:$C$152,C964)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SUMIFS(RAB!$F$14:$F$152,RAB!$C$14:$C$152,C965)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SUMIFS(RAB!$F$14:$F$152,RAB!$C$14:$C$152,C966)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SUMIFS(RAB!$F$14:$F$152,RAB!$C$14:$C$152,C967)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SUMIFS(RAB!$F$14:$F$152,RAB!$C$14:$C$152,C968)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SUMIFS(RAB!$F$14:$F$152,RAB!$C$14:$C$152,C969)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SUMIFS(RAB!$F$14:$F$152,RAB!$C$14:$C$152,C970)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SUMIFS(RAB!$F$14:$F$152,RAB!$C$14:$C$152,C971)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SUMIFS(RAB!$F$14:$F$152,RAB!$C$14:$C$152,C972)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SUMIFS(RAB!$F$14:$F$152,RAB!$C$14:$C$152,C973)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SUMIFS(RAB!$F$14:$F$152,RAB!$C$14:$C$152,C974)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SUMIFS(RAB!$F$14:$F$152,RAB!$C$14:$C$152,C975)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SUMIFS(RAB!$F$14:$F$152,RAB!$C$14:$C$152,C976)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SUMIFS(RAB!$F$14:$F$152,RAB!$C$14:$C$152,C977)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SUMIFS(RAB!$F$14:$F$152,RAB!$C$14:$C$152,C978)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SUMIFS(RAB!$F$14:$F$152,RAB!$C$14:$C$152,C979)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SUMIFS(RAB!$F$14:$F$152,RAB!$C$14:$C$152,C980)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SUMIFS(RAB!$F$14:$F$152,RAB!$C$14:$C$152,C981)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SUMIFS(RAB!$F$14:$F$152,RAB!$C$14:$C$152,C982)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SUMIFS(RAB!$F$14:$F$152,RAB!$C$14:$C$152,C983)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SUMIFS(RAB!$F$14:$F$152,RAB!$C$14:$C$152,C984)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SUMIFS(RAB!$F$14:$F$152,RAB!$C$14:$C$152,C985)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SUMIFS(RAB!$F$14:$F$152,RAB!$C$14:$C$152,C986)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SUMIFS(RAB!$F$14:$F$152,RAB!$C$14:$C$152,C987)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SUMIFS(RAB!$F$14:$F$152,RAB!$C$14:$C$152,C988)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SUMIFS(RAB!$F$14:$F$152,RAB!$C$14:$C$152,C989)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SUMIFS(RAB!$F$14:$F$152,RAB!$C$14:$C$152,C990)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SUMIFS(RAB!$F$14:$F$152,RAB!$C$14:$C$152,C991)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SUMIFS(RAB!$F$14:$F$152,RAB!$C$14:$C$152,C992)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SUMIFS(RAB!$F$14:$F$152,RAB!$C$14:$C$152,C993)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SUMIFS(RAB!$F$14:$F$152,RAB!$C$14:$C$152,C994)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SUMIFS(RAB!$F$14:$F$152,RAB!$C$14:$C$152,C995)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SUMIFS(RAB!$F$14:$F$152,RAB!$C$14:$C$152,C996)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SUMIFS(RAB!$F$14:$F$152,RAB!$C$14:$C$152,C997)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SUMIFS(RAB!$F$14:$F$152,RAB!$C$14:$C$152,C998)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SUMIFS(RAB!$F$14:$F$152,RAB!$C$14:$C$152,C999)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SUMIFS(RAB!$F$14:$F$152,RAB!$C$14:$C$152,C1000)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SUMIFS(RAB!$F$14:$F$152,RAB!$C$14:$C$152,C1001)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SUMIFS(RAB!$F$14:$F$152,RAB!$C$14:$C$152,C1002)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SUMIFS(RAB!$F$14:$F$152,RAB!$C$14:$C$152,C1003)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SUMIFS(RAB!$F$14:$F$152,RAB!$C$14:$C$152,C1004)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SUMIFS(RAB!$F$14:$F$152,RAB!$C$14:$C$152,C1005)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SUMIFS(RAB!$F$14:$F$152,RAB!$C$14:$C$152,C1006)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SUMIFS(RAB!$F$14:$F$152,RAB!$C$14:$C$152,C1007)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SUMIFS(RAB!$F$14:$F$152,RAB!$C$14:$C$152,C1008)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SUMIFS(RAB!$F$14:$F$152,RAB!$C$14:$C$152,C1009)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SUMIFS(RAB!$F$14:$F$152,RAB!$C$14:$C$152,C1010)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SUMIFS(RAB!$F$14:$F$152,RAB!$C$14:$C$152,C1011)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SUMIFS(RAB!$F$14:$F$152,RAB!$C$14:$C$152,C1012)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SUMIFS(RAB!$F$14:$F$152,RAB!$C$14:$C$152,C1013)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SUMIFS(RAB!$F$14:$F$152,RAB!$C$14:$C$152,C1014)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SUMIFS(RAB!$F$14:$F$152,RAB!$C$14:$C$152,C1015)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SUMIFS(RAB!$F$14:$F$152,RAB!$C$14:$C$152,C1016)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SUMIFS(RAB!$F$14:$F$152,RAB!$C$14:$C$152,C1017)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SUMIFS(RAB!$F$14:$F$152,RAB!$C$14:$C$152,C1018)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SUMIFS(RAB!$F$14:$F$152,RAB!$C$14:$C$152,C1019)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SUMIFS(RAB!$F$14:$F$152,RAB!$C$14:$C$152,C1020)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SUMIFS(RAB!$F$14:$F$152,RAB!$C$14:$C$152,C1021)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SUMIFS(RAB!$F$14:$F$152,RAB!$C$14:$C$152,C1022)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SUMIFS(RAB!$F$14:$F$152,RAB!$C$14:$C$152,C1023)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SUMIFS(RAB!$F$14:$F$152,RAB!$C$14:$C$152,C1024)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SUMIFS(RAB!$F$14:$F$152,RAB!$C$14:$C$152,C1025)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SUMIFS(RAB!$F$14:$F$152,RAB!$C$14:$C$152,C1026)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SUMIFS(RAB!$F$14:$F$152,RAB!$C$14:$C$152,C1027)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SUMIFS(RAB!$F$14:$F$152,RAB!$C$14:$C$152,C1028)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SUMIFS(RAB!$F$14:$F$152,RAB!$C$14:$C$152,C1029)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SUMIFS(RAB!$F$14:$F$152,RAB!$C$14:$C$152,C1030)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SUMIFS(RAB!$F$14:$F$152,RAB!$C$14:$C$152,C1031)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SUMIFS(RAB!$F$14:$F$152,RAB!$C$14:$C$152,C1032)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SUMIFS(RAB!$F$14:$F$152,RAB!$C$14:$C$152,C1033)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SUMIFS(RAB!$F$14:$F$152,RAB!$C$14:$C$152,C1034)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SUMIFS(RAB!$F$14:$F$152,RAB!$C$14:$C$152,C1035)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SUMIFS(RAB!$F$14:$F$152,RAB!$C$14:$C$152,C1036)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SUMIFS(RAB!$F$14:$F$152,RAB!$C$14:$C$152,C1037)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SUMIFS(RAB!$F$14:$F$152,RAB!$C$14:$C$152,C1038)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SUMIFS(RAB!$F$14:$F$152,RAB!$C$14:$C$152,C1039)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SUMIFS(RAB!$F$14:$F$152,RAB!$C$14:$C$152,C1040)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SUMIFS(RAB!$F$14:$F$152,RAB!$C$14:$C$152,C1041)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SUMIFS(RAB!$F$14:$F$152,RAB!$C$14:$C$152,C1042)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SUMIFS(RAB!$F$14:$F$152,RAB!$C$14:$C$152,C1043)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SUMIFS(RAB!$F$14:$F$152,RAB!$C$14:$C$152,C1044)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SUMIFS(RAB!$F$14:$F$152,RAB!$C$14:$C$152,C1045)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SUMIFS(RAB!$F$14:$F$152,RAB!$C$14:$C$152,C1046)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SUMIFS(RAB!$F$14:$F$152,RAB!$C$14:$C$152,C1047)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SUMIFS(RAB!$F$14:$F$152,RAB!$C$14:$C$152,C1048)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SUMIFS(RAB!$F$14:$F$152,RAB!$C$14:$C$152,C1049)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SUMIFS(RAB!$F$14:$F$152,RAB!$C$14:$C$152,C1050)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SUMIFS(RAB!$F$14:$F$152,RAB!$C$14:$C$152,C1051)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SUMIFS(RAB!$F$14:$F$152,RAB!$C$14:$C$152,C1052)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SUMIFS(RAB!$F$14:$F$152,RAB!$C$14:$C$152,C1053)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SUMIFS(RAB!$F$14:$F$152,RAB!$C$14:$C$152,C1054)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SUMIFS(RAB!$F$14:$F$152,RAB!$C$14:$C$152,C1055)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SUMIFS(RAB!$F$14:$F$152,RAB!$C$14:$C$152,C1056)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SUMIFS(RAB!$F$14:$F$152,RAB!$C$14:$C$152,C1057)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SUMIFS(RAB!$F$14:$F$152,RAB!$C$14:$C$152,C1058)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SUMIFS(RAB!$F$14:$F$152,RAB!$C$14:$C$152,C1059)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SUMIFS(RAB!$F$14:$F$152,RAB!$C$14:$C$152,C1060)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SUMIFS(RAB!$F$14:$F$152,RAB!$C$14:$C$152,C1061)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SUMIFS(RAB!$F$14:$F$152,RAB!$C$14:$C$152,C1062)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SUMIFS(RAB!$F$14:$F$152,RAB!$C$14:$C$152,C1063)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SUMIFS(RAB!$F$14:$F$152,RAB!$C$14:$C$152,C1064)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SUMIFS(RAB!$F$14:$F$152,RAB!$C$14:$C$152,C1065)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SUMIFS(RAB!$F$14:$F$152,RAB!$C$14:$C$152,C1066)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SUMIFS(RAB!$F$14:$F$152,RAB!$C$14:$C$152,C1067)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SUMIFS(RAB!$F$14:$F$152,RAB!$C$14:$C$152,C1068)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SUMIFS(RAB!$F$14:$F$152,RAB!$C$14:$C$152,C1069)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SUMIFS(RAB!$F$14:$F$152,RAB!$C$14:$C$152,C1070)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SUMIFS(RAB!$F$14:$F$152,RAB!$C$14:$C$152,C1071)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SUMIFS(RAB!$F$14:$F$152,RAB!$C$14:$C$152,C1072)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SUMIFS(RAB!$F$14:$F$152,RAB!$C$14:$C$152,C1073)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SUMIFS(RAB!$F$14:$F$152,RAB!$C$14:$C$152,C1074)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SUMIFS(RAB!$F$14:$F$152,RAB!$C$14:$C$152,C1075)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SUMIFS(RAB!$F$14:$F$152,RAB!$C$14:$C$152,C1076)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SUMIFS(RAB!$F$14:$F$152,RAB!$C$14:$C$152,C1077)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SUMIFS(RAB!$F$14:$F$152,RAB!$C$14:$C$152,C1078)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SUMIFS(RAB!$F$14:$F$152,RAB!$C$14:$C$152,C1079)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SUMIFS(RAB!$F$14:$F$152,RAB!$C$14:$C$152,C1080)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SUMIFS(RAB!$F$14:$F$152,RAB!$C$14:$C$152,C1081)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SUMIFS(RAB!$F$14:$F$152,RAB!$C$14:$C$152,C1082)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SUMIFS(RAB!$F$14:$F$152,RAB!$C$14:$C$152,C1083)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SUMIFS(RAB!$F$14:$F$152,RAB!$C$14:$C$152,C1084)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SUMIFS(RAB!$F$14:$F$152,RAB!$C$14:$C$152,C1085)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SUMIFS(RAB!$F$14:$F$152,RAB!$C$14:$C$152,C1086)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SUMIFS(RAB!$F$14:$F$152,RAB!$C$14:$C$152,C1087)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SUMIFS(RAB!$F$14:$F$152,RAB!$C$14:$C$152,C1088)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SUMIFS(RAB!$F$14:$F$152,RAB!$C$14:$C$152,C1089)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SUMIFS(RAB!$F$14:$F$152,RAB!$C$14:$C$152,C1090)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SUMIFS(RAB!$F$14:$F$152,RAB!$C$14:$C$152,C1091)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SUMIFS(RAB!$F$14:$F$152,RAB!$C$14:$C$152,C1092)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SUMIFS(RAB!$F$14:$F$152,RAB!$C$14:$C$152,C1093)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SUMIFS(RAB!$F$14:$F$152,RAB!$C$14:$C$152,C1094)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SUMIFS(RAB!$F$14:$F$152,RAB!$C$14:$C$152,C1095)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SUMIFS(RAB!$F$14:$F$152,RAB!$C$14:$C$152,C1096)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SUMIFS(RAB!$F$14:$F$152,RAB!$C$14:$C$152,C1097)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SUMIFS(RAB!$F$14:$F$152,RAB!$C$14:$C$152,C1098)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SUMIFS(RAB!$F$14:$F$152,RAB!$C$14:$C$152,C1099)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SUMIFS(RAB!$F$14:$F$152,RAB!$C$14:$C$152,C1100)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SUMIFS(RAB!$F$14:$F$152,RAB!$C$14:$C$152,C1101)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SUMIFS(RAB!$F$14:$F$152,RAB!$C$14:$C$152,C1102)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SUMIFS(RAB!$F$14:$F$152,RAB!$C$14:$C$152,C1103)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SUMIFS(RAB!$F$14:$F$152,RAB!$C$14:$C$152,C1104)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SUMIFS(RAB!$F$14:$F$152,RAB!$C$14:$C$152,C1105)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SUMIFS(RAB!$F$14:$F$152,RAB!$C$14:$C$152,C1106)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SUMIFS(RAB!$F$14:$F$152,RAB!$C$14:$C$152,C1107)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SUMIFS(RAB!$F$14:$F$152,RAB!$C$14:$C$152,C1108)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SUMIFS(RAB!$F$14:$F$152,RAB!$C$14:$C$152,C1109)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SUMIFS(RAB!$F$14:$F$152,RAB!$C$14:$C$152,C1110)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SUMIFS(RAB!$F$14:$F$152,RAB!$C$14:$C$152,C1111)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SUMIFS(RAB!$F$14:$F$152,RAB!$C$14:$C$152,C1112)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SUMIFS(RAB!$F$14:$F$152,RAB!$C$14:$C$152,C1113)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SUMIFS(RAB!$F$14:$F$152,RAB!$C$14:$C$152,C1114)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SUMIFS(RAB!$F$14:$F$152,RAB!$C$14:$C$152,C1115)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SUMIFS(RAB!$F$14:$F$152,RAB!$C$14:$C$152,C1116)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SUMIFS(RAB!$F$14:$F$152,RAB!$C$14:$C$152,C1117)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SUMIFS(RAB!$F$14:$F$152,RAB!$C$14:$C$152,C1118)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SUMIFS(RAB!$F$14:$F$152,RAB!$C$14:$C$152,C1119)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SUMIFS(RAB!$F$14:$F$152,RAB!$C$14:$C$152,C1120)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SUMIFS(RAB!$F$14:$F$152,RAB!$C$14:$C$152,C1121)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SUMIFS(RAB!$F$14:$F$152,RAB!$C$14:$C$152,C1122)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SUMIFS(RAB!$F$14:$F$152,RAB!$C$14:$C$152,C1123)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SUMIFS(RAB!$F$14:$F$152,RAB!$C$14:$C$152,C1124)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SUMIFS(RAB!$F$14:$F$152,RAB!$C$14:$C$152,C1125)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SUMIFS(RAB!$F$14:$F$152,RAB!$C$14:$C$152,C1126)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SUMIFS(RAB!$F$14:$F$152,RAB!$C$14:$C$152,C1127)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SUMIFS(RAB!$F$14:$F$152,RAB!$C$14:$C$152,C1128)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SUMIFS(RAB!$F$14:$F$152,RAB!$C$14:$C$152,C1129)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SUMIFS(RAB!$F$14:$F$152,RAB!$C$14:$C$152,C1130)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SUMIFS(RAB!$F$14:$F$152,RAB!$C$14:$C$152,C1131)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SUMIFS(RAB!$F$14:$F$152,RAB!$C$14:$C$152,C1132)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SUMIFS(RAB!$F$14:$F$152,RAB!$C$14:$C$152,C1133)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SUMIFS(RAB!$F$14:$F$152,RAB!$C$14:$C$152,C1134)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SUMIFS(RAB!$F$14:$F$152,RAB!$C$14:$C$152,C1135)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SUMIFS(RAB!$F$14:$F$152,RAB!$C$14:$C$152,C1136)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SUMIFS(RAB!$F$14:$F$152,RAB!$C$14:$C$152,C1137)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SUMIFS(RAB!$F$14:$F$152,RAB!$C$14:$C$152,C1138)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SUMIFS(RAB!$F$14:$F$152,RAB!$C$14:$C$152,C1139)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SUMIFS(RAB!$F$14:$F$152,RAB!$C$14:$C$152,C1140)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SUMIFS(RAB!$F$14:$F$152,RAB!$C$14:$C$152,C1141)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SUMIFS(RAB!$F$14:$F$152,RAB!$C$14:$C$152,C1142)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SUMIFS(RAB!$F$14:$F$152,RAB!$C$14:$C$152,C1143)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SUMIFS(RAB!$F$14:$F$152,RAB!$C$14:$C$152,C1144)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SUMIFS(RAB!$F$14:$F$152,RAB!$C$14:$C$152,C1145)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SUMIFS(RAB!$F$14:$F$152,RAB!$C$14:$C$152,C1146)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SUMIFS(RAB!$F$14:$F$152,RAB!$C$14:$C$152,C1147)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SUMIFS(RAB!$F$14:$F$152,RAB!$C$14:$C$152,C1148)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SUMIFS(RAB!$F$14:$F$152,RAB!$C$14:$C$152,C1149)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SUMIFS(RAB!$F$14:$F$152,RAB!$C$14:$C$152,C1150)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SUMIFS(RAB!$F$14:$F$152,RAB!$C$14:$C$152,C1151)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SUMIFS(RAB!$F$14:$F$152,RAB!$C$14:$C$152,C1152)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SUMIFS(RAB!$F$14:$F$152,RAB!$C$14:$C$152,C1153)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SUMIFS(RAB!$F$14:$F$152,RAB!$C$14:$C$152,C1154)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SUMIFS(RAB!$F$14:$F$152,RAB!$C$14:$C$152,C1155)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SUMIFS(RAB!$F$14:$F$152,RAB!$C$14:$C$152,C1156)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SUMIFS(RAB!$F$14:$F$152,RAB!$C$14:$C$152,C1157)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SUMIFS(RAB!$F$14:$F$152,RAB!$C$14:$C$152,C1158)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SUMIFS(RAB!$F$14:$F$152,RAB!$C$14:$C$152,C1159)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SUMIFS(RAB!$F$14:$F$152,RAB!$C$14:$C$152,C1160)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SUMIFS(RAB!$F$14:$F$152,RAB!$C$14:$C$152,C1161)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SUMIFS(RAB!$F$14:$F$152,RAB!$C$14:$C$152,C1162)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SUMIFS(RAB!$F$14:$F$152,RAB!$C$14:$C$152,C1163)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SUMIFS(RAB!$F$14:$F$152,RAB!$C$14:$C$152,C1164)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SUMIFS(RAB!$F$14:$F$152,RAB!$C$14:$C$152,C1165)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SUMIFS(RAB!$F$14:$F$152,RAB!$C$14:$C$152,C1166)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SUMIFS(RAB!$F$14:$F$152,RAB!$C$14:$C$152,C1167)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SUMIFS(RAB!$F$14:$F$152,RAB!$C$14:$C$152,C1168)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SUMIFS(RAB!$F$14:$F$152,RAB!$C$14:$C$152,C1169)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SUMIFS(RAB!$F$14:$F$152,RAB!$C$14:$C$152,C1170)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SUMIFS(RAB!$F$14:$F$152,RAB!$C$14:$C$152,C1171)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SUMIFS(RAB!$F$14:$F$152,RAB!$C$14:$C$152,C1172)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SUMIFS(RAB!$F$14:$F$152,RAB!$C$14:$C$152,C1173)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SUMIFS(RAB!$F$14:$F$152,RAB!$C$14:$C$152,C1174)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SUMIFS(RAB!$F$14:$F$152,RAB!$C$14:$C$152,C1175)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SUMIFS(RAB!$F$14:$F$152,RAB!$C$14:$C$152,C1176)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SUMIFS(RAB!$F$14:$F$152,RAB!$C$14:$C$152,C1177)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SUMIFS(RAB!$F$14:$F$152,RAB!$C$14:$C$152,C1178)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SUMIFS(RAB!$F$14:$F$152,RAB!$C$14:$C$152,C1179)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SUMIFS(RAB!$F$14:$F$152,RAB!$C$14:$C$152,C1180)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SUMIFS(RAB!$F$14:$F$152,RAB!$C$14:$C$152,C1181)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SUMIFS(RAB!$F$14:$F$152,RAB!$C$14:$C$152,C1182)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SUMIFS(RAB!$F$14:$F$152,RAB!$C$14:$C$152,C1183)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SUMIFS(RAB!$F$14:$F$152,RAB!$C$14:$C$152,C1184)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SUMIFS(RAB!$F$14:$F$152,RAB!$C$14:$C$152,C1185)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SUMIFS(RAB!$F$14:$F$152,RAB!$C$14:$C$152,C1186)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SUMIFS(RAB!$F$14:$F$152,RAB!$C$14:$C$152,C1187)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SUMIFS(RAB!$F$14:$F$152,RAB!$C$14:$C$152,C1188)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SUMIFS(RAB!$F$14:$F$152,RAB!$C$14:$C$152,C1189)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SUMIFS(RAB!$F$14:$F$152,RAB!$C$14:$C$152,C1190)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SUMIFS(RAB!$F$14:$F$152,RAB!$C$14:$C$152,C1191)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SUMIFS(RAB!$F$14:$F$152,RAB!$C$14:$C$152,C1192)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SUMIFS(RAB!$F$14:$F$152,RAB!$C$14:$C$152,C1193)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SUMIFS(RAB!$F$14:$F$152,RAB!$C$14:$C$152,C1194)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SUMIFS(RAB!$F$14:$F$152,RAB!$C$14:$C$152,C1195)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SUMIFS(RAB!$F$14:$F$152,RAB!$C$14:$C$152,C1196)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SUMIFS(RAB!$F$14:$F$152,RAB!$C$14:$C$152,C1197)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SUMIFS(RAB!$F$14:$F$152,RAB!$C$14:$C$152,C1198)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SUMIFS(RAB!$F$14:$F$152,RAB!$C$14:$C$152,C1199)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SUMIFS(RAB!$F$14:$F$152,RAB!$C$14:$C$152,C1200)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SUMIFS(RAB!$F$14:$F$152,RAB!$C$14:$C$152,C1201)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SUMIFS(RAB!$F$14:$F$152,RAB!$C$14:$C$152,C1202)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SUMIFS(RAB!$F$14:$F$152,RAB!$C$14:$C$152,C1203)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SUMIFS(RAB!$F$14:$F$152,RAB!$C$14:$C$152,C1204)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SUMIFS(RAB!$F$14:$F$152,RAB!$C$14:$C$152,C1205)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SUMIFS(RAB!$F$14:$F$152,RAB!$C$14:$C$152,C1206)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SUMIFS(RAB!$F$14:$F$152,RAB!$C$14:$C$152,C1207)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SUMIFS(RAB!$F$14:$F$152,RAB!$C$14:$C$152,C1208)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SUMIFS(RAB!$F$14:$F$152,RAB!$C$14:$C$152,C1209)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SUMIFS(RAB!$F$14:$F$152,RAB!$C$14:$C$152,C1210)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SUMIFS(RAB!$F$14:$F$152,RAB!$C$14:$C$152,C1211)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SUMIFS(RAB!$F$14:$F$152,RAB!$C$14:$C$152,C1212)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SUMIFS(RAB!$F$14:$F$152,RAB!$C$14:$C$152,C1213)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SUMIFS(RAB!$F$14:$F$152,RAB!$C$14:$C$152,C1214)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SUMIFS(RAB!$F$14:$F$152,RAB!$C$14:$C$152,C1215)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SUMIFS(RAB!$F$14:$F$152,RAB!$C$14:$C$152,C1216)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SUMIFS(RAB!$F$14:$F$152,RAB!$C$14:$C$152,C1217)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SUMIFS(RAB!$F$14:$F$152,RAB!$C$14:$C$152,C1218)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SUMIFS(RAB!$F$14:$F$152,RAB!$C$14:$C$152,C1219)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SUMIFS(RAB!$F$14:$F$152,RAB!$C$14:$C$152,C1220)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SUMIFS(RAB!$F$14:$F$152,RAB!$C$14:$C$152,C1221)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SUMIFS(RAB!$F$14:$F$152,RAB!$C$14:$C$152,C1222)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SUMIFS(RAB!$F$14:$F$152,RAB!$C$14:$C$152,C1223)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SUMIFS(RAB!$F$14:$F$152,RAB!$C$14:$C$152,C1224)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SUMIFS(RAB!$F$14:$F$152,RAB!$C$14:$C$152,C1225)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SUMIFS(RAB!$F$14:$F$152,RAB!$C$14:$C$152,C1226)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SUMIFS(RAB!$F$14:$F$152,RAB!$C$14:$C$152,C1227)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SUMIFS(RAB!$F$14:$F$152,RAB!$C$14:$C$152,C1228)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SUMIFS(RAB!$F$14:$F$152,RAB!$C$14:$C$152,C1229)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SUMIFS(RAB!$F$14:$F$152,RAB!$C$14:$C$152,C1230)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SUMIFS(RAB!$F$14:$F$152,RAB!$C$14:$C$152,C1231)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SUMIFS(RAB!$F$14:$F$152,RAB!$C$14:$C$152,C1232)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SUMIFS(RAB!$F$14:$F$152,RAB!$C$14:$C$152,C1233)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SUMIFS(RAB!$F$14:$F$152,RAB!$C$14:$C$152,C1234)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SUMIFS(RAB!$F$14:$F$152,RAB!$C$14:$C$152,C1235)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SUMIFS(RAB!$F$14:$F$152,RAB!$C$14:$C$152,C1236)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SUMIFS(RAB!$F$14:$F$152,RAB!$C$14:$C$152,C1237)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SUMIFS(RAB!$F$14:$F$152,RAB!$C$14:$C$152,C1238)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SUMIFS(RAB!$F$14:$F$152,RAB!$C$14:$C$152,C1239)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SUMIFS(RAB!$F$14:$F$152,RAB!$C$14:$C$152,C1240)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SUMIFS(RAB!$F$14:$F$152,RAB!$C$14:$C$152,C1241)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SUMIFS(RAB!$F$14:$F$152,RAB!$C$14:$C$152,C1242)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SUMIFS(RAB!$F$14:$F$152,RAB!$C$14:$C$152,C1243)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SUMIFS(RAB!$F$14:$F$152,RAB!$C$14:$C$152,C1244)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SUMIFS(RAB!$F$14:$F$152,RAB!$C$14:$C$152,C1245)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SUMIFS(RAB!$F$14:$F$152,RAB!$C$14:$C$152,C1246)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SUMIFS(RAB!$F$14:$F$152,RAB!$C$14:$C$152,C1247)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SUMIFS(RAB!$F$14:$F$152,RAB!$C$14:$C$152,C1248)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SUMIFS(RAB!$F$14:$F$152,RAB!$C$14:$C$152,C1249)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SUMIFS(RAB!$F$14:$F$152,RAB!$C$14:$C$152,C1250)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SUMIFS(RAB!$F$14:$F$152,RAB!$C$14:$C$152,C1251)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SUMIFS(RAB!$F$14:$F$152,RAB!$C$14:$C$152,C1252)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SUMIFS(RAB!$F$14:$F$152,RAB!$C$14:$C$152,C1253)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SUMIFS(RAB!$F$14:$F$152,RAB!$C$14:$C$152,C1254)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SUMIFS(RAB!$F$14:$F$152,RAB!$C$14:$C$152,C1255)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SUMIFS(RAB!$F$14:$F$152,RAB!$C$14:$C$152,C1256)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SUMIFS(RAB!$F$14:$F$152,RAB!$C$14:$C$152,C1257)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SUMIFS(RAB!$F$14:$F$152,RAB!$C$14:$C$152,C1258)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SUMIFS(RAB!$F$14:$F$152,RAB!$C$14:$C$152,C1259)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SUMIFS(RAB!$F$14:$F$152,RAB!$C$14:$C$152,C1260)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SUMIFS(RAB!$F$14:$F$152,RAB!$C$14:$C$152,C1261)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SUMIFS(RAB!$F$14:$F$152,RAB!$C$14:$C$152,C1262)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SUMIFS(RAB!$F$14:$F$152,RAB!$C$14:$C$152,C1263)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SUMIFS(RAB!$F$14:$F$152,RAB!$C$14:$C$152,C1264)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SUMIFS(RAB!$F$14:$F$152,RAB!$C$14:$C$152,C1265)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SUMIFS(RAB!$F$14:$F$152,RAB!$C$14:$C$152,C1266)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SUMIFS(RAB!$F$14:$F$152,RAB!$C$14:$C$152,C1267)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SUMIFS(RAB!$F$14:$F$152,RAB!$C$14:$C$152,C1268)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SUMIFS(RAB!$F$14:$F$152,RAB!$C$14:$C$152,C1269)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SUMIFS(RAB!$F$14:$F$152,RAB!$C$14:$C$152,C1270)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SUMIFS(RAB!$F$14:$F$152,RAB!$C$14:$C$152,C1271)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SUMIFS(RAB!$F$14:$F$152,RAB!$C$14:$C$152,C1272)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SUMIFS(RAB!$F$14:$F$152,RAB!$C$14:$C$152,C1273)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SUMIFS(RAB!$F$14:$F$152,RAB!$C$14:$C$152,C1274)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SUMIFS(RAB!$F$14:$F$152,RAB!$C$14:$C$152,C1275)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SUMIFS(RAB!$F$14:$F$152,RAB!$C$14:$C$152,C1276)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SUMIFS(RAB!$F$14:$F$152,RAB!$C$14:$C$152,C1277)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SUMIFS(RAB!$F$14:$F$152,RAB!$C$14:$C$152,C1278)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SUMIFS(RAB!$F$14:$F$152,RAB!$C$14:$C$152,C1279)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SUMIFS(RAB!$F$14:$F$152,RAB!$C$14:$C$152,C1280)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SUMIFS(RAB!$F$14:$F$152,RAB!$C$14:$C$152,C1281)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SUMIFS(RAB!$F$14:$F$152,RAB!$C$14:$C$152,C1282)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SUMIFS(RAB!$F$14:$F$152,RAB!$C$14:$C$152,C1283)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SUMIFS(RAB!$F$14:$F$152,RAB!$C$14:$C$152,C1284)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SUMIFS(RAB!$F$14:$F$152,RAB!$C$14:$C$152,C1285)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SUMIFS(RAB!$F$14:$F$152,RAB!$C$14:$C$152,C1286)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SUMIFS(RAB!$F$14:$F$152,RAB!$C$14:$C$152,C1287)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SUMIFS(RAB!$F$14:$F$152,RAB!$C$14:$C$152,C1288)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SUMIFS(RAB!$F$14:$F$152,RAB!$C$14:$C$152,C1289)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SUMIFS(RAB!$F$14:$F$152,RAB!$C$14:$C$152,C1290)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SUMIFS(RAB!$F$14:$F$152,RAB!$C$14:$C$152,C1291)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SUMIFS(RAB!$F$14:$F$152,RAB!$C$14:$C$152,C1292)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SUMIFS(RAB!$F$14:$F$152,RAB!$C$14:$C$152,C1293)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SUMIFS(RAB!$F$14:$F$152,RAB!$C$14:$C$152,C1294)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SUMIFS(RAB!$F$14:$F$152,RAB!$C$14:$C$152,C1295)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SUMIFS(RAB!$F$14:$F$152,RAB!$C$14:$C$152,C1296)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SUMIFS(RAB!$F$14:$F$152,RAB!$C$14:$C$152,C1297)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SUMIFS(RAB!$F$14:$F$152,RAB!$C$14:$C$152,C1298)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SUMIFS(RAB!$F$14:$F$152,RAB!$C$14:$C$152,C1299)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SUMIFS(RAB!$F$14:$F$152,RAB!$C$14:$C$152,C1300)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SUMIFS(RAB!$F$14:$F$152,RAB!$C$14:$C$152,C1301)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SUMIFS(RAB!$F$14:$F$152,RAB!$C$14:$C$152,C1302)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SUMIFS(RAB!$F$14:$F$152,RAB!$C$14:$C$152,C1303)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SUMIFS(RAB!$F$14:$F$152,RAB!$C$14:$C$152,C1304)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SUMIFS(RAB!$F$14:$F$152,RAB!$C$14:$C$152,C1305)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SUMIFS(RAB!$F$14:$F$152,RAB!$C$14:$C$152,C1306)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SUMIFS(RAB!$F$14:$F$152,RAB!$C$14:$C$152,C1307)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SUMIFS(RAB!$F$14:$F$152,RAB!$C$14:$C$152,C1308)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SUMIFS(RAB!$F$14:$F$152,RAB!$C$14:$C$152,C1309)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SUMIFS(RAB!$F$14:$F$152,RAB!$C$14:$C$152,C1310)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SUMIFS(RAB!$F$14:$F$152,RAB!$C$14:$C$152,C1311)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SUMIFS(RAB!$F$14:$F$152,RAB!$C$14:$C$152,C1312)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SUMIFS(RAB!$F$14:$F$152,RAB!$C$14:$C$152,C1313)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SUMIFS(RAB!$F$14:$F$152,RAB!$C$14:$C$152,C1314)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SUMIFS(RAB!$F$14:$F$152,RAB!$C$14:$C$152,C1315)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SUMIFS(RAB!$F$14:$F$152,RAB!$C$14:$C$152,C1316)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SUMIFS(RAB!$F$14:$F$152,RAB!$C$14:$C$152,C1317)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SUMIFS(RAB!$F$14:$F$152,RAB!$C$14:$C$152,C1318)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SUMIFS(RAB!$F$14:$F$152,RAB!$C$14:$C$152,C1319)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SUMIFS(RAB!$F$14:$F$152,RAB!$C$14:$C$152,C1320)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6" priority="5" operator="equal">
      <formula>0</formula>
    </cfRule>
  </conditionalFormatting>
  <conditionalFormatting sqref="A10:L65536">
    <cfRule type="cellIs" dxfId="65" priority="1" operator="equal">
      <formula>0</formula>
    </cfRule>
  </conditionalFormatting>
  <conditionalFormatting sqref="C12:C711">
    <cfRule type="cellIs" dxfId="64" priority="66" stopIfTrue="1" operator="equal">
      <formula>0</formula>
    </cfRule>
  </conditionalFormatting>
  <conditionalFormatting sqref="E712:E65536">
    <cfRule type="cellIs" dxfId="63" priority="16" stopIfTrue="1" operator="equal">
      <formula>0</formula>
    </cfRule>
  </conditionalFormatting>
  <conditionalFormatting sqref="G1:G11 E6:E11 E1:E3 H7 H10:H11 F10:F711 G712:G65536">
    <cfRule type="cellIs" dxfId="62" priority="69" stopIfTrue="1" operator="equal">
      <formula>0</formula>
    </cfRule>
  </conditionalFormatting>
  <conditionalFormatting sqref="G12:H711">
    <cfRule type="cellIs" dxfId="61" priority="12" stopIfTrue="1" operator="equal">
      <formula>0</formula>
    </cfRule>
  </conditionalFormatting>
  <conditionalFormatting sqref="I7:K7">
    <cfRule type="cellIs" dxfId="60" priority="4" stopIfTrue="1" operator="equal">
      <formula>0</formula>
    </cfRule>
  </conditionalFormatting>
  <conditionalFormatting sqref="I10:L711">
    <cfRule type="cellIs" dxfId="59" priority="2" stopIfTrue="1" operator="equal">
      <formula>0</formula>
    </cfRule>
  </conditionalFormatting>
  <conditionalFormatting sqref="L1:L6">
    <cfRule type="cellIs" dxfId="58" priority="10" operator="equal">
      <formula>0</formula>
    </cfRule>
  </conditionalFormatting>
  <conditionalFormatting sqref="M1:IV1048576 A8:G9">
    <cfRule type="cellIs" dxfId="5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PB SUBARJO 11KVA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KRANGGANHARJO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6</v>
      </c>
      <c r="G17" s="41">
        <f ca="1">IF(ISERROR(OFFSET('HARGA SATUAN'!$I$6,MATCH(C17,'HARGA SATUAN'!$C$7:$C$1495,0),0)),"",OFFSET('HARGA SATUAN'!$I$6,MATCH(C17,'HARGA SATUAN'!$C$7:$C$1495,0),0))</f>
        <v>5800000</v>
      </c>
      <c r="H17" s="42">
        <f t="shared" ca="1" si="1"/>
        <v>0</v>
      </c>
      <c r="I17" s="42">
        <f t="shared" ca="1" si="2"/>
        <v>34800000</v>
      </c>
      <c r="J17" s="42">
        <f t="shared" ca="1" si="3"/>
        <v>0</v>
      </c>
      <c r="K17" s="43">
        <f t="shared" ca="1" si="0"/>
        <v>34800000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6" t="s">
        <v>1008</v>
      </c>
      <c r="D38" s="556"/>
      <c r="E38" s="556"/>
      <c r="F38" s="556"/>
      <c r="G38" s="77" t="s">
        <v>9</v>
      </c>
      <c r="H38" s="55">
        <f ca="1">SUM(H14:H37)</f>
        <v>0</v>
      </c>
      <c r="I38" s="55">
        <f ca="1">SUM(I14:I37)</f>
        <v>38182600</v>
      </c>
      <c r="J38" s="55">
        <f ca="1">SUM(J14:J37)</f>
        <v>0</v>
      </c>
      <c r="K38" s="55">
        <f ca="1">SUM(K14:K37)</f>
        <v>38182600</v>
      </c>
      <c r="L38" s="44"/>
      <c r="R38" s="99"/>
      <c r="S38" s="99"/>
      <c r="T38" s="99"/>
    </row>
    <row r="39" spans="1:20" s="36" customFormat="1">
      <c r="A39" s="30"/>
      <c r="B39" s="56"/>
      <c r="C39" s="557" t="s">
        <v>462</v>
      </c>
      <c r="D39" s="557"/>
      <c r="E39" s="557"/>
      <c r="F39" s="557"/>
      <c r="G39" s="59" t="s">
        <v>9</v>
      </c>
      <c r="H39" s="60">
        <f ca="1">H38*0.1</f>
        <v>0</v>
      </c>
      <c r="I39" s="60">
        <f ca="1">I38*0.1</f>
        <v>3818260</v>
      </c>
      <c r="J39" s="60">
        <f ca="1">J38*0.1</f>
        <v>0</v>
      </c>
      <c r="K39" s="60">
        <f ca="1">K38*0.1</f>
        <v>3818260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8" t="s">
        <v>463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42000860</v>
      </c>
      <c r="J40" s="61">
        <f ca="1">SUM(J38:J39)</f>
        <v>0</v>
      </c>
      <c r="K40" s="61">
        <f ca="1">SUM(K38:K39)</f>
        <v>42000860</v>
      </c>
      <c r="L40" s="44"/>
      <c r="R40" s="99"/>
      <c r="S40" s="99"/>
      <c r="T40" s="99"/>
    </row>
    <row r="41" spans="1:20" s="36" customFormat="1">
      <c r="A41" s="30"/>
      <c r="B41" s="549" t="e">
        <f ca="1">"Terbilang : ( "&amp;L42&amp;" Rupiah )"</f>
        <v>#NAME?</v>
      </c>
      <c r="C41" s="550"/>
      <c r="D41" s="550"/>
      <c r="E41" s="550"/>
      <c r="F41" s="550"/>
      <c r="G41" s="550"/>
      <c r="H41" s="550"/>
      <c r="I41" s="550"/>
      <c r="J41" s="550"/>
      <c r="K41" s="551"/>
      <c r="L41" s="44"/>
      <c r="R41" s="58"/>
      <c r="S41" s="58"/>
      <c r="T41" s="58"/>
    </row>
    <row r="42" spans="1:20" s="36" customFormat="1">
      <c r="A42" s="30"/>
      <c r="B42" s="552"/>
      <c r="C42" s="553"/>
      <c r="D42" s="553"/>
      <c r="E42" s="553"/>
      <c r="F42" s="553"/>
      <c r="G42" s="553"/>
      <c r="H42" s="553"/>
      <c r="I42" s="553"/>
      <c r="J42" s="553"/>
      <c r="K42" s="554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SUMIFS(RAB!$F$14:$F$152,RAB!$C$14:$C$152,'REKAP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SUMIFS(RAB!$F$14:$F$152,RAB!$C$14:$C$152,'REKAP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SUMIFS(RAB!$F$14:$F$152,RAB!$C$14:$C$152,'REKAP TIANG'!C59)</f>
        <v>6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SUMIFS(RAB!$F$14:$F$152,RAB!$C$14:$C$152,'REKAP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SUMIFS(RAB!$F$14:$F$152,RAB!$C$14:$C$152,'REKAP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SUMIFS(RAB!$F$14:$F$152,RAB!$C$14:$C$152,'REKAP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SUMIFS(RAB!$F$14:$F$152,RAB!$C$14:$C$152,'REKAP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SUMIFS(RAB!$F$14:$F$152,RAB!$C$14:$C$152,'REKAP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SUMIFS(RAB!$F$14:$F$152,RAB!$C$14:$C$152,'REKAP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SUMIFS(RAB!$F$14:$F$152,RAB!$C$14:$C$152,'REKAP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SUMIFS(RAB!$F$14:$F$152,RAB!$C$14:$C$152,'REKAP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SUMIFS(RAB!$F$14:$F$152,RAB!$C$14:$C$152,'REKAP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SUMIFS(RAB!$F$14:$F$152,RAB!$C$14:$C$152,'REKAP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SUMIFS(RAB!$F$14:$F$152,RAB!$C$14:$C$152,'REKAP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SUMIFS(RAB!$F$14:$F$152,RAB!$C$14:$C$152,'REKAP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SUMIFS(RAB!$F$14:$F$152,RAB!$C$14:$C$152,'REKAP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SUMIFS(RAB!$F$14:$F$152,RAB!$C$14:$C$152,'REKAP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SUMIFS(RAB!$F$14:$F$152,RAB!$C$14:$C$152,'REKAP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SUMIFS(RAB!$F$14:$F$152,RAB!$C$14:$C$152,'REKAP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SUMIFS(RAB!$F$14:$F$152,RAB!$C$14:$C$152,'REKAP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I5" sqref="I5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PB SUBARJO 11KVA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KRANGGANHARJO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Pin Post ) 20 KV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235900</v>
      </c>
      <c r="H19" s="42">
        <f t="shared" ca="1" si="1"/>
        <v>471800</v>
      </c>
      <c r="I19" s="42">
        <f t="shared" ca="1" si="2"/>
        <v>0</v>
      </c>
      <c r="J19" s="42">
        <f t="shared" ca="1" si="3"/>
        <v>0</v>
      </c>
      <c r="K19" s="43">
        <f t="shared" ca="1" si="0"/>
        <v>471800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Line Post ) 20 KV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4</v>
      </c>
      <c r="G20" s="41">
        <f ca="1">IF(ISERROR(OFFSET('HARGA SATUAN'!$I$6,MATCH(C20,'HARGA SATUAN'!$C$7:$C$1495,0),0)),"",OFFSET('HARGA SATUAN'!$I$6,MATCH(C20,'HARGA SATUAN'!$C$7:$C$1495,0),0))</f>
        <v>176900</v>
      </c>
      <c r="H20" s="42">
        <f t="shared" ca="1" si="1"/>
        <v>707600</v>
      </c>
      <c r="I20" s="42">
        <f t="shared" ca="1" si="2"/>
        <v>0</v>
      </c>
      <c r="J20" s="42">
        <f t="shared" ca="1" si="3"/>
        <v>0</v>
      </c>
      <c r="K20" s="43">
        <f t="shared" ca="1" si="0"/>
        <v>707600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Porcelain ) 20 KV + Primary Dead End Clamp 70-150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Set</v>
      </c>
      <c r="F21" s="101">
        <f t="shared" ca="1" si="6"/>
        <v>2</v>
      </c>
      <c r="G21" s="41">
        <f ca="1">IF(ISERROR(OFFSET('HARGA SATUAN'!$I$6,MATCH(C21,'HARGA SATUAN'!$C$7:$C$1495,0),0)),"",OFFSET('HARGA SATUAN'!$I$6,MATCH(C21,'HARGA SATUAN'!$C$7:$C$1495,0),0))</f>
        <v>205700</v>
      </c>
      <c r="H21" s="42">
        <f t="shared" ca="1" si="1"/>
        <v>411400</v>
      </c>
      <c r="I21" s="42">
        <f t="shared" ca="1" si="2"/>
        <v>0</v>
      </c>
      <c r="J21" s="42">
        <f t="shared" ca="1" si="3"/>
        <v>0</v>
      </c>
      <c r="K21" s="43">
        <f t="shared" ca="1" si="0"/>
        <v>411400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722</v>
      </c>
      <c r="G22" s="41">
        <f ca="1">IF(ISERROR(OFFSET('HARGA SATUAN'!$I$6,MATCH(C22,'HARGA SATUAN'!$C$7:$C$1495,0),0)),"",OFFSET('HARGA SATUAN'!$I$6,MATCH(C22,'HARGA SATUAN'!$C$7:$C$1495,0),0))</f>
        <v>14200</v>
      </c>
      <c r="H22" s="42">
        <f t="shared" ca="1" si="1"/>
        <v>10252400</v>
      </c>
      <c r="I22" s="42">
        <f t="shared" ca="1" si="2"/>
        <v>0</v>
      </c>
      <c r="J22" s="42">
        <f t="shared" ca="1" si="3"/>
        <v>0</v>
      </c>
      <c r="K22" s="43">
        <f t="shared" ca="1" si="0"/>
        <v>10252400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52</v>
      </c>
      <c r="G23" s="41">
        <f ca="1">IF(ISERROR(OFFSET('HARGA SATUAN'!$I$6,MATCH(C23,'HARGA SATUAN'!$C$7:$C$1495,0),0)),"",OFFSET('HARGA SATUAN'!$I$6,MATCH(C23,'HARGA SATUAN'!$C$7:$C$1495,0),0))</f>
        <v>53300</v>
      </c>
      <c r="H23" s="42">
        <f t="shared" ca="1" si="1"/>
        <v>2771600</v>
      </c>
      <c r="I23" s="42">
        <f t="shared" ca="1" si="2"/>
        <v>0</v>
      </c>
      <c r="J23" s="42">
        <f t="shared" ca="1" si="3"/>
        <v>0</v>
      </c>
      <c r="K23" s="43">
        <f t="shared" ca="1" si="0"/>
        <v>2771600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16 mm²</v>
      </c>
      <c r="D24" s="101" t="str">
        <f ca="1">IF(ISERROR(OFFSET('HARGA SATUAN'!$D$6,MATCH(C24,'HARGA SATUAN'!$C$7:$C$1495,0),0)),"",OFFSET('HARGA SATUAN'!$D$6,MATCH(C24,'HARGA SATUAN'!$C$7:$C$1495,0),0))</f>
        <v>MDU-KD</v>
      </c>
      <c r="E24" s="101" t="str">
        <f ca="1">IF(B24="+","Unit",IF(ISERROR(OFFSET('HARGA SATUAN'!$E$6,MATCH(C24,'HARGA SATUAN'!$C$7:$C$1495,0),0)),"",OFFSET('HARGA SATUAN'!$E$6,MATCH(C24,'HARGA SATUAN'!$C$7:$C$1495,0),0)))</f>
        <v>Mtr</v>
      </c>
      <c r="F24" s="101">
        <f t="shared" ca="1" si="6"/>
        <v>45</v>
      </c>
      <c r="G24" s="41">
        <f ca="1">IF(ISERROR(OFFSET('HARGA SATUAN'!$I$6,MATCH(C24,'HARGA SATUAN'!$C$7:$C$1495,0),0)),"",OFFSET('HARGA SATUAN'!$I$6,MATCH(C24,'HARGA SATUAN'!$C$7:$C$1495,0),0))</f>
        <v>6600</v>
      </c>
      <c r="H24" s="42">
        <f t="shared" ca="1" si="1"/>
        <v>297000</v>
      </c>
      <c r="I24" s="42">
        <f t="shared" ca="1" si="2"/>
        <v>0</v>
      </c>
      <c r="J24" s="42">
        <f t="shared" ca="1" si="3"/>
        <v>0</v>
      </c>
      <c r="K24" s="43">
        <f t="shared" ca="1" si="0"/>
        <v>297000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/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/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/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/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/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/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/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/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6" t="s">
        <v>1008</v>
      </c>
      <c r="D168" s="556"/>
      <c r="E168" s="556"/>
      <c r="F168" s="556"/>
      <c r="G168" s="77" t="s">
        <v>9</v>
      </c>
      <c r="H168" s="55">
        <f ca="1">SUM(H14:H167)</f>
        <v>43123800</v>
      </c>
      <c r="I168" s="55">
        <f ca="1">SUM(I14:I167)</f>
        <v>0</v>
      </c>
      <c r="J168" s="55">
        <f ca="1">SUM(J14:J167)</f>
        <v>0</v>
      </c>
      <c r="K168" s="55">
        <f ca="1">SUM(K14:K167)</f>
        <v>43123800</v>
      </c>
      <c r="L168" s="44"/>
      <c r="R168" s="99"/>
      <c r="S168" s="99"/>
      <c r="T168" s="99"/>
    </row>
    <row r="169" spans="1:20" s="36" customFormat="1">
      <c r="A169" s="30"/>
      <c r="B169" s="56"/>
      <c r="C169" s="557" t="s">
        <v>462</v>
      </c>
      <c r="D169" s="557"/>
      <c r="E169" s="557"/>
      <c r="F169" s="557"/>
      <c r="G169" s="59" t="s">
        <v>9</v>
      </c>
      <c r="H169" s="60">
        <f ca="1">H168*0.1</f>
        <v>4312380</v>
      </c>
      <c r="I169" s="60">
        <f ca="1">I168*0.1</f>
        <v>0</v>
      </c>
      <c r="J169" s="60">
        <f ca="1">J168*0.1</f>
        <v>0</v>
      </c>
      <c r="K169" s="60">
        <f ca="1">K168*0.1</f>
        <v>4312380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8" t="s">
        <v>463</v>
      </c>
      <c r="D170" s="548"/>
      <c r="E170" s="548"/>
      <c r="F170" s="548"/>
      <c r="G170" s="61" t="s">
        <v>9</v>
      </c>
      <c r="H170" s="78">
        <f ca="1">SUM(H168:H169)</f>
        <v>47436180</v>
      </c>
      <c r="I170" s="78">
        <f ca="1">SUM(I168:I169)</f>
        <v>0</v>
      </c>
      <c r="J170" s="61">
        <f ca="1">SUM(J168:J169)</f>
        <v>0</v>
      </c>
      <c r="K170" s="61">
        <f ca="1">SUM(K168:K169)</f>
        <v>47436180</v>
      </c>
      <c r="L170" s="44"/>
      <c r="R170" s="99"/>
      <c r="S170" s="99"/>
      <c r="T170" s="99"/>
    </row>
    <row r="171" spans="1:20" s="36" customFormat="1">
      <c r="A171" s="30"/>
      <c r="B171" s="549" t="e">
        <f ca="1">"Terbilang : ( "&amp;L172&amp;" Rupiah )"</f>
        <v>#NAME?</v>
      </c>
      <c r="C171" s="550"/>
      <c r="D171" s="550"/>
      <c r="E171" s="550"/>
      <c r="F171" s="550"/>
      <c r="G171" s="550"/>
      <c r="H171" s="550"/>
      <c r="I171" s="550"/>
      <c r="J171" s="550"/>
      <c r="K171" s="551"/>
      <c r="L171" s="44"/>
      <c r="R171" s="58"/>
      <c r="S171" s="58"/>
      <c r="T171" s="58"/>
    </row>
    <row r="172" spans="1:20" s="36" customFormat="1">
      <c r="A172" s="30"/>
      <c r="B172" s="552"/>
      <c r="C172" s="553"/>
      <c r="D172" s="553"/>
      <c r="E172" s="553"/>
      <c r="F172" s="553"/>
      <c r="G172" s="553"/>
      <c r="H172" s="553"/>
      <c r="I172" s="553"/>
      <c r="J172" s="553"/>
      <c r="K172" s="554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SUMIFS(RAB!$F$14:$F$152,RAB!$C$14:$C$152,C224)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SUMIFS(RAB!$F$14:$F$152,RAB!$C$14:$C$152,C225)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SUMIFS(RAB!$F$14:$F$152,RAB!$C$14:$C$152,C226)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SUMIFS(RAB!$F$14:$F$152,RAB!$C$14:$C$152,C227)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SUMIFS(RAB!$F$14:$F$152,RAB!$C$14:$C$152,C228)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SUMIFS(RAB!$F$14:$F$152,RAB!$C$14:$C$152,C229)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SUMIFS(RAB!$F$14:$F$152,RAB!$C$14:$C$152,C230)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SUMIFS(RAB!$F$14:$F$152,RAB!$C$14:$C$152,C231)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SUMIFS(RAB!$F$14:$F$152,RAB!$C$14:$C$152,C232)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SUMIFS(RAB!$F$14:$F$152,RAB!$C$14:$C$152,C233)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SUMIFS(RAB!$F$14:$F$152,RAB!$C$14:$C$152,C234)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SUMIFS(RAB!$F$14:$F$152,RAB!$C$14:$C$152,C235)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SUMIFS(RAB!$F$14:$F$152,RAB!$C$14:$C$152,C236)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SUMIFS(RAB!$F$14:$F$152,RAB!$C$14:$C$152,C237)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SUMIFS(RAB!$F$14:$F$152,RAB!$C$14:$C$152,C238)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SUMIFS(RAB!$F$14:$F$152,RAB!$C$14:$C$152,C239)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SUMIFS(RAB!$F$14:$F$152,RAB!$C$14:$C$152,C240)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SUMIFS(RAB!$F$14:$F$152,RAB!$C$14:$C$152,C241)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SUMIFS(RAB!$F$14:$F$152,RAB!$C$14:$C$152,C242)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SUMIFS(RAB!$F$14:$F$152,RAB!$C$14:$C$152,C243)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SUMIFS(RAB!$F$14:$F$152,RAB!$C$14:$C$152,C244)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SUMIFS(RAB!$F$14:$F$152,RAB!$C$14:$C$152,C245)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SUMIFS(RAB!$F$14:$F$152,RAB!$C$14:$C$152,C246)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SUMIFS(RAB!$F$14:$F$152,RAB!$C$14:$C$152,C247)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SUMIFS(RAB!$F$14:$F$152,RAB!$C$14:$C$152,C248)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SUMIFS(RAB!$F$14:$F$152,RAB!$C$14:$C$152,C249)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SUMIFS(RAB!$F$14:$F$152,RAB!$C$14:$C$152,C250)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SUMIFS(RAB!$F$14:$F$152,RAB!$C$14:$C$152,C251)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SUMIFS(RAB!$F$14:$F$152,RAB!$C$14:$C$152,C252)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SUMIFS(RAB!$F$14:$F$152,RAB!$C$14:$C$152,C253)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SUMIFS(RAB!$F$14:$F$152,RAB!$C$14:$C$152,C254)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SUMIFS(RAB!$F$14:$F$152,RAB!$C$14:$C$152,C255)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SUMIFS(RAB!$F$14:$F$152,RAB!$C$14:$C$152,C256)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SUMIFS(RAB!$F$14:$F$152,RAB!$C$14:$C$152,C257)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SUMIFS(RAB!$F$14:$F$152,RAB!$C$14:$C$152,C258)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SUMIFS(RAB!$F$14:$F$152,RAB!$C$14:$C$152,C259)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SUMIFS(RAB!$F$14:$F$152,RAB!$C$14:$C$152,C260)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SUMIFS(RAB!$F$14:$F$152,RAB!$C$14:$C$152,C261)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SUMIFS(RAB!$F$14:$F$152,RAB!$C$14:$C$152,C262)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SUMIFS(RAB!$F$14:$F$152,RAB!$C$14:$C$152,C263)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SUMIFS(RAB!$F$14:$F$152,RAB!$C$14:$C$152,C264)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SUMIFS(RAB!$F$14:$F$152,RAB!$C$14:$C$152,C265)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SUMIFS(RAB!$F$14:$F$152,RAB!$C$14:$C$152,C266)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SUMIFS(RAB!$F$14:$F$152,RAB!$C$14:$C$152,C267)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SUMIFS(RAB!$F$14:$F$152,RAB!$C$14:$C$152,C268)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SUMIFS(RAB!$F$14:$F$152,RAB!$C$14:$C$152,C269)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SUMIFS(RAB!$F$14:$F$152,RAB!$C$14:$C$152,C270)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SUMIFS(RAB!$F$14:$F$152,RAB!$C$14:$C$152,C271)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SUMIFS(RAB!$F$14:$F$152,RAB!$C$14:$C$152,C272)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SUMIFS(RAB!$F$14:$F$152,RAB!$C$14:$C$152,C273)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SUMIFS(RAB!$F$14:$F$152,RAB!$C$14:$C$152,C274)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SUMIFS(RAB!$F$14:$F$152,RAB!$C$14:$C$152,C275)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SUMIFS(RAB!$F$14:$F$152,RAB!$C$14:$C$152,C276)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SUMIFS(RAB!$F$14:$F$152,RAB!$C$14:$C$152,C277)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SUMIFS(RAB!$F$14:$F$152,RAB!$C$14:$C$152,C278)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SUMIFS(RAB!$F$14:$F$152,RAB!$C$14:$C$152,C279)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SUMIFS(RAB!$F$14:$F$152,RAB!$C$14:$C$152,C280)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SUMIFS(RAB!$F$14:$F$152,RAB!$C$14:$C$152,C281)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SUMIFS(RAB!$F$14:$F$152,RAB!$C$14:$C$152,C282)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SUMIFS(RAB!$F$14:$F$152,RAB!$C$14:$C$152,C283)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SUMIFS(RAB!$F$14:$F$152,RAB!$C$14:$C$152,C284)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SUMIFS(RAB!$F$14:$F$152,RAB!$C$14:$C$152,C285)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SUMIFS(RAB!$F$14:$F$152,RAB!$C$14:$C$152,C286)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SUMIFS(RAB!$F$14:$F$152,RAB!$C$14:$C$152,C287)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SUMIFS(RAB!$F$14:$F$152,RAB!$C$14:$C$152,C288)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SUMIFS(RAB!$F$14:$F$152,RAB!$C$14:$C$152,C289)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SUMIFS(RAB!$F$14:$F$152,RAB!$C$14:$C$152,C290)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SUMIFS(RAB!$F$14:$F$152,RAB!$C$14:$C$152,C291)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SUMIFS(RAB!$F$14:$F$152,RAB!$C$14:$C$152,C292)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SUMIFS(RAB!$F$14:$F$152,RAB!$C$14:$C$152,C293)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SUMIFS(RAB!$F$14:$F$152,RAB!$C$14:$C$152,C294)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SUMIFS(RAB!$F$14:$F$152,RAB!$C$14:$C$152,C295)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SUMIFS(RAB!$F$14:$F$152,RAB!$C$14:$C$152,C296)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SUMIFS(RAB!$F$14:$F$152,RAB!$C$14:$C$152,C297)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SUMIFS(RAB!$F$14:$F$152,RAB!$C$14:$C$152,C298)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SUMIFS(RAB!$F$14:$F$152,RAB!$C$14:$C$152,C299)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SUMIFS(RAB!$F$14:$F$152,RAB!$C$14:$C$152,C300)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SUMIFS(RAB!$F$14:$F$152,RAB!$C$14:$C$152,C301)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SUMIFS(RAB!$F$14:$F$152,RAB!$C$14:$C$152,C302)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SUMIFS(RAB!$F$14:$F$152,RAB!$C$14:$C$152,C303)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SUMIFS(RAB!$F$14:$F$152,RAB!$C$14:$C$152,C304)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SUMIFS(RAB!$F$14:$F$152,RAB!$C$14:$C$152,C305)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SUMIFS(RAB!$F$14:$F$152,RAB!$C$14:$C$152,C306)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SUMIFS(RAB!$F$14:$F$152,RAB!$C$14:$C$152,C307)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SUMIFS(RAB!$F$14:$F$152,RAB!$C$14:$C$152,C308)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SUMIFS(RAB!$F$14:$F$152,RAB!$C$14:$C$152,C309)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SUMIFS(RAB!$F$14:$F$152,RAB!$C$14:$C$152,C310)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SUMIFS(RAB!$F$14:$F$152,RAB!$C$14:$C$152,C311)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SUMIFS(RAB!$F$14:$F$152,RAB!$C$14:$C$152,C312)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SUMIFS(RAB!$F$14:$F$152,RAB!$C$14:$C$152,C313)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SUMIFS(RAB!$F$14:$F$152,RAB!$C$14:$C$152,C314)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SUMIFS(RAB!$F$14:$F$152,RAB!$C$14:$C$152,C315)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SUMIFS(RAB!$F$14:$F$152,RAB!$C$14:$C$152,C316)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SUMIFS(RAB!$F$14:$F$152,RAB!$C$14:$C$152,C317)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SUMIFS(RAB!$F$14:$F$152,RAB!$C$14:$C$152,C318)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SUMIFS(RAB!$F$14:$F$152,RAB!$C$14:$C$152,C319)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SUMIFS(RAB!$F$14:$F$152,RAB!$C$14:$C$152,C320)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SUMIFS(RAB!$F$14:$F$152,RAB!$C$14:$C$152,C321)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SUMIFS(RAB!$F$14:$F$152,RAB!$C$14:$C$152,C322)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SUMIFS(RAB!$F$14:$F$152,RAB!$C$14:$C$152,C323)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SUMIFS(RAB!$F$14:$F$152,RAB!$C$14:$C$152,C324)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SUMIFS(RAB!$F$14:$F$152,RAB!$C$14:$C$152,C325)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SUMIFS(RAB!$F$14:$F$152,RAB!$C$14:$C$152,C326)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SUMIFS(RAB!$F$14:$F$152,RAB!$C$14:$C$152,C327)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SUMIFS(RAB!$F$14:$F$152,RAB!$C$14:$C$152,C328)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SUMIFS(RAB!$F$14:$F$152,RAB!$C$14:$C$152,C329)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SUMIFS(RAB!$F$14:$F$152,RAB!$C$14:$C$152,C330)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SUMIFS(RAB!$F$14:$F$152,RAB!$C$14:$C$152,C331)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SUMIFS(RAB!$F$14:$F$152,RAB!$C$14:$C$152,C332)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SUMIFS(RAB!$F$14:$F$152,RAB!$C$14:$C$152,C333)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SUMIFS(RAB!$F$14:$F$152,RAB!$C$14:$C$152,C334)</f>
        <v>2</v>
      </c>
      <c r="E334" s="24">
        <f t="shared" ca="1" si="22"/>
        <v>1</v>
      </c>
      <c r="F334" s="24">
        <f ca="1">IF(D334=0,0,SUM($E$223:E334))</f>
        <v>4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SUMIFS(RAB!$F$14:$F$152,RAB!$C$14:$C$152,C335)</f>
        <v>4</v>
      </c>
      <c r="E335" s="24">
        <f t="shared" ca="1" si="22"/>
        <v>1</v>
      </c>
      <c r="F335" s="24">
        <f ca="1">IF(D335=0,0,SUM($E$223:E335))</f>
        <v>5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SUMIFS(RAB!$F$14:$F$152,RAB!$C$14:$C$152,C336)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SUMIFS(RAB!$F$14:$F$152,RAB!$C$14:$C$152,C337)</f>
        <v>2</v>
      </c>
      <c r="E337" s="24">
        <f t="shared" ca="1" si="22"/>
        <v>1</v>
      </c>
      <c r="F337" s="24">
        <f ca="1">IF(D337=0,0,SUM($E$223:E337))</f>
        <v>6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SUMIFS(RAB!$F$14:$F$152,RAB!$C$14:$C$152,C338)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SUMIFS(RAB!$F$14:$F$152,RAB!$C$14:$C$152,C339)</f>
        <v>722</v>
      </c>
      <c r="E339" s="24">
        <f t="shared" ca="1" si="22"/>
        <v>1</v>
      </c>
      <c r="F339" s="24">
        <f ca="1">IF(D339=0,0,SUM($E$223:E339))</f>
        <v>7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SUMIFS(RAB!$F$14:$F$152,RAB!$C$14:$C$152,C340)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SUMIFS(RAB!$F$14:$F$152,RAB!$C$14:$C$152,C341)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SUMIFS(RAB!$F$14:$F$152,RAB!$C$14:$C$152,C342)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SUMIFS(RAB!$F$14:$F$152,RAB!$C$14:$C$152,C343)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SUMIFS(RAB!$F$14:$F$152,RAB!$C$14:$C$152,C344)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SUMIFS(RAB!$F$14:$F$152,RAB!$C$14:$C$152,C345)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SUMIFS(RAB!$F$14:$F$152,RAB!$C$14:$C$152,C346)</f>
        <v>52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SUMIFS(RAB!$F$14:$F$152,RAB!$C$14:$C$152,C347)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SUMIFS(RAB!$F$14:$F$152,RAB!$C$14:$C$152,C348)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SUMIFS(RAB!$F$14:$F$152,RAB!$C$14:$C$152,C349)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SUMIFS(RAB!$F$14:$F$152,RAB!$C$14:$C$152,C350)</f>
        <v>45</v>
      </c>
      <c r="E350" s="24">
        <f t="shared" ca="1" si="22"/>
        <v>1</v>
      </c>
      <c r="F350" s="24">
        <f ca="1">IF(D350=0,0,SUM($E$223:E350))</f>
        <v>9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SUMIFS(RAB!$F$14:$F$152,RAB!$C$14:$C$152,C351)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SUMIFS(RAB!$F$14:$F$152,RAB!$C$14:$C$152,C352)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SUMIFS(RAB!$F$14:$F$152,RAB!$C$14:$C$152,C353)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SUMIFS(RAB!$F$14:$F$152,RAB!$C$14:$C$152,C354)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SUMIFS(RAB!$F$14:$F$152,RAB!$C$14:$C$152,C355)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SUMIFS(RAB!$F$14:$F$152,RAB!$C$14:$C$152,C356)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SUMIFS(RAB!$F$14:$F$152,RAB!$C$14:$C$152,C357)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SUMIFS(RAB!$F$14:$F$152,RAB!$C$14:$C$152,C358)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SUMIFS(RAB!$F$14:$F$152,RAB!$C$14:$C$152,C359)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SUMIFS(RAB!$F$14:$F$152,RAB!$C$14:$C$152,C360)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SUMIFS(RAB!$F$14:$F$152,RAB!$C$14:$C$152,C361)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SUMIFS(RAB!$F$14:$F$152,RAB!$C$14:$C$152,C362)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SUMIFS(RAB!$F$14:$F$152,RAB!$C$14:$C$152,C363)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SUMIFS(RAB!$F$14:$F$152,RAB!$C$14:$C$152,C364)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SUMIFS(RAB!$F$14:$F$152,RAB!$C$14:$C$152,C365)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SUMIFS(RAB!$F$14:$F$152,RAB!$C$14:$C$152,C366)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SUMIFS(RAB!$F$14:$F$152,RAB!$C$14:$C$152,C367)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SUMIFS(RAB!$F$14:$F$152,RAB!$C$14:$C$152,C368)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SUMIFS(RAB!$F$14:$F$152,RAB!$C$14:$C$152,C369)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SUMIFS(RAB!$F$14:$F$152,RAB!$C$14:$C$152,C370)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SUMIFS(RAB!$F$14:$F$152,RAB!$C$14:$C$152,C371)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SUMIFS(RAB!$F$14:$F$152,RAB!$C$14:$C$152,C372)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SUMIFS(RAB!$F$14:$F$152,RAB!$C$14:$C$152,C373)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4" priority="5" operator="equal">
      <formula>0</formula>
    </cfRule>
  </conditionalFormatting>
  <conditionalFormatting sqref="C16:C165">
    <cfRule type="cellIs" dxfId="53" priority="4" stopIfTrue="1" operator="equal">
      <formula>0</formula>
    </cfRule>
  </conditionalFormatting>
  <conditionalFormatting sqref="C16:E165">
    <cfRule type="cellIs" dxfId="52" priority="1" operator="equal">
      <formula>0</formula>
    </cfRule>
  </conditionalFormatting>
  <conditionalFormatting sqref="D224:F373">
    <cfRule type="cellIs" dxfId="51" priority="8" operator="equal">
      <formula>0</formula>
    </cfRule>
  </conditionalFormatting>
  <conditionalFormatting sqref="E1:E3 G1:G115 E6:E15 H12:I12 N13 F14:F15 H14:K115 E166:K166 G166:G223 E167:F167 H167:K167">
    <cfRule type="cellIs" dxfId="50" priority="43" stopIfTrue="1" operator="equal">
      <formula>0</formula>
    </cfRule>
  </conditionalFormatting>
  <conditionalFormatting sqref="E171:E65536">
    <cfRule type="cellIs" dxfId="49" priority="9" stopIfTrue="1" operator="equal">
      <formula>0</formula>
    </cfRule>
  </conditionalFormatting>
  <conditionalFormatting sqref="G224">
    <cfRule type="cellIs" dxfId="48" priority="10" operator="equal">
      <formula>0</formula>
    </cfRule>
  </conditionalFormatting>
  <conditionalFormatting sqref="G225:G65536">
    <cfRule type="cellIs" dxfId="47" priority="14" stopIfTrue="1" operator="equal">
      <formula>0</formula>
    </cfRule>
  </conditionalFormatting>
  <conditionalFormatting sqref="R14:T166 G116:K165">
    <cfRule type="cellIs" dxfId="4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3" activePane="bottomRight" state="frozen"/>
      <selection activeCell="D209" sqref="D209"/>
      <selection pane="topRight" activeCell="D209" sqref="D209"/>
      <selection pane="bottomLeft" activeCell="D209" sqref="D209"/>
      <selection pane="bottomRight" activeCell="C927" sqref="C92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1599</v>
      </c>
      <c r="G4" s="108" t="s">
        <v>1598</v>
      </c>
      <c r="H4" s="558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5" priority="4" operator="equal">
      <formula>0</formula>
    </cfRule>
  </conditionalFormatting>
  <conditionalFormatting sqref="B217 D217:G217">
    <cfRule type="cellIs" dxfId="44" priority="11" operator="equal">
      <formula>0</formula>
    </cfRule>
  </conditionalFormatting>
  <conditionalFormatting sqref="B8:C135">
    <cfRule type="cellIs" dxfId="43" priority="66" operator="equal">
      <formula>0</formula>
    </cfRule>
  </conditionalFormatting>
  <conditionalFormatting sqref="B216:G216">
    <cfRule type="cellIs" dxfId="42" priority="16" operator="equal">
      <formula>0</formula>
    </cfRule>
  </conditionalFormatting>
  <conditionalFormatting sqref="B218:G1496">
    <cfRule type="cellIs" dxfId="41" priority="1" operator="equal">
      <formula>0</formula>
    </cfRule>
  </conditionalFormatting>
  <conditionalFormatting sqref="C143:G149">
    <cfRule type="cellIs" dxfId="40" priority="20" operator="equal">
      <formula>0</formula>
    </cfRule>
  </conditionalFormatting>
  <conditionalFormatting sqref="D9:G142">
    <cfRule type="cellIs" dxfId="39" priority="26" operator="equal">
      <formula>0</formula>
    </cfRule>
  </conditionalFormatting>
  <conditionalFormatting sqref="D1:IV5 A1:C7 D6:K6 H1458:IV1460 H1461:XFD1488 H1489:H1496 I1489:XFD1497 A1497:H1497 A1498:XFD65539">
    <cfRule type="cellIs" dxfId="38" priority="178" operator="equal">
      <formula>0</formula>
    </cfRule>
  </conditionalFormatting>
  <conditionalFormatting sqref="D7:IV8 C136:C142 B136:B149 B150:G213 B214:B215 D214:G215">
    <cfRule type="cellIs" dxfId="37" priority="77" operator="equal">
      <formula>0</formula>
    </cfRule>
  </conditionalFormatting>
  <conditionalFormatting sqref="H9:H1421">
    <cfRule type="cellIs" dxfId="36" priority="3" operator="equal">
      <formula>0</formula>
    </cfRule>
  </conditionalFormatting>
  <conditionalFormatting sqref="H1422:I1457">
    <cfRule type="cellIs" dxfId="35" priority="143" operator="equal">
      <formula>0</formula>
    </cfRule>
  </conditionalFormatting>
  <conditionalFormatting sqref="I108:I1421">
    <cfRule type="cellIs" dxfId="34" priority="2" operator="equal">
      <formula>0</formula>
    </cfRule>
  </conditionalFormatting>
  <conditionalFormatting sqref="I9:IV107">
    <cfRule type="cellIs" dxfId="33" priority="153" operator="equal">
      <formula>0</formula>
    </cfRule>
  </conditionalFormatting>
  <conditionalFormatting sqref="J108:IV1457">
    <cfRule type="cellIs" dxfId="32" priority="5" operator="equal">
      <formula>0</formula>
    </cfRule>
  </conditionalFormatting>
  <conditionalFormatting sqref="M6:IV6">
    <cfRule type="cellIs" dxfId="31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6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3" t="s">
        <v>1453</v>
      </c>
      <c r="C2" s="593"/>
      <c r="D2" s="593"/>
      <c r="E2" s="59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8" t="s">
        <v>1528</v>
      </c>
      <c r="C4" s="599"/>
      <c r="D4" s="599"/>
      <c r="E4" s="600"/>
      <c r="F4" s="373"/>
      <c r="G4" s="373"/>
      <c r="H4" s="374"/>
      <c r="I4" s="562" t="s">
        <v>1529</v>
      </c>
      <c r="J4" s="563"/>
      <c r="K4" s="563"/>
      <c r="L4" s="564"/>
    </row>
    <row r="5" spans="1:12" ht="34.5" customHeight="1">
      <c r="A5" s="193"/>
      <c r="B5" s="376" t="s">
        <v>1378</v>
      </c>
      <c r="C5" s="224" t="s">
        <v>9</v>
      </c>
      <c r="D5" s="594" t="str">
        <f>DATA!D14</f>
        <v>PB SUBARJO 11KVA</v>
      </c>
      <c r="E5" s="595"/>
      <c r="F5" s="197"/>
      <c r="G5" s="197"/>
      <c r="I5" s="377" t="s">
        <v>1378</v>
      </c>
      <c r="J5" s="224" t="s">
        <v>9</v>
      </c>
      <c r="K5" s="565" t="str">
        <f>D5</f>
        <v>PB SUBARJO 11KVA</v>
      </c>
      <c r="L5" s="566"/>
    </row>
    <row r="6" spans="1:12" ht="31.5" customHeight="1">
      <c r="A6" s="193"/>
      <c r="B6" s="376" t="s">
        <v>1525</v>
      </c>
      <c r="C6" s="224" t="s">
        <v>9</v>
      </c>
      <c r="D6" s="603">
        <f>DATA!D17*1000</f>
        <v>0</v>
      </c>
      <c r="E6" s="604"/>
      <c r="F6" s="197"/>
      <c r="G6" s="197"/>
      <c r="I6" s="377" t="s">
        <v>1526</v>
      </c>
      <c r="J6" s="224" t="s">
        <v>9</v>
      </c>
      <c r="K6" s="567">
        <f>DATA!D20*1000</f>
        <v>11000</v>
      </c>
      <c r="L6" s="568"/>
    </row>
    <row r="7" spans="1:12" ht="30.75" customHeight="1">
      <c r="A7" s="193"/>
      <c r="B7" s="376" t="s">
        <v>1440</v>
      </c>
      <c r="C7" s="224" t="s">
        <v>9</v>
      </c>
      <c r="D7" s="601">
        <f>DATA!D18</f>
        <v>1</v>
      </c>
      <c r="E7" s="602"/>
      <c r="F7" s="375" t="s">
        <v>1452</v>
      </c>
      <c r="I7" s="377" t="s">
        <v>1440</v>
      </c>
      <c r="J7" s="224" t="s">
        <v>9</v>
      </c>
      <c r="K7" s="569">
        <f>DATA!D21</f>
        <v>1</v>
      </c>
      <c r="L7" s="570"/>
    </row>
    <row r="8" spans="1:12" ht="51" customHeight="1">
      <c r="A8" s="193"/>
      <c r="B8" s="376" t="s">
        <v>1441</v>
      </c>
      <c r="C8" s="224" t="s">
        <v>9</v>
      </c>
      <c r="D8" s="601">
        <f>DATA!D19</f>
        <v>220</v>
      </c>
      <c r="E8" s="602"/>
      <c r="F8" s="375" t="s">
        <v>1452</v>
      </c>
      <c r="G8" s="370">
        <v>220</v>
      </c>
      <c r="I8" s="377" t="s">
        <v>1441</v>
      </c>
      <c r="J8" s="224" t="s">
        <v>9</v>
      </c>
      <c r="K8" s="569">
        <f>DATA!D22</f>
        <v>220</v>
      </c>
      <c r="L8" s="570"/>
    </row>
    <row r="9" spans="1:12" ht="30" customHeight="1" thickBot="1">
      <c r="A9" s="193"/>
      <c r="B9" s="382" t="s">
        <v>1537</v>
      </c>
      <c r="C9" s="372" t="s">
        <v>9</v>
      </c>
      <c r="D9" s="596">
        <f>IF(D7=1,D6/(380/3^0.5),(D6/(380*3^0.5)))</f>
        <v>0</v>
      </c>
      <c r="E9" s="597"/>
      <c r="F9" s="196"/>
      <c r="G9" s="371">
        <v>380</v>
      </c>
      <c r="I9" s="383" t="s">
        <v>1537</v>
      </c>
      <c r="J9" s="372" t="s">
        <v>9</v>
      </c>
      <c r="K9" s="573">
        <f>IF(K7=1,K6/(380/3^0.5),(K6/(380*3^0.5)))</f>
        <v>50.138312850678027</v>
      </c>
      <c r="L9" s="574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5" t="s">
        <v>1649</v>
      </c>
      <c r="E12" s="606"/>
      <c r="F12" s="197"/>
      <c r="G12" s="197"/>
      <c r="I12" s="399" t="s">
        <v>1530</v>
      </c>
      <c r="J12" s="400" t="s">
        <v>9</v>
      </c>
      <c r="K12" s="605" t="s">
        <v>1651</v>
      </c>
      <c r="L12" s="606"/>
    </row>
    <row r="13" spans="1:12" ht="31.5" customHeight="1">
      <c r="A13" s="193"/>
      <c r="B13" s="407" t="s">
        <v>1379</v>
      </c>
      <c r="C13" s="387" t="s">
        <v>9</v>
      </c>
      <c r="D13" s="571" t="s">
        <v>1650</v>
      </c>
      <c r="E13" s="572"/>
      <c r="F13" s="197"/>
      <c r="G13" s="197"/>
      <c r="I13" s="401" t="s">
        <v>1379</v>
      </c>
      <c r="J13" s="387" t="s">
        <v>9</v>
      </c>
      <c r="K13" s="571" t="s">
        <v>1650</v>
      </c>
      <c r="L13" s="572"/>
    </row>
    <row r="14" spans="1:12" ht="30.75" customHeight="1">
      <c r="A14" s="193"/>
      <c r="B14" s="407" t="s">
        <v>1531</v>
      </c>
      <c r="C14" s="387" t="s">
        <v>9</v>
      </c>
      <c r="D14" s="575">
        <v>100</v>
      </c>
      <c r="E14" s="576"/>
      <c r="F14" s="375" t="s">
        <v>1452</v>
      </c>
      <c r="G14" s="379">
        <v>50</v>
      </c>
      <c r="I14" s="401" t="s">
        <v>1531</v>
      </c>
      <c r="J14" s="387" t="s">
        <v>9</v>
      </c>
      <c r="K14" s="577">
        <v>50</v>
      </c>
      <c r="L14" s="578"/>
    </row>
    <row r="15" spans="1:12" ht="57" customHeight="1">
      <c r="A15" s="193"/>
      <c r="B15" s="407" t="s">
        <v>1440</v>
      </c>
      <c r="C15" s="387" t="s">
        <v>9</v>
      </c>
      <c r="D15" s="393">
        <v>3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79">
        <f>98+104+97</f>
        <v>299</v>
      </c>
      <c r="E16" s="580"/>
      <c r="F16" s="375"/>
      <c r="G16" s="379">
        <v>160</v>
      </c>
      <c r="I16" s="401" t="s">
        <v>1533</v>
      </c>
      <c r="J16" s="387" t="s">
        <v>9</v>
      </c>
      <c r="K16" s="583">
        <f>K9</f>
        <v>50.138312850678027</v>
      </c>
      <c r="L16" s="584"/>
    </row>
    <row r="17" spans="1:12" ht="34.5" customHeight="1">
      <c r="A17" s="193"/>
      <c r="B17" s="407" t="s">
        <v>1534</v>
      </c>
      <c r="C17" s="387" t="s">
        <v>9</v>
      </c>
      <c r="D17" s="581">
        <f>IF(D15=1,D14/(20/3^0.5),(D14/(20*3^0.5)))</f>
        <v>2.8867513459481291</v>
      </c>
      <c r="E17" s="582"/>
      <c r="F17" s="375" t="s">
        <v>1452</v>
      </c>
      <c r="G17" s="380">
        <v>200</v>
      </c>
      <c r="I17" s="401" t="s">
        <v>1534</v>
      </c>
      <c r="J17" s="387" t="s">
        <v>9</v>
      </c>
      <c r="K17" s="587">
        <f>IF(K15=1,K14/(20/3^0.5),(K14/(20*3^0.5)))</f>
        <v>4.3301270189221928</v>
      </c>
      <c r="L17" s="588"/>
    </row>
    <row r="18" spans="1:12" ht="34.5" customHeight="1">
      <c r="A18" s="193"/>
      <c r="B18" s="407" t="s">
        <v>1535</v>
      </c>
      <c r="C18" s="387" t="s">
        <v>9</v>
      </c>
      <c r="D18" s="581">
        <f>IF(D15=1,D14/(380/3^0.5),(D14/(380*3^0.5)))*1000</f>
        <v>151.93428136569102</v>
      </c>
      <c r="E18" s="582"/>
      <c r="F18" s="375" t="s">
        <v>1452</v>
      </c>
      <c r="G18" s="380">
        <v>250</v>
      </c>
      <c r="I18" s="401" t="s">
        <v>1535</v>
      </c>
      <c r="J18" s="387" t="s">
        <v>9</v>
      </c>
      <c r="K18" s="587">
        <f>IF(K15=1,K14/(380/3^0.5),(K14/(380*3^0.5)))*1000</f>
        <v>227.90142204853646</v>
      </c>
      <c r="L18" s="588"/>
    </row>
    <row r="19" spans="1:12" ht="30" customHeight="1">
      <c r="A19" s="193"/>
      <c r="B19" s="408" t="s">
        <v>1527</v>
      </c>
      <c r="C19" s="386" t="s">
        <v>9</v>
      </c>
      <c r="D19" s="581">
        <f>IF(D15=1,D14/(380/3^0.5),(D14/(380*3^0.5)))</f>
        <v>0.15193428136569101</v>
      </c>
      <c r="E19" s="582"/>
      <c r="F19" s="196"/>
      <c r="G19" s="371"/>
      <c r="I19" s="403" t="s">
        <v>1527</v>
      </c>
      <c r="J19" s="386" t="s">
        <v>9</v>
      </c>
      <c r="K19" s="587">
        <f>IF(K15=1,K14/(380/3^0.5),(K14/(380*3^0.5)))</f>
        <v>0.22790142204853647</v>
      </c>
      <c r="L19" s="588"/>
    </row>
    <row r="20" spans="1:12" ht="30" customHeight="1" thickBot="1">
      <c r="A20" s="193"/>
      <c r="B20" s="409" t="s">
        <v>1536</v>
      </c>
      <c r="C20" s="405" t="s">
        <v>9</v>
      </c>
      <c r="D20" s="607">
        <f>D16/D18</f>
        <v>1.9679561275597579</v>
      </c>
      <c r="E20" s="608"/>
      <c r="F20" s="196"/>
      <c r="G20" s="371"/>
      <c r="I20" s="404" t="s">
        <v>1527</v>
      </c>
      <c r="J20" s="405" t="s">
        <v>9</v>
      </c>
      <c r="K20" s="585">
        <f>K16/K18</f>
        <v>0.22000000000000003</v>
      </c>
      <c r="L20" s="586"/>
    </row>
    <row r="21" spans="1:12" ht="9.75" customHeight="1">
      <c r="A21" s="193"/>
      <c r="B21" s="394" t="s">
        <v>1536</v>
      </c>
      <c r="C21" s="395" t="s">
        <v>9</v>
      </c>
      <c r="D21" s="592">
        <v>1</v>
      </c>
      <c r="E21" s="592"/>
      <c r="F21" s="396"/>
      <c r="G21" s="397"/>
      <c r="H21" s="398"/>
      <c r="I21" s="394" t="s">
        <v>1527</v>
      </c>
      <c r="J21" s="395" t="s">
        <v>9</v>
      </c>
      <c r="K21" s="592">
        <v>1</v>
      </c>
      <c r="L21" s="592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30" priority="5" stopIfTrue="1" operator="greaterThan">
      <formula>0.89</formula>
    </cfRule>
    <cfRule type="cellIs" dxfId="2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9"/>
      <c r="C1" s="609"/>
      <c r="D1" s="609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RAB!K158</f>
        <v>108056327.6301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2161126.5526020001</v>
      </c>
    </row>
    <row r="12" spans="2:11" ht="9" customHeight="1">
      <c r="B12" s="610"/>
      <c r="C12" s="610"/>
      <c r="D12" s="610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SUBARJO 11KVA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1629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Q11" sqref="Q11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7" t="s">
        <v>1356</v>
      </c>
      <c r="C3" s="617"/>
      <c r="D3" s="617"/>
      <c r="E3" s="617"/>
      <c r="F3" s="252" t="str">
        <f>DATA!D14</f>
        <v>PB SUBARJO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1" t="s">
        <v>1348</v>
      </c>
      <c r="C5" s="611" t="s">
        <v>1357</v>
      </c>
      <c r="D5" s="616" t="s">
        <v>1358</v>
      </c>
      <c r="E5" s="616" t="s">
        <v>1359</v>
      </c>
      <c r="F5" s="611" t="s">
        <v>1360</v>
      </c>
      <c r="G5" s="611"/>
      <c r="H5" s="611"/>
      <c r="I5" s="611"/>
      <c r="J5" s="611"/>
      <c r="K5" s="611" t="s">
        <v>1361</v>
      </c>
      <c r="L5" s="611"/>
      <c r="M5" s="254"/>
      <c r="N5" s="614" t="s">
        <v>1362</v>
      </c>
      <c r="O5" s="616" t="s">
        <v>1363</v>
      </c>
      <c r="P5" s="616" t="s">
        <v>1364</v>
      </c>
      <c r="Q5" s="616" t="s">
        <v>1365</v>
      </c>
      <c r="R5" s="255"/>
      <c r="S5" s="256"/>
      <c r="T5" s="612" t="s">
        <v>1366</v>
      </c>
      <c r="U5" s="257"/>
    </row>
    <row r="6" spans="1:21" ht="20.100000000000001" customHeight="1">
      <c r="B6" s="611"/>
      <c r="C6" s="611"/>
      <c r="D6" s="611"/>
      <c r="E6" s="61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5"/>
      <c r="O6" s="611"/>
      <c r="P6" s="611"/>
      <c r="Q6" s="611"/>
      <c r="R6" s="255"/>
      <c r="S6" s="256"/>
      <c r="T6" s="611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108.0563276301</v>
      </c>
      <c r="G7" s="265">
        <f ca="1">DATA!$D$11/1000000</f>
        <v>2.161126552602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112.1684456152795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-98.966773615279493</v>
      </c>
      <c r="O7" s="261">
        <v>1</v>
      </c>
      <c r="P7" s="263">
        <f ca="1">O7*N7</f>
        <v>-98.966773615279493</v>
      </c>
      <c r="Q7" s="263">
        <f ca="1">P7</f>
        <v>-98.966773615279493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2.161126552602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8.0141008503344899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-0.38608485033449025</v>
      </c>
      <c r="O8" s="262">
        <f>1/(1+'[92]Asumsi I'!$C$3)^(KKF!A8)</f>
        <v>0.89285714285714279</v>
      </c>
      <c r="P8" s="263">
        <f ca="1">O8*N8</f>
        <v>-0.34471861637008056</v>
      </c>
      <c r="Q8" s="263">
        <f ca="1">Q7+P8</f>
        <v>-99.311492231649567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2.161126552602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8.0141008503344899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-0.38608485033449025</v>
      </c>
      <c r="O9" s="269">
        <f>1/(1+'[92]Asumsi I'!$C$3)^(KKF!A9)</f>
        <v>0.79719387755102034</v>
      </c>
      <c r="P9" s="263">
        <f t="shared" ref="P9:P32" ca="1" si="7">O9*N9</f>
        <v>-0.30778447890185762</v>
      </c>
      <c r="Q9" s="263">
        <f ca="1">Q8+P9</f>
        <v>-99.619276710551418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2.161126552602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8.0141008503344899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-0.38608485033449025</v>
      </c>
      <c r="O10" s="262">
        <f>1/(1+'[92]Asumsi I'!$C$3)^(KKF!A10)</f>
        <v>0.71178024781341087</v>
      </c>
      <c r="P10" s="263">
        <f t="shared" ca="1" si="7"/>
        <v>-0.27480757044808712</v>
      </c>
      <c r="Q10" s="263">
        <f t="shared" ref="Q10:Q30" ca="1" si="9">Q9+P10</f>
        <v>-99.894084280999508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2.161126552602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8.0141008503344899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-0.38608485033449025</v>
      </c>
      <c r="O11" s="262">
        <f>1/(1+'[92]Asumsi I'!$C$3)^(KKF!A11)</f>
        <v>0.63551807840483121</v>
      </c>
      <c r="P11" s="263">
        <f t="shared" ca="1" si="7"/>
        <v>-0.2453639021857921</v>
      </c>
      <c r="Q11" s="263">
        <f t="shared" ca="1" si="9"/>
        <v>-100.13944818318529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2.161126552602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8.0141008503344899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-0.38608485033449025</v>
      </c>
      <c r="O12" s="262">
        <f>1/(1+'[92]Asumsi I'!$C$3)^(KKF!A12)</f>
        <v>0.56742685571859919</v>
      </c>
      <c r="P12" s="263">
        <f t="shared" ca="1" si="7"/>
        <v>-0.21907491266588575</v>
      </c>
      <c r="Q12" s="263">
        <f t="shared" ca="1" si="9"/>
        <v>-100.35852309585118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2.161126552602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8.0141008503344899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-0.38608485033449025</v>
      </c>
      <c r="O13" s="262">
        <f>1/(1+'[92]Asumsi I'!$C$3)^(KKF!A13)</f>
        <v>0.50663112117732068</v>
      </c>
      <c r="P13" s="263">
        <f t="shared" ca="1" si="7"/>
        <v>-0.19560260059454085</v>
      </c>
      <c r="Q13" s="263">
        <f t="shared" ca="1" si="9"/>
        <v>-100.55412569644572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2.161126552602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8.0141008503344899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-0.38608485033449025</v>
      </c>
      <c r="O14" s="262">
        <f>1/(1+'[92]Asumsi I'!$C$3)^(KKF!A14)</f>
        <v>0.45234921533689343</v>
      </c>
      <c r="P14" s="263">
        <f t="shared" ca="1" si="7"/>
        <v>-0.17464517910226859</v>
      </c>
      <c r="Q14" s="263">
        <f t="shared" ca="1" si="9"/>
        <v>-100.72877087554799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2.161126552602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8.0141008503344899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-0.38608485033449025</v>
      </c>
      <c r="O15" s="262">
        <f>1/(1+'[92]Asumsi I'!$C$3)^(KKF!A15)</f>
        <v>0.4038832279793691</v>
      </c>
      <c r="P15" s="263">
        <f t="shared" ca="1" si="7"/>
        <v>-0.15593319562702551</v>
      </c>
      <c r="Q15" s="263">
        <f t="shared" ca="1" si="9"/>
        <v>-100.88470407117502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2.161126552602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8.0141008503344899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-0.38608485033449025</v>
      </c>
      <c r="O16" s="262">
        <f>1/(1+'[92]Asumsi I'!$C$3)^(KKF!A16)</f>
        <v>0.36061002498157957</v>
      </c>
      <c r="P16" s="263">
        <f t="shared" ca="1" si="7"/>
        <v>-0.13922606752412994</v>
      </c>
      <c r="Q16" s="263">
        <f t="shared" ca="1" si="9"/>
        <v>-101.02393013869916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2.161126552602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8.0141008503344899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-0.38608485033449025</v>
      </c>
      <c r="O17" s="262">
        <f>1/(1+'[92]Asumsi I'!$C$3)^(KKF!A17)</f>
        <v>0.32197323659069599</v>
      </c>
      <c r="P17" s="263">
        <f t="shared" ca="1" si="7"/>
        <v>-0.12430898886083028</v>
      </c>
      <c r="Q17" s="263">
        <f t="shared" ca="1" si="9"/>
        <v>-101.14823912755999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2.161126552602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8.0141008503344899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-0.38608485033449025</v>
      </c>
      <c r="O18" s="262">
        <f>1/(1+'[92]Asumsi I'!$C$3)^(KKF!A18)</f>
        <v>0.28747610409883567</v>
      </c>
      <c r="P18" s="263">
        <f t="shared" ca="1" si="7"/>
        <v>-0.11099016862574131</v>
      </c>
      <c r="Q18" s="263">
        <f t="shared" ca="1" si="9"/>
        <v>-101.25922929618574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2.161126552602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8.0141008503344899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-0.38608485033449025</v>
      </c>
      <c r="O19" s="262">
        <f>1/(1+'[92]Asumsi I'!$C$3)^(KKF!A19)</f>
        <v>0.25667509294538904</v>
      </c>
      <c r="P19" s="263">
        <f t="shared" ca="1" si="7"/>
        <v>-9.9098364844411896E-2</v>
      </c>
      <c r="Q19" s="263">
        <f t="shared" ca="1" si="9"/>
        <v>-101.35832766103015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2.161126552602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8.0141008503344899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-0.38608485033449025</v>
      </c>
      <c r="O20" s="262">
        <f>1/(1+'[92]Asumsi I'!$C$3)^(KKF!A20)</f>
        <v>0.22917419012981158</v>
      </c>
      <c r="P20" s="263">
        <f t="shared" ca="1" si="7"/>
        <v>-8.8480682896796309E-2</v>
      </c>
      <c r="Q20" s="263">
        <f t="shared" ca="1" si="9"/>
        <v>-101.44680834392695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2.161126552602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8.0141008503344899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-0.38608485033449025</v>
      </c>
      <c r="O21" s="262">
        <f>1/(1+'[92]Asumsi I'!$C$3)^(KKF!A21)</f>
        <v>0.20461981261590317</v>
      </c>
      <c r="P21" s="263">
        <f t="shared" ca="1" si="7"/>
        <v>-7.9000609729282412E-2</v>
      </c>
      <c r="Q21" s="263">
        <f t="shared" ca="1" si="9"/>
        <v>-101.52580895365622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2.161126552602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8.0141008503344899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-0.38608485033449025</v>
      </c>
      <c r="O22" s="262">
        <f>1/(1+'[92]Asumsi I'!$C$3)^(KKF!A22)</f>
        <v>0.18269626126419927</v>
      </c>
      <c r="P22" s="263">
        <f t="shared" ca="1" si="7"/>
        <v>-7.053625868685931E-2</v>
      </c>
      <c r="Q22" s="263">
        <f t="shared" ca="1" si="9"/>
        <v>-101.59634521234308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2.161126552602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8.0141008503344899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-0.38608485033449025</v>
      </c>
      <c r="O23" s="262">
        <f>1/(1+'[92]Asumsi I'!$C$3)^(KKF!A23)</f>
        <v>0.16312166184303503</v>
      </c>
      <c r="P23" s="263">
        <f t="shared" ca="1" si="7"/>
        <v>-6.2978802398981515E-2</v>
      </c>
      <c r="Q23" s="263">
        <f t="shared" ca="1" si="9"/>
        <v>-101.65932401474207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2.161126552602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8.0141008503344899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-0.38608485033449025</v>
      </c>
      <c r="O24" s="262">
        <f>1/(1+'[92]Asumsi I'!$C$3)^(KKF!A24)</f>
        <v>0.14564434093128129</v>
      </c>
      <c r="P24" s="263">
        <f t="shared" ca="1" si="7"/>
        <v>-5.6231073570519208E-2</v>
      </c>
      <c r="Q24" s="263">
        <f t="shared" ca="1" si="9"/>
        <v>-101.71555508831258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2.161126552602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8.0141008503344899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-0.38608485033449025</v>
      </c>
      <c r="O25" s="262">
        <f>1/(1+'[92]Asumsi I'!$C$3)^(KKF!A25)</f>
        <v>0.13003959011721541</v>
      </c>
      <c r="P25" s="263">
        <f t="shared" ca="1" si="7"/>
        <v>-5.0206315687963569E-2</v>
      </c>
      <c r="Q25" s="263">
        <f t="shared" ca="1" si="9"/>
        <v>-101.76576140400054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2.161126552602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8.0141008503344899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-0.38608485033449025</v>
      </c>
      <c r="O26" s="262">
        <f>1/(1+'[92]Asumsi I'!$C$3)^(KKF!A26)</f>
        <v>0.1161067768903709</v>
      </c>
      <c r="P26" s="263">
        <f t="shared" ca="1" si="7"/>
        <v>-4.4827067578538896E-2</v>
      </c>
      <c r="Q26" s="263">
        <f t="shared" ca="1" si="9"/>
        <v>-101.81058847157908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2.161126552602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8.0141008503344899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-0.38608485033449025</v>
      </c>
      <c r="O27" s="262">
        <f>1/(1+'[92]Asumsi I'!$C$3)^(KKF!A27)</f>
        <v>0.1036667650806883</v>
      </c>
      <c r="P27" s="263">
        <f t="shared" ca="1" si="7"/>
        <v>-4.0024167480838299E-2</v>
      </c>
      <c r="Q27" s="263">
        <f t="shared" ca="1" si="9"/>
        <v>-101.85061263905992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2.161126552602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8.0141008503344899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-0.38608485033449025</v>
      </c>
      <c r="O28" s="262">
        <f>1/(1+'[92]Asumsi I'!$C$3)^(KKF!A28)</f>
        <v>9.2559611679185971E-2</v>
      </c>
      <c r="P28" s="263">
        <f t="shared" ca="1" si="7"/>
        <v>-3.5735863822177048E-2</v>
      </c>
      <c r="Q28" s="263">
        <f t="shared" ca="1" si="9"/>
        <v>-101.8863485028821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2.161126552602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8.0141008503344899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-0.38608485033449025</v>
      </c>
      <c r="O29" s="262">
        <f>1/(1+'[92]Asumsi I'!$C$3)^(KKF!A29)</f>
        <v>8.2642510427844609E-2</v>
      </c>
      <c r="P29" s="263">
        <f t="shared" ca="1" si="7"/>
        <v>-3.1907021269800932E-2</v>
      </c>
      <c r="Q29" s="263">
        <f t="shared" ca="1" si="9"/>
        <v>-101.9182555241519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2.161126552602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8.0141008503344899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-0.38608485033449025</v>
      </c>
      <c r="O30" s="262">
        <f>1/(1+'[92]Asumsi I'!$C$3)^(KKF!A30)</f>
        <v>7.3787955739146982E-2</v>
      </c>
      <c r="P30" s="263">
        <f t="shared" ca="1" si="7"/>
        <v>-2.8488411848036552E-2</v>
      </c>
      <c r="Q30" s="263">
        <f t="shared" ca="1" si="9"/>
        <v>-101.94674393599993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2.161126552602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8.0141008503344899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-0.38608485033449025</v>
      </c>
      <c r="O31" s="262">
        <f>1/(1+'[92]Asumsi I'!$C$3)^(KKF!A31)</f>
        <v>6.5882103338524081E-2</v>
      </c>
      <c r="P31" s="263">
        <f t="shared" ca="1" si="7"/>
        <v>-2.5436082007175492E-2</v>
      </c>
      <c r="Q31" s="263">
        <f ca="1">Q30+P31</f>
        <v>-101.97218001800711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2.161126552602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8.0141008503344899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-0.38608485033449025</v>
      </c>
      <c r="O32" s="262">
        <f>1/(1+'[92]Asumsi I'!$C$3)^(KKF!A32)</f>
        <v>5.8823306552253637E-2</v>
      </c>
      <c r="P32" s="263">
        <f t="shared" ca="1" si="7"/>
        <v>-2.2710787506406684E-2</v>
      </c>
      <c r="Q32" s="263">
        <f ca="1">Q31+P32</f>
        <v>-101.99489080551352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3" t="s">
        <v>1373</v>
      </c>
      <c r="G33" s="613"/>
      <c r="H33" s="613"/>
      <c r="I33" s="271"/>
      <c r="J33" s="272">
        <f ca="1">SUM(J7:J32)</f>
        <v>312.52096687364195</v>
      </c>
      <c r="K33" s="613" t="s">
        <v>1374</v>
      </c>
      <c r="L33" s="613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-290.52796430137244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0.65244285540189517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-91.066866790637064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8" priority="1" stopIfTrue="1" operator="greaterThanOrEqual">
      <formula>$F$7</formula>
    </cfRule>
    <cfRule type="cellIs" dxfId="27" priority="2" stopIfTrue="1" operator="lessThan">
      <formula>$F$7</formula>
    </cfRule>
  </conditionalFormatting>
  <conditionalFormatting sqref="Q7:Q32">
    <cfRule type="cellIs" dxfId="26" priority="3" operator="lessThan">
      <formula>0</formula>
    </cfRule>
    <cfRule type="cellIs" dxfId="25" priority="4" operator="lessThan">
      <formula>0</formula>
    </cfRule>
    <cfRule type="cellIs" dxfId="24" priority="5" operator="lessThan">
      <formula>-6395.81</formula>
    </cfRule>
    <cfRule type="cellIs" dxfId="2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73"/>
  <sheetViews>
    <sheetView showGridLines="0" zoomScale="70" zoomScaleNormal="70" zoomScaleSheetLayoutView="70" workbookViewId="0">
      <pane ySplit="13" topLeftCell="A136" activePane="bottomLeft" state="frozen"/>
      <selection activeCell="H1093" sqref="H1093"/>
      <selection pane="bottomLeft" activeCell="H145" sqref="H145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7" t="s">
        <v>1036</v>
      </c>
      <c r="P3" s="637"/>
      <c r="Q3" s="293"/>
      <c r="T3" s="291"/>
      <c r="U3" s="292" t="s">
        <v>1041</v>
      </c>
      <c r="V3" s="291"/>
    </row>
    <row r="4" spans="1:22" ht="15.75" customHeight="1">
      <c r="B4" s="638" t="s">
        <v>1023</v>
      </c>
      <c r="C4" s="638"/>
      <c r="D4" s="638"/>
      <c r="E4" s="638"/>
      <c r="F4" s="638"/>
      <c r="G4" s="638"/>
      <c r="H4" s="638"/>
      <c r="I4" s="638"/>
      <c r="J4" s="638"/>
      <c r="K4" s="638"/>
      <c r="O4" s="637"/>
      <c r="P4" s="63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0" t="s">
        <v>1646</v>
      </c>
      <c r="H6" s="621"/>
      <c r="I6" s="621"/>
      <c r="J6" s="621"/>
      <c r="K6" s="621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1647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0" t="s">
        <v>0</v>
      </c>
      <c r="C11" s="642" t="s">
        <v>1</v>
      </c>
      <c r="D11" s="631" t="s">
        <v>42</v>
      </c>
      <c r="E11" s="631" t="s">
        <v>43</v>
      </c>
      <c r="F11" s="631" t="s">
        <v>2</v>
      </c>
      <c r="G11" s="645" t="s">
        <v>41</v>
      </c>
      <c r="H11" s="631" t="s">
        <v>3</v>
      </c>
      <c r="I11" s="631"/>
      <c r="J11" s="631"/>
      <c r="K11" s="632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1"/>
      <c r="C12" s="643"/>
      <c r="D12" s="635"/>
      <c r="E12" s="635"/>
      <c r="F12" s="635"/>
      <c r="G12" s="646"/>
      <c r="H12" s="633" t="s">
        <v>46</v>
      </c>
      <c r="I12" s="633" t="s">
        <v>5</v>
      </c>
      <c r="J12" s="635" t="s">
        <v>47</v>
      </c>
      <c r="K12" s="63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1"/>
      <c r="C13" s="644"/>
      <c r="D13" s="635"/>
      <c r="E13" s="635"/>
      <c r="F13" s="635"/>
      <c r="G13" s="647"/>
      <c r="H13" s="634"/>
      <c r="I13" s="634"/>
      <c r="J13" s="635"/>
      <c r="K13" s="63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103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6</v>
      </c>
      <c r="G17" s="307">
        <f ca="1">IF(ISERROR(OFFSET('HARGA SATUAN'!$I$6,MATCH(RAB!C17,'HARGA SATUAN'!$C$7:$C$1495,0),0)),0,OFFSET('HARGA SATUAN'!$I$6,MATCH(RAB!C17,'HARGA SATUAN'!$C$7:$C$1495,0),0))</f>
        <v>5800000</v>
      </c>
      <c r="H17" s="308">
        <f t="shared" ref="H17:H18" ca="1" si="4">IF(OR(D17="MDU",D17="MDU-KD"),(IF($O$3="RAB NON MDU","PLN KD",G17*F17)),0)</f>
        <v>0</v>
      </c>
      <c r="I17" s="308">
        <f t="shared" ref="I17:I18" ca="1" si="5">IF(D17="HDW",G17*F17,0)</f>
        <v>34800000</v>
      </c>
      <c r="J17" s="308">
        <f t="shared" ref="J17:J18" ca="1" si="6">IF(D17="JASA",G17*F17,0)</f>
        <v>0</v>
      </c>
      <c r="K17" s="309">
        <f t="shared" ref="K17:K18" ca="1" si="7">SUM(H17:J17)</f>
        <v>34800000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101</v>
      </c>
      <c r="D18" s="305" t="str">
        <f ca="1">IF(ISERROR(OFFSET('HARGA SATUAN'!$D$6,MATCH(RAB!C18,'HARGA SATUAN'!$C$7:$C$1495,0),0)),"",OFFSET('HARGA SATUAN'!$D$6,MATCH(RAB!C18,'HARGA SATUAN'!$C$7:$C$1495,0),0))</f>
        <v>HDW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3382600</v>
      </c>
      <c r="H18" s="308">
        <f t="shared" ca="1" si="4"/>
        <v>0</v>
      </c>
      <c r="I18" s="308">
        <f t="shared" ca="1" si="5"/>
        <v>3382600</v>
      </c>
      <c r="J18" s="308">
        <f t="shared" ca="1" si="6"/>
        <v>0</v>
      </c>
      <c r="K18" s="309">
        <f t="shared" ca="1" si="7"/>
        <v>3382600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>
        <v>3</v>
      </c>
      <c r="C19" s="109" t="s">
        <v>6</v>
      </c>
      <c r="D19" s="305" t="str">
        <f ca="1">IF(ISERROR(OFFSET('HARGA SATUAN'!$D$6,MATCH(RAB!C19,'HARGA SATUAN'!$C$7:$C$1495,0),0)),"",OFFSET('HARGA SATUAN'!$D$6,MATCH(RAB!C19,'HARGA SATUAN'!$C$7:$C$1495,0),0))</f>
        <v>JASA</v>
      </c>
      <c r="E19" s="306" t="str">
        <f ca="1">IF(B19="+","Unit",IF(ISERROR(OFFSET('HARGA SATUAN'!$E$6,MATCH(RAB!C19,'HARGA SATUAN'!$C$7:$C$1495,0),0)),"",OFFSET('HARGA SATUAN'!$E$6,MATCH(RAB!C19,'HARGA SATUAN'!$C$7:$C$1495,0),0)))</f>
        <v>Btg</v>
      </c>
      <c r="F19" s="420">
        <v>7</v>
      </c>
      <c r="G19" s="307">
        <f ca="1">IF(ISERROR(OFFSET('HARGA SATUAN'!$I$6,MATCH(RAB!C19,'HARGA SATUAN'!$C$7:$C$1495,0),0)),0,OFFSET('HARGA SATUAN'!$I$6,MATCH(RAB!C19,'HARGA SATUAN'!$C$7:$C$1495,0),0))</f>
        <v>10066.666666666668</v>
      </c>
      <c r="H19" s="308">
        <f t="shared" ca="1" si="0"/>
        <v>0</v>
      </c>
      <c r="I19" s="308">
        <f t="shared" ca="1" si="1"/>
        <v>0</v>
      </c>
      <c r="J19" s="308">
        <f t="shared" ca="1" si="2"/>
        <v>70466.666666666672</v>
      </c>
      <c r="K19" s="309">
        <f t="shared" ca="1" si="3"/>
        <v>70466.666666666672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1601</v>
      </c>
      <c r="C20" s="422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 t="s">
        <v>1035</v>
      </c>
      <c r="C21" s="451" t="s">
        <v>1615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56">
        <v>1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316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0">
        <v>1</v>
      </c>
      <c r="C22" s="451" t="s">
        <v>532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56">
        <f>F21*1</f>
        <v>1</v>
      </c>
      <c r="G22" s="307">
        <f ca="1">IF(ISERROR(OFFSET('HARGA SATUAN'!$I$6,MATCH(RAB!C22,'HARGA SATUAN'!$C$7:$C$1495,0),0)),0,OFFSET('HARGA SATUAN'!$I$6,MATCH(RAB!C22,'HARGA SATUAN'!$C$7:$C$1495,0),0))</f>
        <v>27845400</v>
      </c>
      <c r="H22" s="308">
        <f t="shared" ref="H22:H85" ca="1" si="8">IF(OR(D22="MDU",D22="MDU-KD"),(IF($O$3="RAB NON MDU","PLN KD",G22*F22)),0)</f>
        <v>27845400</v>
      </c>
      <c r="I22" s="308">
        <f t="shared" ref="I22:I85" ca="1" si="9">IF(D22="HDW",G22*F22,0)</f>
        <v>0</v>
      </c>
      <c r="J22" s="308">
        <f t="shared" ref="J22:J85" ca="1" si="10">IF(D22="JASA",G22*F22,0)</f>
        <v>0</v>
      </c>
      <c r="K22" s="309">
        <f t="shared" ref="K22:K85" ca="1" si="11">SUM(H22:J22)</f>
        <v>27845400</v>
      </c>
      <c r="L22" s="316"/>
      <c r="M22" s="289" t="str">
        <f ca="1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>
        <v>2</v>
      </c>
      <c r="C23" s="418" t="s">
        <v>1616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6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8"/>
        <v>0</v>
      </c>
      <c r="I23" s="308">
        <f t="shared" ca="1" si="9"/>
        <v>0</v>
      </c>
      <c r="J23" s="308">
        <f t="shared" ca="1" si="10"/>
        <v>0</v>
      </c>
      <c r="K23" s="309">
        <f t="shared" ca="1" si="11"/>
        <v>0</v>
      </c>
      <c r="L23" s="316"/>
      <c r="M23" s="289" t="str">
        <f t="shared" ref="M23:M44" ca="1" si="12">IF(AND(F23&gt;0,F22=0),"",IF(AND(ISBLANK(F23)=FALSE,K23=0),"WARNING",""))</f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21"/>
      <c r="C24" s="418" t="s">
        <v>65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F21*2</f>
        <v>2</v>
      </c>
      <c r="G24" s="307">
        <f ca="1">IF(ISERROR(OFFSET('HARGA SATUAN'!$I$6,MATCH(RAB!C24,'HARGA SATUAN'!$C$7:$C$1495,0),0)),0,OFFSET('HARGA SATUAN'!$I$6,MATCH(RAB!C24,'HARGA SATUAN'!$C$7:$C$1495,0),0))</f>
        <v>14200</v>
      </c>
      <c r="H24" s="308">
        <f t="shared" ca="1" si="8"/>
        <v>28400</v>
      </c>
      <c r="I24" s="308">
        <f t="shared" ca="1" si="9"/>
        <v>0</v>
      </c>
      <c r="J24" s="308">
        <f t="shared" ca="1" si="10"/>
        <v>0</v>
      </c>
      <c r="K24" s="309">
        <f t="shared" ca="1" si="11"/>
        <v>28400</v>
      </c>
      <c r="L24" s="316"/>
      <c r="M24" s="289" t="str">
        <f t="shared" si="12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/>
      <c r="C25" s="319" t="s">
        <v>1401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56">
        <f>F21*2</f>
        <v>2</v>
      </c>
      <c r="G25" s="307">
        <f ca="1">IF(ISERROR(OFFSET('HARGA SATUAN'!$I$6,MATCH(RAB!C25,'HARGA SATUAN'!$C$7:$C$1495,0),0)),0,OFFSET('HARGA SATUAN'!$I$6,MATCH(RAB!C25,'HARGA SATUAN'!$C$7:$C$1495,0),0))</f>
        <v>53300</v>
      </c>
      <c r="H25" s="308">
        <f t="shared" ca="1" si="8"/>
        <v>106600</v>
      </c>
      <c r="I25" s="308">
        <f t="shared" ca="1" si="9"/>
        <v>0</v>
      </c>
      <c r="J25" s="308">
        <f t="shared" ca="1" si="10"/>
        <v>0</v>
      </c>
      <c r="K25" s="309">
        <f t="shared" ca="1" si="11"/>
        <v>106600</v>
      </c>
      <c r="L25" s="316"/>
      <c r="M25" s="289" t="str">
        <f t="shared" ca="1" si="12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3</v>
      </c>
      <c r="C26" s="319" t="s">
        <v>207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F21*1</f>
        <v>1</v>
      </c>
      <c r="G26" s="307">
        <f ca="1">IF(ISERROR(OFFSET('HARGA SATUAN'!$I$6,MATCH(RAB!C26,'HARGA SATUAN'!$C$7:$C$1495,0),0)),0,OFFSET('HARGA SATUAN'!$I$6,MATCH(RAB!C26,'HARGA SATUAN'!$C$7:$C$1495,0),0))</f>
        <v>87000</v>
      </c>
      <c r="H26" s="308">
        <f t="shared" ca="1" si="8"/>
        <v>0</v>
      </c>
      <c r="I26" s="308">
        <f t="shared" ca="1" si="9"/>
        <v>87000</v>
      </c>
      <c r="J26" s="308">
        <f t="shared" ca="1" si="10"/>
        <v>0</v>
      </c>
      <c r="K26" s="309">
        <f t="shared" ca="1" si="11"/>
        <v>87000</v>
      </c>
      <c r="L26" s="316"/>
      <c r="M26" s="289" t="str">
        <f t="shared" ca="1" si="12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4</v>
      </c>
      <c r="C27" s="319" t="s">
        <v>176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F21*2</f>
        <v>2</v>
      </c>
      <c r="G27" s="307">
        <f ca="1">IF(ISERROR(OFFSET('HARGA SATUAN'!$I$6,MATCH(RAB!C27,'HARGA SATUAN'!$C$7:$C$1495,0),0)),0,OFFSET('HARGA SATUAN'!$I$6,MATCH(RAB!C27,'HARGA SATUAN'!$C$7:$C$1495,0),0))</f>
        <v>404600</v>
      </c>
      <c r="H27" s="308">
        <f t="shared" ca="1" si="8"/>
        <v>0</v>
      </c>
      <c r="I27" s="308">
        <f t="shared" ca="1" si="9"/>
        <v>809200</v>
      </c>
      <c r="J27" s="308">
        <f t="shared" ca="1" si="10"/>
        <v>0</v>
      </c>
      <c r="K27" s="309">
        <f t="shared" ca="1" si="11"/>
        <v>809200</v>
      </c>
      <c r="L27" s="316"/>
      <c r="M27" s="289" t="str">
        <f t="shared" ca="1" si="12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5</v>
      </c>
      <c r="C28" s="319" t="s">
        <v>184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F21*3</f>
        <v>3</v>
      </c>
      <c r="G28" s="307">
        <f ca="1">IF(ISERROR(OFFSET('HARGA SATUAN'!$I$6,MATCH(RAB!C28,'HARGA SATUAN'!$C$7:$C$1495,0),0)),0,OFFSET('HARGA SATUAN'!$I$6,MATCH(RAB!C28,'HARGA SATUAN'!$C$7:$C$1495,0),0))</f>
        <v>15900</v>
      </c>
      <c r="H28" s="308">
        <f t="shared" ca="1" si="8"/>
        <v>0</v>
      </c>
      <c r="I28" s="308">
        <f t="shared" ca="1" si="9"/>
        <v>47700</v>
      </c>
      <c r="J28" s="308">
        <f t="shared" ca="1" si="10"/>
        <v>0</v>
      </c>
      <c r="K28" s="309">
        <f t="shared" ca="1" si="11"/>
        <v>47700</v>
      </c>
      <c r="L28" s="316"/>
      <c r="M28" s="289" t="str">
        <f t="shared" ca="1" si="12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6</v>
      </c>
      <c r="C29" s="319" t="s">
        <v>187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F21*2</f>
        <v>2</v>
      </c>
      <c r="G29" s="307">
        <f ca="1">IF(ISERROR(OFFSET('HARGA SATUAN'!$I$6,MATCH(RAB!C29,'HARGA SATUAN'!$C$7:$C$1495,0),0)),0,OFFSET('HARGA SATUAN'!$I$6,MATCH(RAB!C29,'HARGA SATUAN'!$C$7:$C$1495,0),0))</f>
        <v>17100</v>
      </c>
      <c r="H29" s="308">
        <f t="shared" ca="1" si="8"/>
        <v>0</v>
      </c>
      <c r="I29" s="308">
        <f t="shared" ca="1" si="9"/>
        <v>34200</v>
      </c>
      <c r="J29" s="308">
        <f t="shared" ca="1" si="10"/>
        <v>0</v>
      </c>
      <c r="K29" s="309">
        <f t="shared" ca="1" si="11"/>
        <v>34200</v>
      </c>
      <c r="L29" s="316"/>
      <c r="M29" s="289" t="str">
        <f t="shared" ca="1" si="12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7</v>
      </c>
      <c r="C30" s="319" t="s">
        <v>1618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6">
        <f>F21*4</f>
        <v>4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ca="1" si="8"/>
        <v>0</v>
      </c>
      <c r="I30" s="308">
        <f t="shared" ca="1" si="9"/>
        <v>196000</v>
      </c>
      <c r="J30" s="308">
        <f t="shared" ca="1" si="10"/>
        <v>0</v>
      </c>
      <c r="K30" s="309">
        <f t="shared" ca="1" si="11"/>
        <v>196000</v>
      </c>
      <c r="L30" s="316"/>
      <c r="M30" s="289" t="str">
        <f t="shared" ca="1" si="12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8</v>
      </c>
      <c r="C31" s="319" t="s">
        <v>149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Set</v>
      </c>
      <c r="F31" s="420">
        <f>F21*1</f>
        <v>1</v>
      </c>
      <c r="G31" s="307">
        <f ca="1">IF(ISERROR(OFFSET('HARGA SATUAN'!$I$6,MATCH(RAB!C31,'HARGA SATUAN'!$C$7:$C$1495,0),0)),0,OFFSET('HARGA SATUAN'!$I$6,MATCH(RAB!C31,'HARGA SATUAN'!$C$7:$C$1495,0),0))</f>
        <v>67800</v>
      </c>
      <c r="H31" s="308">
        <f t="shared" ca="1" si="8"/>
        <v>0</v>
      </c>
      <c r="I31" s="308">
        <f t="shared" ca="1" si="9"/>
        <v>67800</v>
      </c>
      <c r="J31" s="308">
        <f t="shared" ca="1" si="10"/>
        <v>0</v>
      </c>
      <c r="K31" s="309">
        <f t="shared" ca="1" si="11"/>
        <v>67800</v>
      </c>
      <c r="L31" s="316"/>
      <c r="M31" s="289" t="str">
        <f t="shared" ca="1" si="12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9</v>
      </c>
      <c r="C32" s="319" t="s">
        <v>32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Mtr</v>
      </c>
      <c r="F32" s="420">
        <f>F21*2</f>
        <v>2</v>
      </c>
      <c r="G32" s="307">
        <f ca="1">IF(ISERROR(OFFSET('HARGA SATUAN'!$I$6,MATCH(RAB!C32,'HARGA SATUAN'!$C$7:$C$1495,0),0)),0,OFFSET('HARGA SATUAN'!$I$6,MATCH(RAB!C32,'HARGA SATUAN'!$C$7:$C$1495,0),0))</f>
        <v>30000</v>
      </c>
      <c r="H32" s="308">
        <f t="shared" ca="1" si="8"/>
        <v>0</v>
      </c>
      <c r="I32" s="308">
        <f t="shared" ca="1" si="9"/>
        <v>60000</v>
      </c>
      <c r="J32" s="308">
        <f t="shared" ca="1" si="10"/>
        <v>0</v>
      </c>
      <c r="K32" s="309">
        <f t="shared" ca="1" si="11"/>
        <v>60000</v>
      </c>
      <c r="L32" s="316"/>
      <c r="M32" s="289" t="str">
        <f t="shared" ca="1" si="12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>
        <v>10</v>
      </c>
      <c r="C33" s="319" t="s">
        <v>781</v>
      </c>
      <c r="D33" s="305" t="str">
        <f ca="1">IF(ISERROR(OFFSET('HARGA SATUAN'!$D$6,MATCH(RAB!C33,'HARGA SATUAN'!$C$7:$C$1495,0),0)),"",OFFSET('HARGA SATUAN'!$D$6,MATCH(RAB!C33,'HARGA SATUAN'!$C$7:$C$1495,0),0))</f>
        <v>JASA</v>
      </c>
      <c r="E33" s="306" t="str">
        <f ca="1">IF(B33="+","Unit",IF(ISERROR(OFFSET('HARGA SATUAN'!$E$6,MATCH(RAB!C33,'HARGA SATUAN'!$C$7:$C$1495,0),0)),"",OFFSET('HARGA SATUAN'!$E$6,MATCH(RAB!C33,'HARGA SATUAN'!$C$7:$C$1495,0),0)))</f>
        <v>Unit</v>
      </c>
      <c r="F33" s="457">
        <f>F21*1</f>
        <v>1</v>
      </c>
      <c r="G33" s="307">
        <f ca="1">IF(ISERROR(OFFSET('HARGA SATUAN'!$I$6,MATCH(RAB!C33,'HARGA SATUAN'!$C$7:$C$1495,0),0)),0,OFFSET('HARGA SATUAN'!$I$6,MATCH(RAB!C33,'HARGA SATUAN'!$C$7:$C$1495,0),0))</f>
        <v>346400</v>
      </c>
      <c r="H33" s="308">
        <f t="shared" ca="1" si="8"/>
        <v>0</v>
      </c>
      <c r="I33" s="308">
        <f t="shared" ca="1" si="9"/>
        <v>0</v>
      </c>
      <c r="J33" s="308">
        <f t="shared" ca="1" si="10"/>
        <v>346400</v>
      </c>
      <c r="K33" s="309">
        <f t="shared" ca="1" si="11"/>
        <v>346400</v>
      </c>
      <c r="L33" s="316"/>
      <c r="M33" s="289" t="str">
        <f t="shared" ca="1" si="12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/>
      <c r="C34" s="319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57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8"/>
        <v>0</v>
      </c>
      <c r="I34" s="308">
        <f t="shared" ca="1" si="9"/>
        <v>0</v>
      </c>
      <c r="J34" s="308">
        <f t="shared" ca="1" si="10"/>
        <v>0</v>
      </c>
      <c r="K34" s="309">
        <f t="shared" ca="1" si="11"/>
        <v>0</v>
      </c>
      <c r="L34" s="316"/>
      <c r="M34" s="289" t="str">
        <f t="shared" ca="1" si="12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 t="s">
        <v>1035</v>
      </c>
      <c r="C35" s="319" t="s">
        <v>1613</v>
      </c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>Unit</v>
      </c>
      <c r="F35" s="456">
        <v>2</v>
      </c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8"/>
        <v>0</v>
      </c>
      <c r="I35" s="308">
        <f t="shared" ca="1" si="9"/>
        <v>0</v>
      </c>
      <c r="J35" s="308">
        <f t="shared" ca="1" si="10"/>
        <v>0</v>
      </c>
      <c r="K35" s="309">
        <f t="shared" ca="1" si="11"/>
        <v>0</v>
      </c>
      <c r="L35" s="316"/>
      <c r="M35" s="289" t="str">
        <f t="shared" si="12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1</v>
      </c>
      <c r="C36" s="319" t="s">
        <v>29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7">
        <f>F35*1</f>
        <v>2</v>
      </c>
      <c r="G36" s="307">
        <f ca="1">IF(ISERROR(OFFSET('HARGA SATUAN'!$I$6,MATCH(RAB!C36,'HARGA SATUAN'!$C$7:$C$1495,0),0)),0,OFFSET('HARGA SATUAN'!$I$6,MATCH(RAB!C36,'HARGA SATUAN'!$C$7:$C$1495,0),0))</f>
        <v>185200</v>
      </c>
      <c r="H36" s="308">
        <f t="shared" ca="1" si="8"/>
        <v>0</v>
      </c>
      <c r="I36" s="308">
        <f t="shared" ca="1" si="9"/>
        <v>370400</v>
      </c>
      <c r="J36" s="308">
        <f t="shared" ca="1" si="10"/>
        <v>0</v>
      </c>
      <c r="K36" s="309">
        <f t="shared" ca="1" si="11"/>
        <v>370400</v>
      </c>
      <c r="L36" s="316"/>
      <c r="M36" s="289" t="str">
        <f t="shared" ca="1" si="12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318">
        <v>2</v>
      </c>
      <c r="C37" s="319" t="s">
        <v>30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20">
        <f>F35*1</f>
        <v>2</v>
      </c>
      <c r="G37" s="307">
        <f ca="1">IF(ISERROR(OFFSET('HARGA SATUAN'!$I$6,MATCH(RAB!C37,'HARGA SATUAN'!$C$7:$C$1495,0),0)),0,OFFSET('HARGA SATUAN'!$I$6,MATCH(RAB!C37,'HARGA SATUAN'!$C$7:$C$1495,0),0))</f>
        <v>47459</v>
      </c>
      <c r="H37" s="308">
        <f t="shared" ca="1" si="8"/>
        <v>0</v>
      </c>
      <c r="I37" s="308">
        <f t="shared" ca="1" si="9"/>
        <v>94918</v>
      </c>
      <c r="J37" s="308">
        <f t="shared" ca="1" si="10"/>
        <v>0</v>
      </c>
      <c r="K37" s="309">
        <f t="shared" ca="1" si="11"/>
        <v>94918</v>
      </c>
      <c r="L37" s="316"/>
      <c r="M37" s="289" t="str">
        <f t="shared" ca="1" si="12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3</v>
      </c>
      <c r="C38" s="451" t="s">
        <v>31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6">
        <f>F35*1</f>
        <v>2</v>
      </c>
      <c r="G38" s="307">
        <f ca="1">IF(ISERROR(OFFSET('HARGA SATUAN'!$I$6,MATCH(RAB!C38,'HARGA SATUAN'!$C$7:$C$1495,0),0)),0,OFFSET('HARGA SATUAN'!$I$6,MATCH(RAB!C38,'HARGA SATUAN'!$C$7:$C$1495,0),0))</f>
        <v>4880</v>
      </c>
      <c r="H38" s="308">
        <f t="shared" ca="1" si="8"/>
        <v>0</v>
      </c>
      <c r="I38" s="308">
        <f t="shared" ca="1" si="9"/>
        <v>9760</v>
      </c>
      <c r="J38" s="308">
        <f t="shared" ca="1" si="10"/>
        <v>0</v>
      </c>
      <c r="K38" s="309">
        <f t="shared" ca="1" si="11"/>
        <v>9760</v>
      </c>
      <c r="L38" s="316"/>
      <c r="M38" s="289" t="str">
        <f t="shared" ca="1" si="12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4</v>
      </c>
      <c r="C39" s="451" t="s">
        <v>32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Mtr</v>
      </c>
      <c r="F39" s="456">
        <f>F35*10</f>
        <v>20</v>
      </c>
      <c r="G39" s="307">
        <f ca="1">IF(ISERROR(OFFSET('HARGA SATUAN'!$I$6,MATCH(RAB!C39,'HARGA SATUAN'!$C$7:$C$1495,0),0)),0,OFFSET('HARGA SATUAN'!$I$6,MATCH(RAB!C39,'HARGA SATUAN'!$C$7:$C$1495,0),0))</f>
        <v>30000</v>
      </c>
      <c r="H39" s="308">
        <f t="shared" ca="1" si="8"/>
        <v>0</v>
      </c>
      <c r="I39" s="308">
        <f t="shared" ca="1" si="9"/>
        <v>600000</v>
      </c>
      <c r="J39" s="308">
        <f t="shared" ca="1" si="10"/>
        <v>0</v>
      </c>
      <c r="K39" s="309">
        <f t="shared" ca="1" si="11"/>
        <v>600000</v>
      </c>
      <c r="L39" s="316"/>
      <c r="M39" s="289" t="str">
        <f t="shared" ca="1" si="12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5</v>
      </c>
      <c r="C40" s="451" t="s">
        <v>33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F35*2</f>
        <v>4</v>
      </c>
      <c r="G40" s="307">
        <f ca="1">IF(ISERROR(OFFSET('HARGA SATUAN'!$I$6,MATCH(RAB!C40,'HARGA SATUAN'!$C$7:$C$1495,0),0)),0,OFFSET('HARGA SATUAN'!$I$6,MATCH(RAB!C40,'HARGA SATUAN'!$C$7:$C$1495,0),0))</f>
        <v>9500</v>
      </c>
      <c r="H40" s="308">
        <f t="shared" ca="1" si="8"/>
        <v>0</v>
      </c>
      <c r="I40" s="308">
        <f t="shared" ca="1" si="9"/>
        <v>38000</v>
      </c>
      <c r="J40" s="308">
        <f t="shared" ca="1" si="10"/>
        <v>0</v>
      </c>
      <c r="K40" s="309">
        <f t="shared" ca="1" si="11"/>
        <v>38000</v>
      </c>
      <c r="L40" s="316"/>
      <c r="M40" s="289" t="str">
        <f t="shared" ca="1" si="12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6</v>
      </c>
      <c r="C41" s="451" t="s">
        <v>34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F35*5.5</f>
        <v>11</v>
      </c>
      <c r="G41" s="307">
        <f ca="1">IF(ISERROR(OFFSET('HARGA SATUAN'!$I$6,MATCH(RAB!C41,'HARGA SATUAN'!$C$7:$C$1495,0),0)),0,OFFSET('HARGA SATUAN'!$I$6,MATCH(RAB!C41,'HARGA SATUAN'!$C$7:$C$1495,0),0))</f>
        <v>6100</v>
      </c>
      <c r="H41" s="308">
        <f t="shared" ca="1" si="8"/>
        <v>0</v>
      </c>
      <c r="I41" s="308">
        <f t="shared" ca="1" si="9"/>
        <v>67100</v>
      </c>
      <c r="J41" s="308">
        <f t="shared" ca="1" si="10"/>
        <v>0</v>
      </c>
      <c r="K41" s="309">
        <f t="shared" ca="1" si="11"/>
        <v>67100</v>
      </c>
      <c r="L41" s="316"/>
      <c r="M41" s="289" t="str">
        <f t="shared" ca="1" si="12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0">
        <v>7</v>
      </c>
      <c r="C42" s="451" t="s">
        <v>35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6">
        <f>F35*6</f>
        <v>12</v>
      </c>
      <c r="G42" s="307">
        <f ca="1">IF(ISERROR(OFFSET('HARGA SATUAN'!$I$6,MATCH(RAB!C42,'HARGA SATUAN'!$C$7:$C$1495,0),0)),0,OFFSET('HARGA SATUAN'!$I$6,MATCH(RAB!C42,'HARGA SATUAN'!$C$7:$C$1495,0),0))</f>
        <v>2300</v>
      </c>
      <c r="H42" s="308">
        <f t="shared" ca="1" si="8"/>
        <v>0</v>
      </c>
      <c r="I42" s="308">
        <f t="shared" ca="1" si="9"/>
        <v>27600</v>
      </c>
      <c r="J42" s="308">
        <f t="shared" ca="1" si="10"/>
        <v>0</v>
      </c>
      <c r="K42" s="309">
        <f t="shared" ca="1" si="11"/>
        <v>27600</v>
      </c>
      <c r="L42" s="316"/>
      <c r="M42" s="289" t="str">
        <f t="shared" ca="1" si="12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2">
        <v>8</v>
      </c>
      <c r="C43" s="453" t="s">
        <v>1619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56">
        <f>F35*4.8</f>
        <v>9.6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8"/>
        <v>0</v>
      </c>
      <c r="I43" s="308">
        <f t="shared" ca="1" si="9"/>
        <v>223776</v>
      </c>
      <c r="J43" s="308">
        <f t="shared" ca="1" si="10"/>
        <v>0</v>
      </c>
      <c r="K43" s="309">
        <f t="shared" ca="1" si="11"/>
        <v>223776</v>
      </c>
      <c r="L43" s="316"/>
      <c r="M43" s="289" t="str">
        <f t="shared" ca="1" si="12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4">
        <v>9</v>
      </c>
      <c r="C44" s="455" t="s">
        <v>736</v>
      </c>
      <c r="D44" s="305" t="str">
        <f ca="1">IF(ISERROR(OFFSET('HARGA SATUAN'!$D$6,MATCH(RAB!C44,'HARGA SATUAN'!$C$7:$C$1495,0),0)),"",OFFSET('HARGA SATUAN'!$D$6,MATCH(RAB!C44,'HARGA SATUAN'!$C$7:$C$1495,0),0))</f>
        <v>JASA</v>
      </c>
      <c r="E44" s="306" t="str">
        <f ca="1">IF(B44="+","Unit",IF(ISERROR(OFFSET('HARGA SATUAN'!$E$6,MATCH(RAB!C44,'HARGA SATUAN'!$C$7:$C$1495,0),0)),"",OFFSET('HARGA SATUAN'!$E$6,MATCH(RAB!C44,'HARGA SATUAN'!$C$7:$C$1495,0),0)))</f>
        <v>Unit</v>
      </c>
      <c r="F44" s="456">
        <f>F35*1</f>
        <v>2</v>
      </c>
      <c r="G44" s="307">
        <f ca="1">IF(ISERROR(OFFSET('HARGA SATUAN'!$I$6,MATCH(RAB!C44,'HARGA SATUAN'!$C$7:$C$1495,0),0)),0,OFFSET('HARGA SATUAN'!$I$6,MATCH(RAB!C44,'HARGA SATUAN'!$C$7:$C$1495,0),0))</f>
        <v>65400</v>
      </c>
      <c r="H44" s="308">
        <f t="shared" ca="1" si="8"/>
        <v>0</v>
      </c>
      <c r="I44" s="308">
        <f t="shared" ca="1" si="9"/>
        <v>0</v>
      </c>
      <c r="J44" s="308">
        <f t="shared" ca="1" si="10"/>
        <v>130800</v>
      </c>
      <c r="K44" s="309">
        <f t="shared" ca="1" si="11"/>
        <v>130800</v>
      </c>
      <c r="L44" s="316"/>
      <c r="M44" s="289" t="str">
        <f t="shared" ca="1" si="12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454"/>
      <c r="C45" s="455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6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8"/>
        <v>0</v>
      </c>
      <c r="I45" s="308">
        <f t="shared" ca="1" si="9"/>
        <v>0</v>
      </c>
      <c r="J45" s="308">
        <f t="shared" ca="1" si="10"/>
        <v>0</v>
      </c>
      <c r="K45" s="309">
        <f t="shared" ca="1" si="11"/>
        <v>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21" t="s">
        <v>1035</v>
      </c>
      <c r="C46" s="722" t="s">
        <v>1633</v>
      </c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723">
        <v>1</v>
      </c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8"/>
        <v>0</v>
      </c>
      <c r="I46" s="308">
        <f t="shared" ca="1" si="9"/>
        <v>0</v>
      </c>
      <c r="J46" s="308">
        <f t="shared" ca="1" si="10"/>
        <v>0</v>
      </c>
      <c r="K46" s="309">
        <f t="shared" ca="1" si="11"/>
        <v>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21">
        <v>1</v>
      </c>
      <c r="C47" s="722" t="s">
        <v>1609</v>
      </c>
      <c r="D47" s="305" t="str">
        <f ca="1">IF(ISERROR(OFFSET('HARGA SATUAN'!$D$6,MATCH(RAB!C47,'HARGA SATUAN'!$C$7:$C$1495,0),0)),"",OFFSET('HARGA SATUAN'!$D$6,MATCH(RAB!C47,'HARGA SATUAN'!$C$7:$C$1495,0),0))</f>
        <v>MDU-KD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723">
        <v>2</v>
      </c>
      <c r="G47" s="307">
        <f ca="1">IF(ISERROR(OFFSET('HARGA SATUAN'!$I$6,MATCH(RAB!C47,'HARGA SATUAN'!$C$7:$C$1495,0),0)),0,OFFSET('HARGA SATUAN'!$I$6,MATCH(RAB!C47,'HARGA SATUAN'!$C$7:$C$1495,0),0))</f>
        <v>235900</v>
      </c>
      <c r="H47" s="308">
        <f t="shared" ca="1" si="8"/>
        <v>471800</v>
      </c>
      <c r="I47" s="308">
        <f t="shared" ca="1" si="9"/>
        <v>0</v>
      </c>
      <c r="J47" s="308">
        <f t="shared" ca="1" si="10"/>
        <v>0</v>
      </c>
      <c r="K47" s="309">
        <f t="shared" ca="1" si="11"/>
        <v>471800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21">
        <v>2</v>
      </c>
      <c r="C48" s="722" t="s">
        <v>157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723">
        <f>F46*2</f>
        <v>2</v>
      </c>
      <c r="G48" s="307">
        <f ca="1">IF(ISERROR(OFFSET('HARGA SATUAN'!$I$6,MATCH(RAB!C48,'HARGA SATUAN'!$C$7:$C$1495,0),0)),0,OFFSET('HARGA SATUAN'!$I$6,MATCH(RAB!C48,'HARGA SATUAN'!$C$7:$C$1495,0),0))</f>
        <v>40000</v>
      </c>
      <c r="H48" s="308">
        <f t="shared" ca="1" si="8"/>
        <v>0</v>
      </c>
      <c r="I48" s="308">
        <f t="shared" ca="1" si="9"/>
        <v>80000</v>
      </c>
      <c r="J48" s="308">
        <f t="shared" ca="1" si="10"/>
        <v>0</v>
      </c>
      <c r="K48" s="309">
        <f t="shared" ca="1" si="11"/>
        <v>80000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21">
        <v>3</v>
      </c>
      <c r="C49" s="722" t="s">
        <v>163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723">
        <f>F46*4</f>
        <v>4</v>
      </c>
      <c r="G49" s="307">
        <f ca="1">IF(ISERROR(OFFSET('HARGA SATUAN'!$I$6,MATCH(RAB!C49,'HARGA SATUAN'!$C$7:$C$1495,0),0)),0,OFFSET('HARGA SATUAN'!$I$6,MATCH(RAB!C49,'HARGA SATUAN'!$C$7:$C$1495,0),0))</f>
        <v>7938</v>
      </c>
      <c r="H49" s="308">
        <f t="shared" ca="1" si="8"/>
        <v>0</v>
      </c>
      <c r="I49" s="308">
        <f t="shared" ca="1" si="9"/>
        <v>31752</v>
      </c>
      <c r="J49" s="308">
        <f t="shared" ca="1" si="10"/>
        <v>0</v>
      </c>
      <c r="K49" s="309">
        <f t="shared" ca="1" si="11"/>
        <v>31752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21">
        <v>4</v>
      </c>
      <c r="C50" s="722" t="s">
        <v>28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723">
        <f>F46*1</f>
        <v>1</v>
      </c>
      <c r="G50" s="307">
        <f ca="1">IF(ISERROR(OFFSET('HARGA SATUAN'!$I$6,MATCH(RAB!C50,'HARGA SATUAN'!$C$7:$C$1495,0),0)),0,OFFSET('HARGA SATUAN'!$I$6,MATCH(RAB!C50,'HARGA SATUAN'!$C$7:$C$1495,0),0))</f>
        <v>26500</v>
      </c>
      <c r="H50" s="308">
        <f t="shared" ca="1" si="8"/>
        <v>0</v>
      </c>
      <c r="I50" s="308">
        <f t="shared" ca="1" si="9"/>
        <v>26500</v>
      </c>
      <c r="J50" s="308">
        <f t="shared" ca="1" si="10"/>
        <v>0</v>
      </c>
      <c r="K50" s="309">
        <f t="shared" ca="1" si="11"/>
        <v>26500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21">
        <v>5</v>
      </c>
      <c r="C51" s="722" t="s">
        <v>173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723">
        <f>F46*4</f>
        <v>4</v>
      </c>
      <c r="G51" s="307">
        <f ca="1">IF(ISERROR(OFFSET('HARGA SATUAN'!$I$6,MATCH(RAB!C51,'HARGA SATUAN'!$C$7:$C$1495,0),0)),0,OFFSET('HARGA SATUAN'!$I$6,MATCH(RAB!C51,'HARGA SATUAN'!$C$7:$C$1495,0),0))</f>
        <v>45000</v>
      </c>
      <c r="H51" s="308">
        <f t="shared" ca="1" si="8"/>
        <v>0</v>
      </c>
      <c r="I51" s="308">
        <f t="shared" ca="1" si="9"/>
        <v>180000</v>
      </c>
      <c r="J51" s="308">
        <f t="shared" ca="1" si="10"/>
        <v>0</v>
      </c>
      <c r="K51" s="309">
        <f t="shared" ca="1" si="11"/>
        <v>180000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21">
        <v>6</v>
      </c>
      <c r="C52" s="722" t="s">
        <v>593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723">
        <f>F46*2</f>
        <v>2</v>
      </c>
      <c r="G52" s="307">
        <f ca="1">IF(ISERROR(OFFSET('HARGA SATUAN'!$I$6,MATCH(RAB!C52,'HARGA SATUAN'!$C$7:$C$1495,0),0)),0,OFFSET('HARGA SATUAN'!$I$6,MATCH(RAB!C52,'HARGA SATUAN'!$C$7:$C$1495,0),0))</f>
        <v>380500</v>
      </c>
      <c r="H52" s="308">
        <f t="shared" ca="1" si="8"/>
        <v>0</v>
      </c>
      <c r="I52" s="308">
        <f t="shared" ca="1" si="9"/>
        <v>761000</v>
      </c>
      <c r="J52" s="308">
        <f t="shared" ca="1" si="10"/>
        <v>0</v>
      </c>
      <c r="K52" s="309">
        <f t="shared" ca="1" si="11"/>
        <v>761000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21">
        <v>7</v>
      </c>
      <c r="C53" s="722" t="s">
        <v>217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723">
        <f>F46*5</f>
        <v>5</v>
      </c>
      <c r="G53" s="307">
        <f ca="1">IF(ISERROR(OFFSET('HARGA SATUAN'!$I$6,MATCH(RAB!C53,'HARGA SATUAN'!$C$7:$C$1495,0),0)),0,OFFSET('HARGA SATUAN'!$I$6,MATCH(RAB!C53,'HARGA SATUAN'!$C$7:$C$1495,0),0))</f>
        <v>11400</v>
      </c>
      <c r="H53" s="308">
        <f t="shared" ca="1" si="8"/>
        <v>0</v>
      </c>
      <c r="I53" s="308">
        <f t="shared" ca="1" si="9"/>
        <v>57000</v>
      </c>
      <c r="J53" s="308">
        <f t="shared" ca="1" si="10"/>
        <v>0</v>
      </c>
      <c r="K53" s="309">
        <f t="shared" ca="1" si="11"/>
        <v>57000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21">
        <v>8</v>
      </c>
      <c r="C54" s="722" t="s">
        <v>37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723">
        <f>F46*1</f>
        <v>1</v>
      </c>
      <c r="G54" s="307">
        <f ca="1">IF(ISERROR(OFFSET('HARGA SATUAN'!$I$6,MATCH(RAB!C54,'HARGA SATUAN'!$C$7:$C$1495,0),0)),0,OFFSET('HARGA SATUAN'!$I$6,MATCH(RAB!C54,'HARGA SATUAN'!$C$7:$C$1495,0),0))</f>
        <v>63500</v>
      </c>
      <c r="H54" s="308">
        <f t="shared" ca="1" si="8"/>
        <v>0</v>
      </c>
      <c r="I54" s="308">
        <f t="shared" ca="1" si="9"/>
        <v>63500</v>
      </c>
      <c r="J54" s="308">
        <f t="shared" ca="1" si="10"/>
        <v>0</v>
      </c>
      <c r="K54" s="309">
        <f t="shared" ca="1" si="11"/>
        <v>63500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21">
        <v>9</v>
      </c>
      <c r="C55" s="722" t="s">
        <v>38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Mtr</v>
      </c>
      <c r="F55" s="723">
        <f>4.4*F46</f>
        <v>4.4000000000000004</v>
      </c>
      <c r="G55" s="307">
        <f ca="1">IF(ISERROR(OFFSET('HARGA SATUAN'!$I$6,MATCH(RAB!C55,'HARGA SATUAN'!$C$7:$C$1495,0),0)),0,OFFSET('HARGA SATUAN'!$I$6,MATCH(RAB!C55,'HARGA SATUAN'!$C$7:$C$1495,0),0))</f>
        <v>8550</v>
      </c>
      <c r="H55" s="308">
        <f t="shared" ca="1" si="8"/>
        <v>0</v>
      </c>
      <c r="I55" s="308">
        <f t="shared" ca="1" si="9"/>
        <v>37620</v>
      </c>
      <c r="J55" s="308">
        <f t="shared" ca="1" si="10"/>
        <v>0</v>
      </c>
      <c r="K55" s="309">
        <f t="shared" ca="1" si="11"/>
        <v>37620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21">
        <v>10</v>
      </c>
      <c r="C56" s="722" t="s">
        <v>264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723">
        <f>F41*2</f>
        <v>22</v>
      </c>
      <c r="G56" s="307">
        <f ca="1">IF(ISERROR(OFFSET('HARGA SATUAN'!$I$6,MATCH(RAB!C56,'HARGA SATUAN'!$C$7:$C$1495,0),0)),0,OFFSET('HARGA SATUAN'!$I$6,MATCH(RAB!C56,'HARGA SATUAN'!$C$7:$C$1495,0),0))</f>
        <v>28000</v>
      </c>
      <c r="H56" s="308">
        <f t="shared" ca="1" si="8"/>
        <v>0</v>
      </c>
      <c r="I56" s="308">
        <f t="shared" ca="1" si="9"/>
        <v>616000</v>
      </c>
      <c r="J56" s="308">
        <f t="shared" ca="1" si="10"/>
        <v>0</v>
      </c>
      <c r="K56" s="309">
        <f t="shared" ca="1" si="11"/>
        <v>616000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21">
        <v>11</v>
      </c>
      <c r="C57" s="722" t="s">
        <v>26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723">
        <f>F46*10</f>
        <v>10</v>
      </c>
      <c r="G57" s="307">
        <f ca="1">IF(ISERROR(OFFSET('HARGA SATUAN'!$I$6,MATCH(RAB!C57,'HARGA SATUAN'!$C$7:$C$1495,0),0)),0,OFFSET('HARGA SATUAN'!$I$6,MATCH(RAB!C57,'HARGA SATUAN'!$C$7:$C$1495,0),0))</f>
        <v>2500</v>
      </c>
      <c r="H57" s="308">
        <f t="shared" ca="1" si="8"/>
        <v>0</v>
      </c>
      <c r="I57" s="308">
        <f t="shared" ca="1" si="9"/>
        <v>25000</v>
      </c>
      <c r="J57" s="308">
        <f t="shared" ca="1" si="10"/>
        <v>0</v>
      </c>
      <c r="K57" s="309">
        <f t="shared" ca="1" si="11"/>
        <v>25000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21">
        <v>12</v>
      </c>
      <c r="C58" s="722" t="s">
        <v>673</v>
      </c>
      <c r="D58" s="305" t="str">
        <f ca="1">IF(ISERROR(OFFSET('HARGA SATUAN'!$D$6,MATCH(RAB!C58,'HARGA SATUAN'!$C$7:$C$1495,0),0)),"",OFFSET('HARGA SATUAN'!$D$6,MATCH(RAB!C58,'HARGA SATUAN'!$C$7:$C$1495,0),0))</f>
        <v>JASA</v>
      </c>
      <c r="E58" s="306" t="str">
        <f ca="1">IF(B58="+","Unit",IF(ISERROR(OFFSET('HARGA SATUAN'!$E$6,MATCH(RAB!C58,'HARGA SATUAN'!$C$7:$C$1495,0),0)),"",OFFSET('HARGA SATUAN'!$E$6,MATCH(RAB!C58,'HARGA SATUAN'!$C$7:$C$1495,0),0)))</f>
        <v>Unit</v>
      </c>
      <c r="F58" s="723">
        <f>F46*1</f>
        <v>1</v>
      </c>
      <c r="G58" s="307">
        <f ca="1">IF(ISERROR(OFFSET('HARGA SATUAN'!$I$6,MATCH(RAB!C58,'HARGA SATUAN'!$C$7:$C$1495,0),0)),0,OFFSET('HARGA SATUAN'!$I$6,MATCH(RAB!C58,'HARGA SATUAN'!$C$7:$C$1495,0),0))</f>
        <v>79500</v>
      </c>
      <c r="H58" s="308">
        <f t="shared" ca="1" si="8"/>
        <v>0</v>
      </c>
      <c r="I58" s="308">
        <f t="shared" ca="1" si="9"/>
        <v>0</v>
      </c>
      <c r="J58" s="308">
        <f t="shared" ca="1" si="10"/>
        <v>79500</v>
      </c>
      <c r="K58" s="309">
        <f t="shared" ca="1" si="11"/>
        <v>79500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454"/>
      <c r="C59" s="455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6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8"/>
        <v>0</v>
      </c>
      <c r="I59" s="308">
        <f t="shared" ca="1" si="9"/>
        <v>0</v>
      </c>
      <c r="J59" s="308">
        <f t="shared" ca="1" si="10"/>
        <v>0</v>
      </c>
      <c r="K59" s="309">
        <f t="shared" ca="1" si="11"/>
        <v>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21" t="s">
        <v>1035</v>
      </c>
      <c r="C60" s="724" t="s">
        <v>1632</v>
      </c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>Unit</v>
      </c>
      <c r="F60" s="723">
        <v>2</v>
      </c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8"/>
        <v>0</v>
      </c>
      <c r="I60" s="308">
        <f t="shared" ca="1" si="9"/>
        <v>0</v>
      </c>
      <c r="J60" s="308">
        <f t="shared" ca="1" si="10"/>
        <v>0</v>
      </c>
      <c r="K60" s="309">
        <f t="shared" ca="1" si="11"/>
        <v>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t="30">
      <c r="A61" s="283"/>
      <c r="B61" s="721">
        <v>1</v>
      </c>
      <c r="C61" s="724" t="s">
        <v>1614</v>
      </c>
      <c r="D61" s="305" t="str">
        <f ca="1">IF(ISERROR(OFFSET('HARGA SATUAN'!$D$6,MATCH(RAB!C61,'HARGA SATUAN'!$C$7:$C$1495,0),0)),"",OFFSET('HARGA SATUAN'!$D$6,MATCH(RAB!C61,'HARGA SATUAN'!$C$7:$C$1495,0),0))</f>
        <v>MDU-KD</v>
      </c>
      <c r="E61" s="306" t="str">
        <f ca="1">IF(B61="+","Unit",IF(ISERROR(OFFSET('HARGA SATUAN'!$E$6,MATCH(RAB!C61,'HARGA SATUAN'!$C$7:$C$1495,0),0)),"",OFFSET('HARGA SATUAN'!$E$6,MATCH(RAB!C61,'HARGA SATUAN'!$C$7:$C$1495,0),0)))</f>
        <v>Set</v>
      </c>
      <c r="F61" s="723">
        <f>F60*1</f>
        <v>2</v>
      </c>
      <c r="G61" s="307">
        <f ca="1">IF(ISERROR(OFFSET('HARGA SATUAN'!$I$6,MATCH(RAB!C61,'HARGA SATUAN'!$C$7:$C$1495,0),0)),0,OFFSET('HARGA SATUAN'!$I$6,MATCH(RAB!C61,'HARGA SATUAN'!$C$7:$C$1495,0),0))</f>
        <v>205700</v>
      </c>
      <c r="H61" s="308">
        <f t="shared" ca="1" si="8"/>
        <v>411400</v>
      </c>
      <c r="I61" s="308">
        <f t="shared" ca="1" si="9"/>
        <v>0</v>
      </c>
      <c r="J61" s="308">
        <f t="shared" ca="1" si="10"/>
        <v>0</v>
      </c>
      <c r="K61" s="309">
        <f t="shared" ca="1" si="11"/>
        <v>411400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21">
        <v>2</v>
      </c>
      <c r="C62" s="724" t="s">
        <v>152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Mtr</v>
      </c>
      <c r="F62" s="723">
        <f>F60*1</f>
        <v>2</v>
      </c>
      <c r="G62" s="307">
        <f ca="1">IF(ISERROR(OFFSET('HARGA SATUAN'!$I$6,MATCH(RAB!C62,'HARGA SATUAN'!$C$7:$C$1495,0),0)),0,OFFSET('HARGA SATUAN'!$I$6,MATCH(RAB!C62,'HARGA SATUAN'!$C$7:$C$1495,0),0))</f>
        <v>7789</v>
      </c>
      <c r="H62" s="308">
        <f t="shared" ca="1" si="8"/>
        <v>0</v>
      </c>
      <c r="I62" s="308">
        <f t="shared" ca="1" si="9"/>
        <v>15578</v>
      </c>
      <c r="J62" s="308">
        <f t="shared" ca="1" si="10"/>
        <v>0</v>
      </c>
      <c r="K62" s="309">
        <f t="shared" ca="1" si="11"/>
        <v>15578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21">
        <v>3</v>
      </c>
      <c r="C63" s="724" t="s">
        <v>179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723">
        <f>F60*1</f>
        <v>2</v>
      </c>
      <c r="G63" s="307">
        <f ca="1">IF(ISERROR(OFFSET('HARGA SATUAN'!$I$6,MATCH(RAB!C63,'HARGA SATUAN'!$C$7:$C$1495,0),0)),0,OFFSET('HARGA SATUAN'!$I$6,MATCH(RAB!C63,'HARGA SATUAN'!$C$7:$C$1495,0),0))</f>
        <v>15500</v>
      </c>
      <c r="H63" s="308">
        <f t="shared" ca="1" si="8"/>
        <v>0</v>
      </c>
      <c r="I63" s="308">
        <f t="shared" ca="1" si="9"/>
        <v>31000</v>
      </c>
      <c r="J63" s="308">
        <f t="shared" ca="1" si="10"/>
        <v>0</v>
      </c>
      <c r="K63" s="309">
        <f t="shared" ca="1" si="11"/>
        <v>31000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21">
        <v>4</v>
      </c>
      <c r="C64" s="724" t="s">
        <v>217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723">
        <f>F60*2</f>
        <v>4</v>
      </c>
      <c r="G64" s="307">
        <f ca="1">IF(ISERROR(OFFSET('HARGA SATUAN'!$I$6,MATCH(RAB!C64,'HARGA SATUAN'!$C$7:$C$1495,0),0)),0,OFFSET('HARGA SATUAN'!$I$6,MATCH(RAB!C64,'HARGA SATUAN'!$C$7:$C$1495,0),0))</f>
        <v>11400</v>
      </c>
      <c r="H64" s="308">
        <f t="shared" ca="1" si="8"/>
        <v>0</v>
      </c>
      <c r="I64" s="308">
        <f t="shared" ca="1" si="9"/>
        <v>45600</v>
      </c>
      <c r="J64" s="308">
        <f t="shared" ca="1" si="10"/>
        <v>0</v>
      </c>
      <c r="K64" s="309">
        <f t="shared" ca="1" si="11"/>
        <v>45600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21">
        <v>5</v>
      </c>
      <c r="C65" s="724" t="s">
        <v>218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723">
        <f>F60*2</f>
        <v>4</v>
      </c>
      <c r="G65" s="307">
        <f ca="1">IF(ISERROR(OFFSET('HARGA SATUAN'!$I$6,MATCH(RAB!C65,'HARGA SATUAN'!$C$7:$C$1495,0),0)),0,OFFSET('HARGA SATUAN'!$I$6,MATCH(RAB!C65,'HARGA SATUAN'!$C$7:$C$1495,0),0))</f>
        <v>29600</v>
      </c>
      <c r="H65" s="308">
        <f t="shared" ca="1" si="8"/>
        <v>0</v>
      </c>
      <c r="I65" s="308">
        <f t="shared" ca="1" si="9"/>
        <v>118400</v>
      </c>
      <c r="J65" s="308">
        <f t="shared" ca="1" si="10"/>
        <v>0</v>
      </c>
      <c r="K65" s="309">
        <f t="shared" ca="1" si="11"/>
        <v>118400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21">
        <v>6</v>
      </c>
      <c r="C66" s="724" t="s">
        <v>223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723">
        <f>F60*2</f>
        <v>4</v>
      </c>
      <c r="G66" s="307">
        <f ca="1">IF(ISERROR(OFFSET('HARGA SATUAN'!$I$6,MATCH(RAB!C66,'HARGA SATUAN'!$C$7:$C$1495,0),0)),0,OFFSET('HARGA SATUAN'!$I$6,MATCH(RAB!C66,'HARGA SATUAN'!$C$7:$C$1495,0),0))</f>
        <v>27815</v>
      </c>
      <c r="H66" s="308">
        <f t="shared" ca="1" si="8"/>
        <v>0</v>
      </c>
      <c r="I66" s="308">
        <f t="shared" ca="1" si="9"/>
        <v>111260</v>
      </c>
      <c r="J66" s="308">
        <f t="shared" ca="1" si="10"/>
        <v>0</v>
      </c>
      <c r="K66" s="309">
        <f t="shared" ca="1" si="11"/>
        <v>111260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21">
        <v>7</v>
      </c>
      <c r="C67" s="724" t="s">
        <v>27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Bh</v>
      </c>
      <c r="F67" s="723">
        <f>F60*1</f>
        <v>2</v>
      </c>
      <c r="G67" s="307">
        <f ca="1">IF(ISERROR(OFFSET('HARGA SATUAN'!$I$6,MATCH(RAB!C67,'HARGA SATUAN'!$C$7:$C$1495,0),0)),0,OFFSET('HARGA SATUAN'!$I$6,MATCH(RAB!C67,'HARGA SATUAN'!$C$7:$C$1495,0),0))</f>
        <v>16000</v>
      </c>
      <c r="H67" s="308">
        <f t="shared" ca="1" si="8"/>
        <v>0</v>
      </c>
      <c r="I67" s="308">
        <f t="shared" ca="1" si="9"/>
        <v>32000</v>
      </c>
      <c r="J67" s="308">
        <f t="shared" ca="1" si="10"/>
        <v>0</v>
      </c>
      <c r="K67" s="309">
        <f t="shared" ca="1" si="11"/>
        <v>32000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21">
        <v>8</v>
      </c>
      <c r="C68" s="724" t="s">
        <v>265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723">
        <f>F60*1</f>
        <v>2</v>
      </c>
      <c r="G68" s="307">
        <f ca="1">IF(ISERROR(OFFSET('HARGA SATUAN'!$I$6,MATCH(RAB!C68,'HARGA SATUAN'!$C$7:$C$1495,0),0)),0,OFFSET('HARGA SATUAN'!$I$6,MATCH(RAB!C68,'HARGA SATUAN'!$C$7:$C$1495,0),0))</f>
        <v>33501.866666666669</v>
      </c>
      <c r="H68" s="308">
        <f t="shared" ca="1" si="8"/>
        <v>0</v>
      </c>
      <c r="I68" s="308">
        <f t="shared" ca="1" si="9"/>
        <v>67003.733333333337</v>
      </c>
      <c r="J68" s="308">
        <f t="shared" ca="1" si="10"/>
        <v>0</v>
      </c>
      <c r="K68" s="309">
        <f t="shared" ca="1" si="11"/>
        <v>67003.733333333337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21">
        <v>9</v>
      </c>
      <c r="C69" s="724" t="s">
        <v>26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723">
        <f>F60*2</f>
        <v>4</v>
      </c>
      <c r="G69" s="307">
        <f ca="1">IF(ISERROR(OFFSET('HARGA SATUAN'!$I$6,MATCH(RAB!C69,'HARGA SATUAN'!$C$7:$C$1495,0),0)),0,OFFSET('HARGA SATUAN'!$I$6,MATCH(RAB!C69,'HARGA SATUAN'!$C$7:$C$1495,0),0))</f>
        <v>2500</v>
      </c>
      <c r="H69" s="308">
        <f t="shared" ca="1" si="8"/>
        <v>0</v>
      </c>
      <c r="I69" s="308">
        <f t="shared" ca="1" si="9"/>
        <v>10000</v>
      </c>
      <c r="J69" s="308">
        <f t="shared" ca="1" si="10"/>
        <v>0</v>
      </c>
      <c r="K69" s="309">
        <f t="shared" ca="1" si="11"/>
        <v>10000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21">
        <v>10</v>
      </c>
      <c r="C70" s="724" t="s">
        <v>655</v>
      </c>
      <c r="D70" s="305" t="str">
        <f ca="1">IF(ISERROR(OFFSET('HARGA SATUAN'!$D$6,MATCH(RAB!C70,'HARGA SATUAN'!$C$7:$C$1495,0),0)),"",OFFSET('HARGA SATUAN'!$D$6,MATCH(RAB!C70,'HARGA SATUAN'!$C$7:$C$1495,0),0))</f>
        <v>JASA</v>
      </c>
      <c r="E70" s="306" t="str">
        <f ca="1">IF(B70="+","Unit",IF(ISERROR(OFFSET('HARGA SATUAN'!$E$6,MATCH(RAB!C70,'HARGA SATUAN'!$C$7:$C$1495,0),0)),"",OFFSET('HARGA SATUAN'!$E$6,MATCH(RAB!C70,'HARGA SATUAN'!$C$7:$C$1495,0),0)))</f>
        <v>Unit</v>
      </c>
      <c r="F70" s="723">
        <f>F60*1</f>
        <v>2</v>
      </c>
      <c r="G70" s="307">
        <f ca="1">IF(ISERROR(OFFSET('HARGA SATUAN'!$I$6,MATCH(RAB!C70,'HARGA SATUAN'!$C$7:$C$1495,0),0)),0,OFFSET('HARGA SATUAN'!$I$6,MATCH(RAB!C70,'HARGA SATUAN'!$C$7:$C$1495,0),0))</f>
        <v>50100</v>
      </c>
      <c r="H70" s="308">
        <f t="shared" ca="1" si="8"/>
        <v>0</v>
      </c>
      <c r="I70" s="308">
        <f t="shared" ca="1" si="9"/>
        <v>0</v>
      </c>
      <c r="J70" s="308">
        <f t="shared" ca="1" si="10"/>
        <v>100200</v>
      </c>
      <c r="K70" s="309">
        <f t="shared" ca="1" si="11"/>
        <v>100200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454"/>
      <c r="C71" s="455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6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8"/>
        <v>0</v>
      </c>
      <c r="I71" s="308">
        <f t="shared" ca="1" si="9"/>
        <v>0</v>
      </c>
      <c r="J71" s="308">
        <f t="shared" ca="1" si="10"/>
        <v>0</v>
      </c>
      <c r="K71" s="309">
        <f t="shared" ca="1" si="11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21" t="s">
        <v>1035</v>
      </c>
      <c r="C72" s="722" t="s">
        <v>1634</v>
      </c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723">
        <v>4</v>
      </c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8"/>
        <v>0</v>
      </c>
      <c r="I72" s="308">
        <f t="shared" ca="1" si="9"/>
        <v>0</v>
      </c>
      <c r="J72" s="308">
        <f t="shared" ca="1" si="10"/>
        <v>0</v>
      </c>
      <c r="K72" s="309">
        <f t="shared" ca="1" si="11"/>
        <v>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21">
        <v>1</v>
      </c>
      <c r="C73" s="722" t="s">
        <v>1608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723">
        <f>F72*1</f>
        <v>4</v>
      </c>
      <c r="G73" s="307">
        <f ca="1">IF(ISERROR(OFFSET('HARGA SATUAN'!$I$6,MATCH(RAB!C73,'HARGA SATUAN'!$C$7:$C$1495,0),0)),0,OFFSET('HARGA SATUAN'!$I$6,MATCH(RAB!C73,'HARGA SATUAN'!$C$7:$C$1495,0),0))</f>
        <v>176900</v>
      </c>
      <c r="H73" s="308">
        <f t="shared" ca="1" si="8"/>
        <v>707600</v>
      </c>
      <c r="I73" s="308">
        <f t="shared" ca="1" si="9"/>
        <v>0</v>
      </c>
      <c r="J73" s="308">
        <f t="shared" ca="1" si="10"/>
        <v>0</v>
      </c>
      <c r="K73" s="309">
        <f t="shared" ca="1" si="11"/>
        <v>707600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21">
        <v>2</v>
      </c>
      <c r="C74" s="722" t="s">
        <v>28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723">
        <f>F72*2</f>
        <v>8</v>
      </c>
      <c r="G74" s="307">
        <f ca="1">IF(ISERROR(OFFSET('HARGA SATUAN'!$I$6,MATCH(RAB!C74,'HARGA SATUAN'!$C$7:$C$1495,0),0)),0,OFFSET('HARGA SATUAN'!$I$6,MATCH(RAB!C74,'HARGA SATUAN'!$C$7:$C$1495,0),0))</f>
        <v>26500</v>
      </c>
      <c r="H74" s="308">
        <f t="shared" ca="1" si="8"/>
        <v>0</v>
      </c>
      <c r="I74" s="308">
        <f t="shared" ca="1" si="9"/>
        <v>212000</v>
      </c>
      <c r="J74" s="308">
        <f t="shared" ca="1" si="10"/>
        <v>0</v>
      </c>
      <c r="K74" s="309">
        <f t="shared" ca="1" si="11"/>
        <v>212000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21">
        <v>3</v>
      </c>
      <c r="C75" s="722" t="s">
        <v>178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56">
        <f>F72*1</f>
        <v>4</v>
      </c>
      <c r="G75" s="307">
        <f ca="1">IF(ISERROR(OFFSET('HARGA SATUAN'!$I$6,MATCH(RAB!C75,'HARGA SATUAN'!$C$7:$C$1495,0),0)),0,OFFSET('HARGA SATUAN'!$I$6,MATCH(RAB!C75,'HARGA SATUAN'!$C$7:$C$1495,0),0))</f>
        <v>95000</v>
      </c>
      <c r="H75" s="308">
        <f t="shared" ca="1" si="8"/>
        <v>0</v>
      </c>
      <c r="I75" s="308">
        <f t="shared" ca="1" si="9"/>
        <v>380000</v>
      </c>
      <c r="J75" s="308">
        <f t="shared" ca="1" si="10"/>
        <v>0</v>
      </c>
      <c r="K75" s="309">
        <f t="shared" ca="1" si="11"/>
        <v>380000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21">
        <v>4</v>
      </c>
      <c r="C76" s="722" t="s">
        <v>217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456">
        <f>F72*2</f>
        <v>8</v>
      </c>
      <c r="G76" s="307">
        <f ca="1">IF(ISERROR(OFFSET('HARGA SATUAN'!$I$6,MATCH(RAB!C76,'HARGA SATUAN'!$C$7:$C$1495,0),0)),0,OFFSET('HARGA SATUAN'!$I$6,MATCH(RAB!C76,'HARGA SATUAN'!$C$7:$C$1495,0),0))</f>
        <v>11400</v>
      </c>
      <c r="H76" s="308">
        <f t="shared" ca="1" si="8"/>
        <v>0</v>
      </c>
      <c r="I76" s="308">
        <f t="shared" ca="1" si="9"/>
        <v>91200</v>
      </c>
      <c r="J76" s="308">
        <f t="shared" ca="1" si="10"/>
        <v>0</v>
      </c>
      <c r="K76" s="309">
        <f t="shared" ca="1" si="11"/>
        <v>91200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21">
        <v>5</v>
      </c>
      <c r="C77" s="722" t="s">
        <v>254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6">
        <f>F72*1</f>
        <v>4</v>
      </c>
      <c r="G77" s="307">
        <f ca="1">IF(ISERROR(OFFSET('HARGA SATUAN'!$I$6,MATCH(RAB!C77,'HARGA SATUAN'!$C$7:$C$1495,0),0)),0,OFFSET('HARGA SATUAN'!$I$6,MATCH(RAB!C77,'HARGA SATUAN'!$C$7:$C$1495,0),0))</f>
        <v>51100</v>
      </c>
      <c r="H77" s="308">
        <f t="shared" ca="1" si="8"/>
        <v>0</v>
      </c>
      <c r="I77" s="308">
        <f t="shared" ca="1" si="9"/>
        <v>204400</v>
      </c>
      <c r="J77" s="308">
        <f t="shared" ca="1" si="10"/>
        <v>0</v>
      </c>
      <c r="K77" s="309">
        <f t="shared" ca="1" si="11"/>
        <v>204400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21">
        <v>6</v>
      </c>
      <c r="C78" s="722" t="s">
        <v>264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56">
        <f>F72*1</f>
        <v>4</v>
      </c>
      <c r="G78" s="307">
        <f ca="1">IF(ISERROR(OFFSET('HARGA SATUAN'!$I$6,MATCH(RAB!C78,'HARGA SATUAN'!$C$7:$C$1495,0),0)),0,OFFSET('HARGA SATUAN'!$I$6,MATCH(RAB!C78,'HARGA SATUAN'!$C$7:$C$1495,0),0))</f>
        <v>28000</v>
      </c>
      <c r="H78" s="308">
        <f t="shared" ca="1" si="8"/>
        <v>0</v>
      </c>
      <c r="I78" s="308">
        <f t="shared" ca="1" si="9"/>
        <v>112000</v>
      </c>
      <c r="J78" s="308">
        <f t="shared" ca="1" si="10"/>
        <v>0</v>
      </c>
      <c r="K78" s="309">
        <f t="shared" ca="1" si="11"/>
        <v>112000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452">
        <v>7</v>
      </c>
      <c r="C79" s="725" t="s">
        <v>38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Mtr</v>
      </c>
      <c r="F79" s="456">
        <f>2.6*F72</f>
        <v>10.4</v>
      </c>
      <c r="G79" s="307">
        <f ca="1">IF(ISERROR(OFFSET('HARGA SATUAN'!$I$6,MATCH(RAB!C79,'HARGA SATUAN'!$C$7:$C$1495,0),0)),0,OFFSET('HARGA SATUAN'!$I$6,MATCH(RAB!C79,'HARGA SATUAN'!$C$7:$C$1495,0),0))</f>
        <v>8550</v>
      </c>
      <c r="H79" s="308">
        <f t="shared" ca="1" si="8"/>
        <v>0</v>
      </c>
      <c r="I79" s="308">
        <f t="shared" ca="1" si="9"/>
        <v>88920</v>
      </c>
      <c r="J79" s="308">
        <f t="shared" ca="1" si="10"/>
        <v>0</v>
      </c>
      <c r="K79" s="309">
        <f t="shared" ca="1" si="11"/>
        <v>88920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454">
        <v>8</v>
      </c>
      <c r="C80" s="726" t="s">
        <v>26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56">
        <f>F72*2</f>
        <v>8</v>
      </c>
      <c r="G80" s="307">
        <f ca="1">IF(ISERROR(OFFSET('HARGA SATUAN'!$I$6,MATCH(RAB!C80,'HARGA SATUAN'!$C$7:$C$1495,0),0)),0,OFFSET('HARGA SATUAN'!$I$6,MATCH(RAB!C80,'HARGA SATUAN'!$C$7:$C$1495,0),0))</f>
        <v>2500</v>
      </c>
      <c r="H80" s="308">
        <f t="shared" ca="1" si="8"/>
        <v>0</v>
      </c>
      <c r="I80" s="308">
        <f t="shared" ca="1" si="9"/>
        <v>20000</v>
      </c>
      <c r="J80" s="308">
        <f t="shared" ca="1" si="10"/>
        <v>0</v>
      </c>
      <c r="K80" s="309">
        <f t="shared" ca="1" si="11"/>
        <v>20000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454">
        <v>9</v>
      </c>
      <c r="C81" s="724" t="s">
        <v>641</v>
      </c>
      <c r="D81" s="305" t="str">
        <f ca="1">IF(ISERROR(OFFSET('HARGA SATUAN'!$D$6,MATCH(RAB!C81,'HARGA SATUAN'!$C$7:$C$1495,0),0)),"",OFFSET('HARGA SATUAN'!$D$6,MATCH(RAB!C81,'HARGA SATUAN'!$C$7:$C$1495,0),0))</f>
        <v>JASA</v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723">
        <f>F72*1</f>
        <v>4</v>
      </c>
      <c r="G81" s="307">
        <f ca="1">IF(ISERROR(OFFSET('HARGA SATUAN'!$I$6,MATCH(RAB!C81,'HARGA SATUAN'!$C$7:$C$1495,0),0)),0,OFFSET('HARGA SATUAN'!$I$6,MATCH(RAB!C81,'HARGA SATUAN'!$C$7:$C$1495,0),0))</f>
        <v>53200</v>
      </c>
      <c r="H81" s="308">
        <f t="shared" ca="1" si="8"/>
        <v>0</v>
      </c>
      <c r="I81" s="308">
        <f t="shared" ca="1" si="9"/>
        <v>0</v>
      </c>
      <c r="J81" s="308">
        <f t="shared" ca="1" si="10"/>
        <v>212800</v>
      </c>
      <c r="K81" s="309">
        <f t="shared" ca="1" si="11"/>
        <v>212800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454"/>
      <c r="C82" s="455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56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8"/>
        <v>0</v>
      </c>
      <c r="I82" s="308">
        <f t="shared" ca="1" si="9"/>
        <v>0</v>
      </c>
      <c r="J82" s="308">
        <f t="shared" ca="1" si="10"/>
        <v>0</v>
      </c>
      <c r="K82" s="309">
        <f t="shared" ca="1" si="11"/>
        <v>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721" t="s">
        <v>1035</v>
      </c>
      <c r="C83" s="722" t="s">
        <v>1635</v>
      </c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>Unit</v>
      </c>
      <c r="F83" s="456">
        <v>7</v>
      </c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8"/>
        <v>0</v>
      </c>
      <c r="I83" s="308">
        <f t="shared" ca="1" si="9"/>
        <v>0</v>
      </c>
      <c r="J83" s="308">
        <f t="shared" ca="1" si="10"/>
        <v>0</v>
      </c>
      <c r="K83" s="309">
        <f t="shared" ca="1" si="11"/>
        <v>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21">
        <v>1</v>
      </c>
      <c r="C84" s="722" t="s">
        <v>30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6">
        <f>F83*1</f>
        <v>7</v>
      </c>
      <c r="G84" s="307">
        <f ca="1">IF(ISERROR(OFFSET('HARGA SATUAN'!$I$6,MATCH(RAB!C84,'HARGA SATUAN'!$C$7:$C$1495,0),0)),0,OFFSET('HARGA SATUAN'!$I$6,MATCH(RAB!C84,'HARGA SATUAN'!$C$7:$C$1495,0),0))</f>
        <v>47459</v>
      </c>
      <c r="H84" s="308">
        <f t="shared" ca="1" si="8"/>
        <v>0</v>
      </c>
      <c r="I84" s="308">
        <f t="shared" ca="1" si="9"/>
        <v>332213</v>
      </c>
      <c r="J84" s="308">
        <f t="shared" ca="1" si="10"/>
        <v>0</v>
      </c>
      <c r="K84" s="309">
        <f t="shared" ca="1" si="11"/>
        <v>332213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721">
        <v>2</v>
      </c>
      <c r="C85" s="722" t="s">
        <v>32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Mtr</v>
      </c>
      <c r="F85" s="456">
        <f>F83*0.8</f>
        <v>5.6000000000000005</v>
      </c>
      <c r="G85" s="307">
        <f ca="1">IF(ISERROR(OFFSET('HARGA SATUAN'!$I$6,MATCH(RAB!C85,'HARGA SATUAN'!$C$7:$C$1495,0),0)),0,OFFSET('HARGA SATUAN'!$I$6,MATCH(RAB!C85,'HARGA SATUAN'!$C$7:$C$1495,0),0))</f>
        <v>30000</v>
      </c>
      <c r="H85" s="308">
        <f t="shared" ca="1" si="8"/>
        <v>0</v>
      </c>
      <c r="I85" s="308">
        <f t="shared" ca="1" si="9"/>
        <v>168000.00000000003</v>
      </c>
      <c r="J85" s="308">
        <f t="shared" ca="1" si="10"/>
        <v>0</v>
      </c>
      <c r="K85" s="309">
        <f t="shared" ca="1" si="11"/>
        <v>168000.00000000003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721">
        <v>3</v>
      </c>
      <c r="C86" s="722" t="s">
        <v>33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56">
        <f>F83*1</f>
        <v>7</v>
      </c>
      <c r="G86" s="307">
        <f ca="1">IF(ISERROR(OFFSET('HARGA SATUAN'!$I$6,MATCH(RAB!C86,'HARGA SATUAN'!$C$7:$C$1495,0),0)),0,OFFSET('HARGA SATUAN'!$I$6,MATCH(RAB!C86,'HARGA SATUAN'!$C$7:$C$1495,0),0))</f>
        <v>9500</v>
      </c>
      <c r="H86" s="308">
        <f t="shared" ref="H86:H107" ca="1" si="13">IF(OR(D86="MDU",D86="MDU-KD"),(IF($O$3="RAB NON MDU","PLN KD",G86*F86)),0)</f>
        <v>0</v>
      </c>
      <c r="I86" s="308">
        <f t="shared" ref="I86:I107" ca="1" si="14">IF(D86="HDW",G86*F86,0)</f>
        <v>66500</v>
      </c>
      <c r="J86" s="308">
        <f t="shared" ref="J86:J107" ca="1" si="15">IF(D86="JASA",G86*F86,0)</f>
        <v>0</v>
      </c>
      <c r="K86" s="309">
        <f t="shared" ref="K86:K107" ca="1" si="16">SUM(H86:J86)</f>
        <v>66500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721">
        <v>4</v>
      </c>
      <c r="C87" s="722" t="s">
        <v>737</v>
      </c>
      <c r="D87" s="305" t="str">
        <f ca="1">IF(ISERROR(OFFSET('HARGA SATUAN'!$D$6,MATCH(RAB!C87,'HARGA SATUAN'!$C$7:$C$1495,0),0)),"",OFFSET('HARGA SATUAN'!$D$6,MATCH(RAB!C87,'HARGA SATUAN'!$C$7:$C$1495,0),0))</f>
        <v>JASA</v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456">
        <f>F83*1</f>
        <v>7</v>
      </c>
      <c r="G87" s="307">
        <f ca="1">IF(ISERROR(OFFSET('HARGA SATUAN'!$I$6,MATCH(RAB!C87,'HARGA SATUAN'!$C$7:$C$1495,0),0)),0,OFFSET('HARGA SATUAN'!$I$6,MATCH(RAB!C87,'HARGA SATUAN'!$C$7:$C$1495,0),0))</f>
        <v>16200</v>
      </c>
      <c r="H87" s="308">
        <f t="shared" ca="1" si="13"/>
        <v>0</v>
      </c>
      <c r="I87" s="308">
        <f t="shared" ca="1" si="14"/>
        <v>0</v>
      </c>
      <c r="J87" s="308">
        <f t="shared" ca="1" si="15"/>
        <v>113400</v>
      </c>
      <c r="K87" s="309">
        <f t="shared" ca="1" si="16"/>
        <v>113400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454"/>
      <c r="C88" s="455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56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13"/>
        <v>0</v>
      </c>
      <c r="I88" s="308">
        <f t="shared" ca="1" si="14"/>
        <v>0</v>
      </c>
      <c r="J88" s="308">
        <f t="shared" ca="1" si="15"/>
        <v>0</v>
      </c>
      <c r="K88" s="309">
        <f t="shared" ca="1" si="16"/>
        <v>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721" t="s">
        <v>1035</v>
      </c>
      <c r="C89" s="722" t="s">
        <v>1636</v>
      </c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>Unit</v>
      </c>
      <c r="F89" s="456">
        <v>2</v>
      </c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13"/>
        <v>0</v>
      </c>
      <c r="I89" s="308">
        <f t="shared" ca="1" si="14"/>
        <v>0</v>
      </c>
      <c r="J89" s="308">
        <f t="shared" ca="1" si="15"/>
        <v>0</v>
      </c>
      <c r="K89" s="309">
        <f t="shared" ca="1" si="16"/>
        <v>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721">
        <v>1</v>
      </c>
      <c r="C90" s="722" t="s">
        <v>30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Bh</v>
      </c>
      <c r="F90" s="456">
        <f>F89*1</f>
        <v>2</v>
      </c>
      <c r="G90" s="307">
        <f ca="1">IF(ISERROR(OFFSET('HARGA SATUAN'!$I$6,MATCH(RAB!C90,'HARGA SATUAN'!$C$7:$C$1495,0),0)),0,OFFSET('HARGA SATUAN'!$I$6,MATCH(RAB!C90,'HARGA SATUAN'!$C$7:$C$1495,0),0))</f>
        <v>47459</v>
      </c>
      <c r="H90" s="308">
        <f t="shared" ca="1" si="13"/>
        <v>0</v>
      </c>
      <c r="I90" s="308">
        <f t="shared" ca="1" si="14"/>
        <v>94918</v>
      </c>
      <c r="J90" s="308">
        <f t="shared" ca="1" si="15"/>
        <v>0</v>
      </c>
      <c r="K90" s="309">
        <f t="shared" ca="1" si="16"/>
        <v>94918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721">
        <v>2</v>
      </c>
      <c r="C91" s="722" t="s">
        <v>32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Mtr</v>
      </c>
      <c r="F91" s="456">
        <f>F89*1</f>
        <v>2</v>
      </c>
      <c r="G91" s="307">
        <f ca="1">IF(ISERROR(OFFSET('HARGA SATUAN'!$I$6,MATCH(RAB!C91,'HARGA SATUAN'!$C$7:$C$1495,0),0)),0,OFFSET('HARGA SATUAN'!$I$6,MATCH(RAB!C91,'HARGA SATUAN'!$C$7:$C$1495,0),0))</f>
        <v>30000</v>
      </c>
      <c r="H91" s="308">
        <f t="shared" ca="1" si="13"/>
        <v>0</v>
      </c>
      <c r="I91" s="308">
        <f t="shared" ca="1" si="14"/>
        <v>60000</v>
      </c>
      <c r="J91" s="308">
        <f t="shared" ca="1" si="15"/>
        <v>0</v>
      </c>
      <c r="K91" s="309">
        <f t="shared" ca="1" si="16"/>
        <v>60000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721">
        <v>3</v>
      </c>
      <c r="C92" s="722" t="s">
        <v>33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56">
        <f>F89*1</f>
        <v>2</v>
      </c>
      <c r="G92" s="307">
        <f ca="1">IF(ISERROR(OFFSET('HARGA SATUAN'!$I$6,MATCH(RAB!C92,'HARGA SATUAN'!$C$7:$C$1495,0),0)),0,OFFSET('HARGA SATUAN'!$I$6,MATCH(RAB!C92,'HARGA SATUAN'!$C$7:$C$1495,0),0))</f>
        <v>9500</v>
      </c>
      <c r="H92" s="308">
        <f t="shared" ca="1" si="13"/>
        <v>0</v>
      </c>
      <c r="I92" s="308">
        <f t="shared" ca="1" si="14"/>
        <v>19000</v>
      </c>
      <c r="J92" s="308">
        <f t="shared" ca="1" si="15"/>
        <v>0</v>
      </c>
      <c r="K92" s="309">
        <f t="shared" ca="1" si="16"/>
        <v>19000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721">
        <v>4</v>
      </c>
      <c r="C93" s="722" t="s">
        <v>738</v>
      </c>
      <c r="D93" s="305" t="str">
        <f ca="1">IF(ISERROR(OFFSET('HARGA SATUAN'!$D$6,MATCH(RAB!C93,'HARGA SATUAN'!$C$7:$C$1495,0),0)),"",OFFSET('HARGA SATUAN'!$D$6,MATCH(RAB!C93,'HARGA SATUAN'!$C$7:$C$1495,0),0))</f>
        <v>JASA</v>
      </c>
      <c r="E93" s="306" t="str">
        <f ca="1">IF(B93="+","Unit",IF(ISERROR(OFFSET('HARGA SATUAN'!$E$6,MATCH(RAB!C93,'HARGA SATUAN'!$C$7:$C$1495,0),0)),"",OFFSET('HARGA SATUAN'!$E$6,MATCH(RAB!C93,'HARGA SATUAN'!$C$7:$C$1495,0),0)))</f>
        <v>Unit</v>
      </c>
      <c r="F93" s="456">
        <f>F89*1</f>
        <v>2</v>
      </c>
      <c r="G93" s="307">
        <f ca="1">IF(ISERROR(OFFSET('HARGA SATUAN'!$I$6,MATCH(RAB!C93,'HARGA SATUAN'!$C$7:$C$1495,0),0)),0,OFFSET('HARGA SATUAN'!$I$6,MATCH(RAB!C93,'HARGA SATUAN'!$C$7:$C$1495,0),0))</f>
        <v>21200</v>
      </c>
      <c r="H93" s="308">
        <f t="shared" ca="1" si="13"/>
        <v>0</v>
      </c>
      <c r="I93" s="308">
        <f t="shared" ca="1" si="14"/>
        <v>0</v>
      </c>
      <c r="J93" s="308">
        <f t="shared" ca="1" si="15"/>
        <v>42400</v>
      </c>
      <c r="K93" s="309">
        <f t="shared" ca="1" si="16"/>
        <v>42400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54"/>
      <c r="C94" s="455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56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13"/>
        <v>0</v>
      </c>
      <c r="I94" s="308">
        <f t="shared" ca="1" si="14"/>
        <v>0</v>
      </c>
      <c r="J94" s="308">
        <f t="shared" ca="1" si="15"/>
        <v>0</v>
      </c>
      <c r="K94" s="309">
        <f t="shared" ca="1" si="16"/>
        <v>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721" t="s">
        <v>1035</v>
      </c>
      <c r="C95" s="722" t="s">
        <v>1637</v>
      </c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>Unit</v>
      </c>
      <c r="F95" s="456">
        <v>2</v>
      </c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13"/>
        <v>0</v>
      </c>
      <c r="I95" s="308">
        <f t="shared" ca="1" si="14"/>
        <v>0</v>
      </c>
      <c r="J95" s="308">
        <f t="shared" ca="1" si="15"/>
        <v>0</v>
      </c>
      <c r="K95" s="309">
        <f t="shared" ca="1" si="16"/>
        <v>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721">
        <v>1</v>
      </c>
      <c r="C96" s="722" t="s">
        <v>28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Bh</v>
      </c>
      <c r="F96" s="456">
        <f>F95*1</f>
        <v>2</v>
      </c>
      <c r="G96" s="307">
        <f ca="1">IF(ISERROR(OFFSET('HARGA SATUAN'!$I$6,MATCH(RAB!C96,'HARGA SATUAN'!$C$7:$C$1495,0),0)),0,OFFSET('HARGA SATUAN'!$I$6,MATCH(RAB!C96,'HARGA SATUAN'!$C$7:$C$1495,0),0))</f>
        <v>26500</v>
      </c>
      <c r="H96" s="308">
        <f t="shared" ca="1" si="13"/>
        <v>0</v>
      </c>
      <c r="I96" s="308">
        <f t="shared" ca="1" si="14"/>
        <v>53000</v>
      </c>
      <c r="J96" s="308">
        <f t="shared" ca="1" si="15"/>
        <v>0</v>
      </c>
      <c r="K96" s="309">
        <f t="shared" ca="1" si="16"/>
        <v>53000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721">
        <v>2</v>
      </c>
      <c r="C97" s="722" t="s">
        <v>203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Bh</v>
      </c>
      <c r="F97" s="456">
        <f>F95*1</f>
        <v>2</v>
      </c>
      <c r="G97" s="307">
        <f ca="1">IF(ISERROR(OFFSET('HARGA SATUAN'!$I$6,MATCH(RAB!C97,'HARGA SATUAN'!$C$7:$C$1495,0),0)),0,OFFSET('HARGA SATUAN'!$I$6,MATCH(RAB!C97,'HARGA SATUAN'!$C$7:$C$1495,0),0))</f>
        <v>12500</v>
      </c>
      <c r="H97" s="308">
        <f t="shared" ca="1" si="13"/>
        <v>0</v>
      </c>
      <c r="I97" s="308">
        <f t="shared" ca="1" si="14"/>
        <v>25000</v>
      </c>
      <c r="J97" s="308">
        <f t="shared" ca="1" si="15"/>
        <v>0</v>
      </c>
      <c r="K97" s="309">
        <f t="shared" ca="1" si="16"/>
        <v>25000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721">
        <v>3</v>
      </c>
      <c r="C98" s="722" t="s">
        <v>206</v>
      </c>
      <c r="D98" s="305" t="str">
        <f ca="1">IF(ISERROR(OFFSET('HARGA SATUAN'!$D$6,MATCH(RAB!C98,'HARGA SATUAN'!$C$7:$C$1495,0),0)),"",OFFSET('HARGA SATUAN'!$D$6,MATCH(RAB!C98,'HARGA SATUAN'!$C$7:$C$1495,0),0))</f>
        <v>HDW</v>
      </c>
      <c r="E98" s="306" t="str">
        <f ca="1">IF(B98="+","Unit",IF(ISERROR(OFFSET('HARGA SATUAN'!$E$6,MATCH(RAB!C98,'HARGA SATUAN'!$C$7:$C$1495,0),0)),"",OFFSET('HARGA SATUAN'!$E$6,MATCH(RAB!C98,'HARGA SATUAN'!$C$7:$C$1495,0),0)))</f>
        <v>Mtr</v>
      </c>
      <c r="F98" s="456">
        <f>F95*12</f>
        <v>24</v>
      </c>
      <c r="G98" s="307">
        <f ca="1">IF(ISERROR(OFFSET('HARGA SATUAN'!$I$6,MATCH(RAB!C98,'HARGA SATUAN'!$C$7:$C$1495,0),0)),0,OFFSET('HARGA SATUAN'!$I$6,MATCH(RAB!C98,'HARGA SATUAN'!$C$7:$C$1495,0),0))</f>
        <v>39204</v>
      </c>
      <c r="H98" s="308">
        <f t="shared" ca="1" si="13"/>
        <v>0</v>
      </c>
      <c r="I98" s="308">
        <f t="shared" ca="1" si="14"/>
        <v>940896</v>
      </c>
      <c r="J98" s="308">
        <f t="shared" ca="1" si="15"/>
        <v>0</v>
      </c>
      <c r="K98" s="309">
        <f t="shared" ca="1" si="16"/>
        <v>940896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721">
        <v>4</v>
      </c>
      <c r="C99" s="722" t="s">
        <v>287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456">
        <f>F95*2</f>
        <v>4</v>
      </c>
      <c r="G99" s="307">
        <f ca="1">IF(ISERROR(OFFSET('HARGA SATUAN'!$I$6,MATCH(RAB!C99,'HARGA SATUAN'!$C$7:$C$1495,0),0)),0,OFFSET('HARGA SATUAN'!$I$6,MATCH(RAB!C99,'HARGA SATUAN'!$C$7:$C$1495,0),0))</f>
        <v>40000</v>
      </c>
      <c r="H99" s="308">
        <f t="shared" ca="1" si="13"/>
        <v>0</v>
      </c>
      <c r="I99" s="308">
        <f t="shared" ca="1" si="14"/>
        <v>160000</v>
      </c>
      <c r="J99" s="308">
        <f t="shared" ca="1" si="15"/>
        <v>0</v>
      </c>
      <c r="K99" s="309">
        <f t="shared" ca="1" si="16"/>
        <v>160000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721">
        <v>5</v>
      </c>
      <c r="C100" s="722" t="s">
        <v>26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456">
        <f>F95*1</f>
        <v>2</v>
      </c>
      <c r="G100" s="307">
        <f ca="1">IF(ISERROR(OFFSET('HARGA SATUAN'!$I$6,MATCH(RAB!C100,'HARGA SATUAN'!$C$7:$C$1495,0),0)),0,OFFSET('HARGA SATUAN'!$I$6,MATCH(RAB!C100,'HARGA SATUAN'!$C$7:$C$1495,0),0))</f>
        <v>2500</v>
      </c>
      <c r="H100" s="308">
        <f t="shared" ca="1" si="13"/>
        <v>0</v>
      </c>
      <c r="I100" s="308">
        <f t="shared" ca="1" si="14"/>
        <v>5000</v>
      </c>
      <c r="J100" s="308">
        <f t="shared" ca="1" si="15"/>
        <v>0</v>
      </c>
      <c r="K100" s="309">
        <f t="shared" ca="1" si="16"/>
        <v>5000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721">
        <v>6</v>
      </c>
      <c r="C101" s="722" t="s">
        <v>760</v>
      </c>
      <c r="D101" s="305" t="str">
        <f ca="1">IF(ISERROR(OFFSET('HARGA SATUAN'!$D$6,MATCH(RAB!C101,'HARGA SATUAN'!$C$7:$C$1495,0),0)),"",OFFSET('HARGA SATUAN'!$D$6,MATCH(RAB!C101,'HARGA SATUAN'!$C$7:$C$1495,0),0))</f>
        <v>JASA</v>
      </c>
      <c r="E101" s="306" t="str">
        <f ca="1">IF(B101="+","Unit",IF(ISERROR(OFFSET('HARGA SATUAN'!$E$6,MATCH(RAB!C101,'HARGA SATUAN'!$C$7:$C$1495,0),0)),"",OFFSET('HARGA SATUAN'!$E$6,MATCH(RAB!C101,'HARGA SATUAN'!$C$7:$C$1495,0),0)))</f>
        <v>Unit</v>
      </c>
      <c r="F101" s="456">
        <f>F95*1</f>
        <v>2</v>
      </c>
      <c r="G101" s="307">
        <f ca="1">IF(ISERROR(OFFSET('HARGA SATUAN'!$I$6,MATCH(RAB!C101,'HARGA SATUAN'!$C$7:$C$1495,0),0)),0,OFFSET('HARGA SATUAN'!$I$6,MATCH(RAB!C101,'HARGA SATUAN'!$C$7:$C$1495,0),0))</f>
        <v>36600</v>
      </c>
      <c r="H101" s="308">
        <f t="shared" ca="1" si="13"/>
        <v>0</v>
      </c>
      <c r="I101" s="308">
        <f t="shared" ca="1" si="14"/>
        <v>0</v>
      </c>
      <c r="J101" s="308">
        <f t="shared" ca="1" si="15"/>
        <v>73200</v>
      </c>
      <c r="K101" s="309">
        <f t="shared" ca="1" si="16"/>
        <v>73200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454"/>
      <c r="C102" s="455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56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13"/>
        <v>0</v>
      </c>
      <c r="I102" s="308">
        <f t="shared" ca="1" si="14"/>
        <v>0</v>
      </c>
      <c r="J102" s="308">
        <f t="shared" ca="1" si="15"/>
        <v>0</v>
      </c>
      <c r="K102" s="309">
        <f t="shared" ca="1" si="16"/>
        <v>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721" t="s">
        <v>1035</v>
      </c>
      <c r="C103" s="722" t="s">
        <v>1638</v>
      </c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>Unit</v>
      </c>
      <c r="F103" s="456">
        <v>2</v>
      </c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13"/>
        <v>0</v>
      </c>
      <c r="I103" s="308">
        <f t="shared" ca="1" si="14"/>
        <v>0</v>
      </c>
      <c r="J103" s="308">
        <f t="shared" ca="1" si="15"/>
        <v>0</v>
      </c>
      <c r="K103" s="309">
        <f t="shared" ca="1" si="16"/>
        <v>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452">
        <v>1</v>
      </c>
      <c r="C104" s="453" t="s">
        <v>597</v>
      </c>
      <c r="D104" s="305" t="str">
        <f ca="1">IF(ISERROR(OFFSET('HARGA SATUAN'!$D$6,MATCH(RAB!C104,'HARGA SATUAN'!$C$7:$C$1495,0),0)),"",OFFSET('HARGA SATUAN'!$D$6,MATCH(RAB!C104,'HARGA SATUAN'!$C$7:$C$1495,0),0))</f>
        <v>HDW</v>
      </c>
      <c r="E104" s="306" t="str">
        <f ca="1">IF(B104="+","Unit",IF(ISERROR(OFFSET('HARGA SATUAN'!$E$6,MATCH(RAB!C104,'HARGA SATUAN'!$C$7:$C$1495,0),0)),"",OFFSET('HARGA SATUAN'!$E$6,MATCH(RAB!C104,'HARGA SATUAN'!$C$7:$C$1495,0),0)))</f>
        <v>Bh</v>
      </c>
      <c r="F104" s="456">
        <f>F103*1</f>
        <v>2</v>
      </c>
      <c r="G104" s="307">
        <f ca="1">IF(ISERROR(OFFSET('HARGA SATUAN'!$I$6,MATCH(RAB!C104,'HARGA SATUAN'!$C$7:$C$1495,0),0)),0,OFFSET('HARGA SATUAN'!$I$6,MATCH(RAB!C104,'HARGA SATUAN'!$C$7:$C$1495,0),0))</f>
        <v>120900</v>
      </c>
      <c r="H104" s="308">
        <f t="shared" ca="1" si="13"/>
        <v>0</v>
      </c>
      <c r="I104" s="308">
        <f t="shared" ca="1" si="14"/>
        <v>241800</v>
      </c>
      <c r="J104" s="308">
        <f t="shared" ca="1" si="15"/>
        <v>0</v>
      </c>
      <c r="K104" s="309">
        <f t="shared" ca="1" si="16"/>
        <v>241800</v>
      </c>
      <c r="L104" s="316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454">
        <v>2</v>
      </c>
      <c r="C105" s="455" t="s">
        <v>261</v>
      </c>
      <c r="D105" s="305" t="str">
        <f ca="1">IF(ISERROR(OFFSET('HARGA SATUAN'!$D$6,MATCH(RAB!C105,'HARGA SATUAN'!$C$7:$C$1495,0),0)),"",OFFSET('HARGA SATUAN'!$D$6,MATCH(RAB!C105,'HARGA SATUAN'!$C$7:$C$1495,0),0))</f>
        <v>HDW</v>
      </c>
      <c r="E105" s="306" t="str">
        <f ca="1">IF(B105="+","Unit",IF(ISERROR(OFFSET('HARGA SATUAN'!$E$6,MATCH(RAB!C105,'HARGA SATUAN'!$C$7:$C$1495,0),0)),"",OFFSET('HARGA SATUAN'!$E$6,MATCH(RAB!C105,'HARGA SATUAN'!$C$7:$C$1495,0),0)))</f>
        <v>Bh</v>
      </c>
      <c r="F105" s="456">
        <f>F103*1</f>
        <v>2</v>
      </c>
      <c r="G105" s="307">
        <f ca="1">IF(ISERROR(OFFSET('HARGA SATUAN'!$I$6,MATCH(RAB!C105,'HARGA SATUAN'!$C$7:$C$1495,0),0)),0,OFFSET('HARGA SATUAN'!$I$6,MATCH(RAB!C105,'HARGA SATUAN'!$C$7:$C$1495,0),0))</f>
        <v>135800</v>
      </c>
      <c r="H105" s="308">
        <f t="shared" ca="1" si="13"/>
        <v>0</v>
      </c>
      <c r="I105" s="308">
        <f t="shared" ca="1" si="14"/>
        <v>271600</v>
      </c>
      <c r="J105" s="308">
        <f t="shared" ca="1" si="15"/>
        <v>0</v>
      </c>
      <c r="K105" s="309">
        <f t="shared" ca="1" si="16"/>
        <v>271600</v>
      </c>
      <c r="L105" s="316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454">
        <v>3</v>
      </c>
      <c r="C106" s="724" t="s">
        <v>214</v>
      </c>
      <c r="D106" s="305" t="str">
        <f ca="1">IF(ISERROR(OFFSET('HARGA SATUAN'!$D$6,MATCH(RAB!C106,'HARGA SATUAN'!$C$7:$C$1495,0),0)),"",OFFSET('HARGA SATUAN'!$D$6,MATCH(RAB!C106,'HARGA SATUAN'!$C$7:$C$1495,0),0))</f>
        <v>HDW</v>
      </c>
      <c r="E106" s="306" t="str">
        <f ca="1">IF(B106="+","Unit",IF(ISERROR(OFFSET('HARGA SATUAN'!$E$6,MATCH(RAB!C106,'HARGA SATUAN'!$C$7:$C$1495,0),0)),"",OFFSET('HARGA SATUAN'!$E$6,MATCH(RAB!C106,'HARGA SATUAN'!$C$7:$C$1495,0),0)))</f>
        <v>Bh</v>
      </c>
      <c r="F106" s="723">
        <f>F103*1</f>
        <v>2</v>
      </c>
      <c r="G106" s="307">
        <f ca="1">IF(ISERROR(OFFSET('HARGA SATUAN'!$I$6,MATCH(RAB!C106,'HARGA SATUAN'!$C$7:$C$1495,0),0)),0,OFFSET('HARGA SATUAN'!$I$6,MATCH(RAB!C106,'HARGA SATUAN'!$C$7:$C$1495,0),0))</f>
        <v>4500</v>
      </c>
      <c r="H106" s="308">
        <f t="shared" ca="1" si="13"/>
        <v>0</v>
      </c>
      <c r="I106" s="308">
        <f t="shared" ca="1" si="14"/>
        <v>9000</v>
      </c>
      <c r="J106" s="308">
        <f t="shared" ca="1" si="15"/>
        <v>0</v>
      </c>
      <c r="K106" s="309">
        <f t="shared" ca="1" si="16"/>
        <v>9000</v>
      </c>
      <c r="L106" s="316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721">
        <v>4</v>
      </c>
      <c r="C107" s="722" t="s">
        <v>768</v>
      </c>
      <c r="D107" s="305" t="str">
        <f ca="1">IF(ISERROR(OFFSET('HARGA SATUAN'!$D$6,MATCH(RAB!C107,'HARGA SATUAN'!$C$7:$C$1495,0),0)),"",OFFSET('HARGA SATUAN'!$D$6,MATCH(RAB!C107,'HARGA SATUAN'!$C$7:$C$1495,0),0))</f>
        <v>JASA</v>
      </c>
      <c r="E107" s="306" t="str">
        <f ca="1">IF(B107="+","Unit",IF(ISERROR(OFFSET('HARGA SATUAN'!$E$6,MATCH(RAB!C107,'HARGA SATUAN'!$C$7:$C$1495,0),0)),"",OFFSET('HARGA SATUAN'!$E$6,MATCH(RAB!C107,'HARGA SATUAN'!$C$7:$C$1495,0),0)))</f>
        <v>Unit</v>
      </c>
      <c r="F107" s="456">
        <f>F103*1</f>
        <v>2</v>
      </c>
      <c r="G107" s="307">
        <f ca="1">IF(ISERROR(OFFSET('HARGA SATUAN'!$I$6,MATCH(RAB!C107,'HARGA SATUAN'!$C$7:$C$1495,0),0)),0,OFFSET('HARGA SATUAN'!$I$6,MATCH(RAB!C107,'HARGA SATUAN'!$C$7:$C$1495,0),0))</f>
        <v>55500</v>
      </c>
      <c r="H107" s="308">
        <f t="shared" ca="1" si="13"/>
        <v>0</v>
      </c>
      <c r="I107" s="308">
        <f t="shared" ca="1" si="14"/>
        <v>0</v>
      </c>
      <c r="J107" s="308">
        <f t="shared" ca="1" si="15"/>
        <v>111000</v>
      </c>
      <c r="K107" s="309">
        <f t="shared" ca="1" si="16"/>
        <v>111000</v>
      </c>
      <c r="L107" s="316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450"/>
      <c r="C108" s="451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58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ref="H108:H129" ca="1" si="17">IF(OR(D108="MDU",D108="MDU-KD"),(IF($O$3="RAB NON MDU","PLN KD",G108*F108)),0)</f>
        <v>0</v>
      </c>
      <c r="I108" s="308">
        <f t="shared" ref="I108:I129" ca="1" si="18">IF(D108="HDW",G108*F108,0)</f>
        <v>0</v>
      </c>
      <c r="J108" s="308">
        <f t="shared" ref="J108:J129" ca="1" si="19">IF(D108="JASA",G108*F108,0)</f>
        <v>0</v>
      </c>
      <c r="K108" s="309">
        <f t="shared" ref="K108:K129" ca="1" si="20">SUM(H108:J108)</f>
        <v>0</v>
      </c>
      <c r="L108" s="316"/>
      <c r="M108" s="289" t="e">
        <f>IF(AND(F108&gt;0,#REF!=0),"",IF(AND(ISBLANK(F108)=FALSE,K108=0),"WARNING",""))</f>
        <v>#REF!</v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idden="1">
      <c r="A109" s="283"/>
      <c r="B109" s="450"/>
      <c r="C109" s="451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58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17"/>
        <v>0</v>
      </c>
      <c r="I109" s="308">
        <f t="shared" ca="1" si="18"/>
        <v>0</v>
      </c>
      <c r="J109" s="308">
        <f t="shared" ca="1" si="19"/>
        <v>0</v>
      </c>
      <c r="K109" s="309">
        <f t="shared" ca="1" si="20"/>
        <v>0</v>
      </c>
      <c r="L109" s="316"/>
      <c r="M109" s="289" t="str">
        <f t="shared" ref="M109:M135" ca="1" si="21">IF(AND(F109&gt;0,F108=0),"",IF(AND(ISBLANK(F109)=FALSE,K109=0),"WARNING",""))</f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idden="1">
      <c r="A110" s="283"/>
      <c r="B110" s="450"/>
      <c r="C110" s="451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58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17"/>
        <v>0</v>
      </c>
      <c r="I110" s="308">
        <f t="shared" ca="1" si="18"/>
        <v>0</v>
      </c>
      <c r="J110" s="308">
        <f t="shared" ca="1" si="19"/>
        <v>0</v>
      </c>
      <c r="K110" s="309">
        <f t="shared" ca="1" si="20"/>
        <v>0</v>
      </c>
      <c r="L110" s="316"/>
      <c r="M110" s="289" t="str">
        <f t="shared" ca="1" si="21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idden="1">
      <c r="A111" s="283"/>
      <c r="B111" s="450"/>
      <c r="C111" s="451"/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58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17"/>
        <v>0</v>
      </c>
      <c r="I111" s="308">
        <f t="shared" ca="1" si="18"/>
        <v>0</v>
      </c>
      <c r="J111" s="308">
        <f t="shared" ca="1" si="19"/>
        <v>0</v>
      </c>
      <c r="K111" s="309">
        <f t="shared" ca="1" si="20"/>
        <v>0</v>
      </c>
      <c r="L111" s="316"/>
      <c r="M111" s="289" t="str">
        <f t="shared" ca="1" si="21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idden="1">
      <c r="A112" s="283"/>
      <c r="B112" s="450"/>
      <c r="C112" s="451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58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17"/>
        <v>0</v>
      </c>
      <c r="I112" s="308">
        <f t="shared" ca="1" si="18"/>
        <v>0</v>
      </c>
      <c r="J112" s="308">
        <f t="shared" ca="1" si="19"/>
        <v>0</v>
      </c>
      <c r="K112" s="309">
        <f t="shared" ca="1" si="20"/>
        <v>0</v>
      </c>
      <c r="L112" s="316"/>
      <c r="M112" s="289" t="str">
        <f t="shared" ca="1" si="21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idden="1">
      <c r="A113" s="283"/>
      <c r="B113" s="450"/>
      <c r="C113" s="451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58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17"/>
        <v>0</v>
      </c>
      <c r="I113" s="308">
        <f t="shared" ca="1" si="18"/>
        <v>0</v>
      </c>
      <c r="J113" s="308">
        <f t="shared" ca="1" si="19"/>
        <v>0</v>
      </c>
      <c r="K113" s="309">
        <f t="shared" ca="1" si="20"/>
        <v>0</v>
      </c>
      <c r="L113" s="316"/>
      <c r="M113" s="289" t="str">
        <f t="shared" ca="1" si="21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 hidden="1">
      <c r="A114" s="283"/>
      <c r="B114" s="450"/>
      <c r="C114" s="451"/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/>
      </c>
      <c r="F114" s="458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17"/>
        <v>0</v>
      </c>
      <c r="I114" s="308">
        <f t="shared" ca="1" si="18"/>
        <v>0</v>
      </c>
      <c r="J114" s="308">
        <f t="shared" ca="1" si="19"/>
        <v>0</v>
      </c>
      <c r="K114" s="309">
        <f t="shared" ca="1" si="20"/>
        <v>0</v>
      </c>
      <c r="L114" s="316"/>
      <c r="M114" s="289" t="str">
        <f t="shared" ca="1" si="21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 hidden="1">
      <c r="A115" s="283"/>
      <c r="B115" s="450"/>
      <c r="C115" s="451"/>
      <c r="D115" s="305" t="str">
        <f ca="1">IF(ISERROR(OFFSET('HARGA SATUAN'!$D$6,MATCH(RAB!C115,'HARGA SATUAN'!$C$7:$C$1495,0),0)),"",OFFSET('HARGA SATUAN'!$D$6,MATCH(RAB!C115,'HARGA SATUAN'!$C$7:$C$1495,0),0))</f>
        <v/>
      </c>
      <c r="E115" s="306" t="str">
        <f ca="1">IF(B115="+","Unit",IF(ISERROR(OFFSET('HARGA SATUAN'!$E$6,MATCH(RAB!C115,'HARGA SATUAN'!$C$7:$C$1495,0),0)),"",OFFSET('HARGA SATUAN'!$E$6,MATCH(RAB!C115,'HARGA SATUAN'!$C$7:$C$1495,0),0)))</f>
        <v/>
      </c>
      <c r="F115" s="458"/>
      <c r="G115" s="307">
        <f ca="1">IF(ISERROR(OFFSET('HARGA SATUAN'!$I$6,MATCH(RAB!C115,'HARGA SATUAN'!$C$7:$C$1495,0),0)),0,OFFSET('HARGA SATUAN'!$I$6,MATCH(RAB!C115,'HARGA SATUAN'!$C$7:$C$1495,0),0))</f>
        <v>0</v>
      </c>
      <c r="H115" s="308">
        <f t="shared" ca="1" si="17"/>
        <v>0</v>
      </c>
      <c r="I115" s="308">
        <f t="shared" ca="1" si="18"/>
        <v>0</v>
      </c>
      <c r="J115" s="308">
        <f t="shared" ca="1" si="19"/>
        <v>0</v>
      </c>
      <c r="K115" s="309">
        <f t="shared" ca="1" si="20"/>
        <v>0</v>
      </c>
      <c r="L115" s="316"/>
      <c r="M115" s="289" t="str">
        <f t="shared" ca="1" si="21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 hidden="1">
      <c r="A116" s="283"/>
      <c r="B116" s="450"/>
      <c r="C116" s="451"/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/>
      </c>
      <c r="F116" s="458"/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t="shared" ca="1" si="17"/>
        <v>0</v>
      </c>
      <c r="I116" s="308">
        <f t="shared" ca="1" si="18"/>
        <v>0</v>
      </c>
      <c r="J116" s="308">
        <f t="shared" ca="1" si="19"/>
        <v>0</v>
      </c>
      <c r="K116" s="309">
        <f t="shared" ca="1" si="20"/>
        <v>0</v>
      </c>
      <c r="L116" s="316"/>
      <c r="M116" s="289" t="str">
        <f t="shared" ca="1" si="21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 hidden="1">
      <c r="A117" s="283"/>
      <c r="B117" s="450"/>
      <c r="C117" s="451"/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/>
      </c>
      <c r="F117" s="458"/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17"/>
        <v>0</v>
      </c>
      <c r="I117" s="308">
        <f t="shared" ca="1" si="18"/>
        <v>0</v>
      </c>
      <c r="J117" s="308">
        <f t="shared" ca="1" si="19"/>
        <v>0</v>
      </c>
      <c r="K117" s="309">
        <f t="shared" ca="1" si="20"/>
        <v>0</v>
      </c>
      <c r="L117" s="316"/>
      <c r="M117" s="289" t="str">
        <f t="shared" ca="1" si="21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 hidden="1">
      <c r="A118" s="283"/>
      <c r="B118" s="450"/>
      <c r="C118" s="451"/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/>
      </c>
      <c r="F118" s="458"/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ca="1" si="17"/>
        <v>0</v>
      </c>
      <c r="I118" s="308">
        <f t="shared" ca="1" si="18"/>
        <v>0</v>
      </c>
      <c r="J118" s="308">
        <f t="shared" ca="1" si="19"/>
        <v>0</v>
      </c>
      <c r="K118" s="309">
        <f t="shared" ca="1" si="20"/>
        <v>0</v>
      </c>
      <c r="L118" s="316"/>
      <c r="M118" s="289" t="str">
        <f t="shared" ca="1" si="21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 hidden="1">
      <c r="A119" s="283"/>
      <c r="B119" s="450"/>
      <c r="C119" s="451"/>
      <c r="D119" s="305" t="str">
        <f ca="1">IF(ISERROR(OFFSET('HARGA SATUAN'!$D$6,MATCH(RAB!C119,'HARGA SATUAN'!$C$7:$C$1495,0),0)),"",OFFSET('HARGA SATUAN'!$D$6,MATCH(RAB!C119,'HARGA SATUAN'!$C$7:$C$1495,0),0))</f>
        <v/>
      </c>
      <c r="E119" s="306" t="str">
        <f ca="1">IF(B119="+","Unit",IF(ISERROR(OFFSET('HARGA SATUAN'!$E$6,MATCH(RAB!C119,'HARGA SATUAN'!$C$7:$C$1495,0),0)),"",OFFSET('HARGA SATUAN'!$E$6,MATCH(RAB!C119,'HARGA SATUAN'!$C$7:$C$1495,0),0)))</f>
        <v/>
      </c>
      <c r="F119" s="458"/>
      <c r="G119" s="307">
        <f ca="1">IF(ISERROR(OFFSET('HARGA SATUAN'!$I$6,MATCH(RAB!C119,'HARGA SATUAN'!$C$7:$C$1495,0),0)),0,OFFSET('HARGA SATUAN'!$I$6,MATCH(RAB!C119,'HARGA SATUAN'!$C$7:$C$1495,0),0))</f>
        <v>0</v>
      </c>
      <c r="H119" s="308">
        <f t="shared" ca="1" si="17"/>
        <v>0</v>
      </c>
      <c r="I119" s="308">
        <f t="shared" ca="1" si="18"/>
        <v>0</v>
      </c>
      <c r="J119" s="308">
        <f t="shared" ca="1" si="19"/>
        <v>0</v>
      </c>
      <c r="K119" s="309">
        <f t="shared" ca="1" si="20"/>
        <v>0</v>
      </c>
      <c r="L119" s="316"/>
      <c r="M119" s="289" t="str">
        <f t="shared" ca="1" si="21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 hidden="1">
      <c r="A120" s="283"/>
      <c r="B120" s="450"/>
      <c r="C120" s="451"/>
      <c r="D120" s="305" t="str">
        <f ca="1">IF(ISERROR(OFFSET('HARGA SATUAN'!$D$6,MATCH(RAB!C120,'HARGA SATUAN'!$C$7:$C$1495,0),0)),"",OFFSET('HARGA SATUAN'!$D$6,MATCH(RAB!C120,'HARGA SATUAN'!$C$7:$C$1495,0),0))</f>
        <v/>
      </c>
      <c r="E120" s="306" t="str">
        <f ca="1">IF(B120="+","Unit",IF(ISERROR(OFFSET('HARGA SATUAN'!$E$6,MATCH(RAB!C120,'HARGA SATUAN'!$C$7:$C$1495,0),0)),"",OFFSET('HARGA SATUAN'!$E$6,MATCH(RAB!C120,'HARGA SATUAN'!$C$7:$C$1495,0),0)))</f>
        <v/>
      </c>
      <c r="F120" s="458"/>
      <c r="G120" s="307">
        <f ca="1">IF(ISERROR(OFFSET('HARGA SATUAN'!$I$6,MATCH(RAB!C120,'HARGA SATUAN'!$C$7:$C$1495,0),0)),0,OFFSET('HARGA SATUAN'!$I$6,MATCH(RAB!C120,'HARGA SATUAN'!$C$7:$C$1495,0),0))</f>
        <v>0</v>
      </c>
      <c r="H120" s="308">
        <f t="shared" ca="1" si="17"/>
        <v>0</v>
      </c>
      <c r="I120" s="308">
        <f t="shared" ca="1" si="18"/>
        <v>0</v>
      </c>
      <c r="J120" s="308">
        <f t="shared" ca="1" si="19"/>
        <v>0</v>
      </c>
      <c r="K120" s="309">
        <f t="shared" ca="1" si="20"/>
        <v>0</v>
      </c>
      <c r="L120" s="316"/>
      <c r="M120" s="289" t="str">
        <f t="shared" ca="1" si="21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 hidden="1">
      <c r="A121" s="283"/>
      <c r="B121" s="450"/>
      <c r="C121" s="451"/>
      <c r="D121" s="305" t="str">
        <f ca="1">IF(ISERROR(OFFSET('HARGA SATUAN'!$D$6,MATCH(RAB!C121,'HARGA SATUAN'!$C$7:$C$1495,0),0)),"",OFFSET('HARGA SATUAN'!$D$6,MATCH(RAB!C121,'HARGA SATUAN'!$C$7:$C$1495,0),0))</f>
        <v/>
      </c>
      <c r="E121" s="306" t="str">
        <f ca="1">IF(B121="+","Unit",IF(ISERROR(OFFSET('HARGA SATUAN'!$E$6,MATCH(RAB!C121,'HARGA SATUAN'!$C$7:$C$1495,0),0)),"",OFFSET('HARGA SATUAN'!$E$6,MATCH(RAB!C121,'HARGA SATUAN'!$C$7:$C$1495,0),0)))</f>
        <v/>
      </c>
      <c r="F121" s="458"/>
      <c r="G121" s="307">
        <f ca="1">IF(ISERROR(OFFSET('HARGA SATUAN'!$I$6,MATCH(RAB!C121,'HARGA SATUAN'!$C$7:$C$1495,0),0)),0,OFFSET('HARGA SATUAN'!$I$6,MATCH(RAB!C121,'HARGA SATUAN'!$C$7:$C$1495,0),0))</f>
        <v>0</v>
      </c>
      <c r="H121" s="308">
        <f t="shared" ca="1" si="17"/>
        <v>0</v>
      </c>
      <c r="I121" s="308">
        <f t="shared" ca="1" si="18"/>
        <v>0</v>
      </c>
      <c r="J121" s="308">
        <f t="shared" ca="1" si="19"/>
        <v>0</v>
      </c>
      <c r="K121" s="309">
        <f t="shared" ca="1" si="20"/>
        <v>0</v>
      </c>
      <c r="L121" s="316"/>
      <c r="M121" s="289" t="str">
        <f t="shared" ca="1" si="21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 hidden="1">
      <c r="A122" s="283"/>
      <c r="B122" s="450"/>
      <c r="C122" s="451"/>
      <c r="D122" s="305" t="str">
        <f ca="1">IF(ISERROR(OFFSET('HARGA SATUAN'!$D$6,MATCH(RAB!C122,'HARGA SATUAN'!$C$7:$C$1495,0),0)),"",OFFSET('HARGA SATUAN'!$D$6,MATCH(RAB!C122,'HARGA SATUAN'!$C$7:$C$1495,0),0))</f>
        <v/>
      </c>
      <c r="E122" s="306" t="str">
        <f ca="1">IF(B122="+","Unit",IF(ISERROR(OFFSET('HARGA SATUAN'!$E$6,MATCH(RAB!C122,'HARGA SATUAN'!$C$7:$C$1495,0),0)),"",OFFSET('HARGA SATUAN'!$E$6,MATCH(RAB!C122,'HARGA SATUAN'!$C$7:$C$1495,0),0)))</f>
        <v/>
      </c>
      <c r="F122" s="458"/>
      <c r="G122" s="307">
        <f ca="1">IF(ISERROR(OFFSET('HARGA SATUAN'!$I$6,MATCH(RAB!C122,'HARGA SATUAN'!$C$7:$C$1495,0),0)),0,OFFSET('HARGA SATUAN'!$I$6,MATCH(RAB!C122,'HARGA SATUAN'!$C$7:$C$1495,0),0))</f>
        <v>0</v>
      </c>
      <c r="H122" s="308">
        <f t="shared" ca="1" si="17"/>
        <v>0</v>
      </c>
      <c r="I122" s="308">
        <f t="shared" ca="1" si="18"/>
        <v>0</v>
      </c>
      <c r="J122" s="308">
        <f t="shared" ca="1" si="19"/>
        <v>0</v>
      </c>
      <c r="K122" s="309">
        <f t="shared" ca="1" si="20"/>
        <v>0</v>
      </c>
      <c r="L122" s="316"/>
      <c r="M122" s="289" t="str">
        <f t="shared" ca="1" si="21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 hidden="1">
      <c r="A123" s="283"/>
      <c r="B123" s="450"/>
      <c r="C123" s="451"/>
      <c r="D123" s="305" t="str">
        <f ca="1">IF(ISERROR(OFFSET('HARGA SATUAN'!$D$6,MATCH(RAB!C123,'HARGA SATUAN'!$C$7:$C$1495,0),0)),"",OFFSET('HARGA SATUAN'!$D$6,MATCH(RAB!C123,'HARGA SATUAN'!$C$7:$C$1495,0),0))</f>
        <v/>
      </c>
      <c r="E123" s="306" t="str">
        <f ca="1">IF(B123="+","Unit",IF(ISERROR(OFFSET('HARGA SATUAN'!$E$6,MATCH(RAB!C123,'HARGA SATUAN'!$C$7:$C$1495,0),0)),"",OFFSET('HARGA SATUAN'!$E$6,MATCH(RAB!C123,'HARGA SATUAN'!$C$7:$C$1495,0),0)))</f>
        <v/>
      </c>
      <c r="F123" s="458"/>
      <c r="G123" s="307">
        <f ca="1">IF(ISERROR(OFFSET('HARGA SATUAN'!$I$6,MATCH(RAB!C123,'HARGA SATUAN'!$C$7:$C$1495,0),0)),0,OFFSET('HARGA SATUAN'!$I$6,MATCH(RAB!C123,'HARGA SATUAN'!$C$7:$C$1495,0),0))</f>
        <v>0</v>
      </c>
      <c r="H123" s="308">
        <f t="shared" ca="1" si="17"/>
        <v>0</v>
      </c>
      <c r="I123" s="308">
        <f t="shared" ca="1" si="18"/>
        <v>0</v>
      </c>
      <c r="J123" s="308">
        <f t="shared" ca="1" si="19"/>
        <v>0</v>
      </c>
      <c r="K123" s="309">
        <f t="shared" ca="1" si="20"/>
        <v>0</v>
      </c>
      <c r="L123" s="316"/>
      <c r="M123" s="289" t="str">
        <f t="shared" ca="1" si="21"/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 hidden="1">
      <c r="A124" s="283"/>
      <c r="B124" s="450"/>
      <c r="C124" s="451"/>
      <c r="D124" s="305" t="str">
        <f ca="1">IF(ISERROR(OFFSET('HARGA SATUAN'!$D$6,MATCH(RAB!C124,'HARGA SATUAN'!$C$7:$C$1495,0),0)),"",OFFSET('HARGA SATUAN'!$D$6,MATCH(RAB!C124,'HARGA SATUAN'!$C$7:$C$1495,0),0))</f>
        <v/>
      </c>
      <c r="E124" s="306" t="str">
        <f ca="1">IF(B124="+","Unit",IF(ISERROR(OFFSET('HARGA SATUAN'!$E$6,MATCH(RAB!C124,'HARGA SATUAN'!$C$7:$C$1495,0),0)),"",OFFSET('HARGA SATUAN'!$E$6,MATCH(RAB!C124,'HARGA SATUAN'!$C$7:$C$1495,0),0)))</f>
        <v/>
      </c>
      <c r="F124" s="458"/>
      <c r="G124" s="307">
        <f ca="1">IF(ISERROR(OFFSET('HARGA SATUAN'!$I$6,MATCH(RAB!C124,'HARGA SATUAN'!$C$7:$C$1495,0),0)),0,OFFSET('HARGA SATUAN'!$I$6,MATCH(RAB!C124,'HARGA SATUAN'!$C$7:$C$1495,0),0))</f>
        <v>0</v>
      </c>
      <c r="H124" s="308">
        <f t="shared" ca="1" si="17"/>
        <v>0</v>
      </c>
      <c r="I124" s="308">
        <f t="shared" ca="1" si="18"/>
        <v>0</v>
      </c>
      <c r="J124" s="308">
        <f t="shared" ca="1" si="19"/>
        <v>0</v>
      </c>
      <c r="K124" s="309">
        <f t="shared" ca="1" si="20"/>
        <v>0</v>
      </c>
      <c r="L124" s="316"/>
      <c r="M124" s="289" t="str">
        <f t="shared" ca="1" si="21"/>
        <v/>
      </c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 hidden="1">
      <c r="A125" s="283"/>
      <c r="B125" s="450"/>
      <c r="C125" s="451"/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458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17"/>
        <v>0</v>
      </c>
      <c r="I125" s="308">
        <f t="shared" ca="1" si="18"/>
        <v>0</v>
      </c>
      <c r="J125" s="308">
        <f t="shared" ca="1" si="19"/>
        <v>0</v>
      </c>
      <c r="K125" s="309">
        <f t="shared" ca="1" si="20"/>
        <v>0</v>
      </c>
      <c r="L125" s="316"/>
      <c r="M125" s="289" t="str">
        <f t="shared" ca="1" si="21"/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 hidden="1">
      <c r="A126" s="283"/>
      <c r="B126" s="450"/>
      <c r="C126" s="451"/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/>
      </c>
      <c r="F126" s="458"/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17"/>
        <v>0</v>
      </c>
      <c r="I126" s="308">
        <f t="shared" ca="1" si="18"/>
        <v>0</v>
      </c>
      <c r="J126" s="308">
        <f t="shared" ca="1" si="19"/>
        <v>0</v>
      </c>
      <c r="K126" s="309">
        <f t="shared" ca="1" si="20"/>
        <v>0</v>
      </c>
      <c r="L126" s="316"/>
      <c r="M126" s="289" t="str">
        <f t="shared" ca="1" si="21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 hidden="1">
      <c r="A127" s="283"/>
      <c r="B127" s="450"/>
      <c r="C127" s="451"/>
      <c r="D127" s="305" t="str">
        <f ca="1">IF(ISERROR(OFFSET('HARGA SATUAN'!$D$6,MATCH(RAB!C127,'HARGA SATUAN'!$C$7:$C$1495,0),0)),"",OFFSET('HARGA SATUAN'!$D$6,MATCH(RAB!C127,'HARGA SATUAN'!$C$7:$C$1495,0),0))</f>
        <v/>
      </c>
      <c r="E127" s="306" t="str">
        <f ca="1">IF(B127="+","Unit",IF(ISERROR(OFFSET('HARGA SATUAN'!$E$6,MATCH(RAB!C127,'HARGA SATUAN'!$C$7:$C$1495,0),0)),"",OFFSET('HARGA SATUAN'!$E$6,MATCH(RAB!C127,'HARGA SATUAN'!$C$7:$C$1495,0),0)))</f>
        <v/>
      </c>
      <c r="F127" s="458"/>
      <c r="G127" s="307">
        <f ca="1">IF(ISERROR(OFFSET('HARGA SATUAN'!$I$6,MATCH(RAB!C127,'HARGA SATUAN'!$C$7:$C$1495,0),0)),0,OFFSET('HARGA SATUAN'!$I$6,MATCH(RAB!C127,'HARGA SATUAN'!$C$7:$C$1495,0),0))</f>
        <v>0</v>
      </c>
      <c r="H127" s="308">
        <f t="shared" ca="1" si="17"/>
        <v>0</v>
      </c>
      <c r="I127" s="308">
        <f t="shared" ca="1" si="18"/>
        <v>0</v>
      </c>
      <c r="J127" s="308">
        <f t="shared" ca="1" si="19"/>
        <v>0</v>
      </c>
      <c r="K127" s="309">
        <f t="shared" ca="1" si="20"/>
        <v>0</v>
      </c>
      <c r="L127" s="316"/>
      <c r="M127" s="289" t="str">
        <f t="shared" ca="1" si="21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 hidden="1">
      <c r="A128" s="283"/>
      <c r="B128" s="450"/>
      <c r="C128" s="451"/>
      <c r="D128" s="305" t="str">
        <f ca="1">IF(ISERROR(OFFSET('HARGA SATUAN'!$D$6,MATCH(RAB!C128,'HARGA SATUAN'!$C$7:$C$1495,0),0)),"",OFFSET('HARGA SATUAN'!$D$6,MATCH(RAB!C128,'HARGA SATUAN'!$C$7:$C$1495,0),0))</f>
        <v/>
      </c>
      <c r="E128" s="306" t="str">
        <f ca="1">IF(B128="+","Unit",IF(ISERROR(OFFSET('HARGA SATUAN'!$E$6,MATCH(RAB!C128,'HARGA SATUAN'!$C$7:$C$1495,0),0)),"",OFFSET('HARGA SATUAN'!$E$6,MATCH(RAB!C128,'HARGA SATUAN'!$C$7:$C$1495,0),0)))</f>
        <v/>
      </c>
      <c r="F128" s="458"/>
      <c r="G128" s="307">
        <f ca="1">IF(ISERROR(OFFSET('HARGA SATUAN'!$I$6,MATCH(RAB!C128,'HARGA SATUAN'!$C$7:$C$1495,0),0)),0,OFFSET('HARGA SATUAN'!$I$6,MATCH(RAB!C128,'HARGA SATUAN'!$C$7:$C$1495,0),0))</f>
        <v>0</v>
      </c>
      <c r="H128" s="308">
        <f t="shared" ca="1" si="17"/>
        <v>0</v>
      </c>
      <c r="I128" s="308">
        <f t="shared" ca="1" si="18"/>
        <v>0</v>
      </c>
      <c r="J128" s="308">
        <f t="shared" ca="1" si="19"/>
        <v>0</v>
      </c>
      <c r="K128" s="309">
        <f t="shared" ca="1" si="20"/>
        <v>0</v>
      </c>
      <c r="L128" s="316"/>
      <c r="M128" s="289" t="str">
        <f t="shared" ca="1" si="21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 hidden="1">
      <c r="A129" s="283"/>
      <c r="B129" s="450"/>
      <c r="C129" s="451"/>
      <c r="D129" s="305" t="str">
        <f ca="1">IF(ISERROR(OFFSET('HARGA SATUAN'!$D$6,MATCH(RAB!C129,'HARGA SATUAN'!$C$7:$C$1495,0),0)),"",OFFSET('HARGA SATUAN'!$D$6,MATCH(RAB!C129,'HARGA SATUAN'!$C$7:$C$1495,0),0))</f>
        <v/>
      </c>
      <c r="E129" s="306" t="str">
        <f ca="1">IF(B129="+","Unit",IF(ISERROR(OFFSET('HARGA SATUAN'!$E$6,MATCH(RAB!C129,'HARGA SATUAN'!$C$7:$C$1495,0),0)),"",OFFSET('HARGA SATUAN'!$E$6,MATCH(RAB!C129,'HARGA SATUAN'!$C$7:$C$1495,0),0)))</f>
        <v/>
      </c>
      <c r="F129" s="458"/>
      <c r="G129" s="307">
        <f ca="1">IF(ISERROR(OFFSET('HARGA SATUAN'!$I$6,MATCH(RAB!C129,'HARGA SATUAN'!$C$7:$C$1495,0),0)),0,OFFSET('HARGA SATUAN'!$I$6,MATCH(RAB!C129,'HARGA SATUAN'!$C$7:$C$1495,0),0))</f>
        <v>0</v>
      </c>
      <c r="H129" s="308">
        <f t="shared" ca="1" si="17"/>
        <v>0</v>
      </c>
      <c r="I129" s="308">
        <f t="shared" ca="1" si="18"/>
        <v>0</v>
      </c>
      <c r="J129" s="308">
        <f t="shared" ca="1" si="19"/>
        <v>0</v>
      </c>
      <c r="K129" s="309">
        <f t="shared" ca="1" si="20"/>
        <v>0</v>
      </c>
      <c r="L129" s="316"/>
      <c r="M129" s="289" t="str">
        <f t="shared" ca="1" si="21"/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419" t="s">
        <v>1602</v>
      </c>
      <c r="C130" s="422" t="s">
        <v>1604</v>
      </c>
      <c r="D130" s="305" t="str">
        <f ca="1">IF(ISERROR(OFFSET('HARGA SATUAN'!$D$6,MATCH(RAB!C130,'HARGA SATUAN'!$C$7:$C$1495,0),0)),"",OFFSET('HARGA SATUAN'!$D$6,MATCH(RAB!C130,'HARGA SATUAN'!$C$7:$C$1495,0),0))</f>
        <v/>
      </c>
      <c r="E130" s="306" t="str">
        <f ca="1">IF(B130="+","Unit",IF(ISERROR(OFFSET('HARGA SATUAN'!$E$6,MATCH(RAB!C130,'HARGA SATUAN'!$C$7:$C$1495,0),0)),"",OFFSET('HARGA SATUAN'!$E$6,MATCH(RAB!C130,'HARGA SATUAN'!$C$7:$C$1495,0),0)))</f>
        <v/>
      </c>
      <c r="F130" s="459"/>
      <c r="G130" s="307">
        <f ca="1">IF(ISERROR(OFFSET('HARGA SATUAN'!$I$6,MATCH(RAB!C130,'HARGA SATUAN'!$C$7:$C$1495,0),0)),0,OFFSET('HARGA SATUAN'!$I$6,MATCH(RAB!C130,'HARGA SATUAN'!$C$7:$C$1495,0),0))</f>
        <v>0</v>
      </c>
      <c r="H130" s="308">
        <f ca="1">IF(OR(D130="MDU",D130="MDU-KD"),(IF($O$3="RAB NON MDU","PLN KD",G130*F130)),0)</f>
        <v>0</v>
      </c>
      <c r="I130" s="308">
        <f ca="1">IF(D130="HDW",G130*F130,0)</f>
        <v>0</v>
      </c>
      <c r="J130" s="308">
        <f ca="1">IF(D130="JASA",G130*F130,0)</f>
        <v>0</v>
      </c>
      <c r="K130" s="309">
        <f ca="1">SUM(H130:J130)</f>
        <v>0</v>
      </c>
      <c r="L130" s="316"/>
      <c r="M130" s="289" t="str">
        <f t="shared" ca="1" si="21"/>
        <v/>
      </c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318">
        <v>1</v>
      </c>
      <c r="C131" s="109" t="s">
        <v>65</v>
      </c>
      <c r="D131" s="305" t="str">
        <f ca="1">IF(ISERROR(OFFSET('HARGA SATUAN'!$D$6,MATCH(RAB!C131,'HARGA SATUAN'!$C$7:$C$1495,0),0)),"",OFFSET('HARGA SATUAN'!$D$6,MATCH(RAB!C131,'HARGA SATUAN'!$C$7:$C$1495,0),0))</f>
        <v>MDU-KD</v>
      </c>
      <c r="E131" s="306" t="str">
        <f ca="1">IF(B131="+","Unit",IF(ISERROR(OFFSET('HARGA SATUAN'!$E$6,MATCH(RAB!C131,'HARGA SATUAN'!$C$7:$C$1495,0),0)),"",OFFSET('HARGA SATUAN'!$E$6,MATCH(RAB!C131,'HARGA SATUAN'!$C$7:$C$1495,0),0)))</f>
        <v>Mtr</v>
      </c>
      <c r="F131" s="420">
        <v>720</v>
      </c>
      <c r="G131" s="307">
        <f ca="1">IF(ISERROR(OFFSET('HARGA SATUAN'!$I$6,MATCH(RAB!C131,'HARGA SATUAN'!$C$7:$C$1495,0),0)),0,OFFSET('HARGA SATUAN'!$I$6,MATCH(RAB!C131,'HARGA SATUAN'!$C$7:$C$1495,0),0))</f>
        <v>14200</v>
      </c>
      <c r="H131" s="308">
        <f t="shared" ref="H131:H133" ca="1" si="22">IF(OR(D131="MDU",D131="MDU-KD"),(IF($O$3="RAB NON MDU","PLN KD",G131*F131)),0)</f>
        <v>10224000</v>
      </c>
      <c r="I131" s="308">
        <f t="shared" ref="I131:I133" ca="1" si="23">IF(D131="HDW",G131*F131,0)</f>
        <v>0</v>
      </c>
      <c r="J131" s="308">
        <f t="shared" ref="J131:J133" ca="1" si="24">IF(D131="JASA",G131*F131,0)</f>
        <v>0</v>
      </c>
      <c r="K131" s="309">
        <f t="shared" ref="K131:K133" ca="1" si="25">SUM(H131:J131)</f>
        <v>10224000</v>
      </c>
      <c r="L131" s="316"/>
      <c r="M131" s="289" t="e">
        <f>IF(AND(F131&gt;0,#REF!=0),"",IF(AND(ISBLANK(F131)=FALSE,K131=0),"WARNING",""))</f>
        <v>#REF!</v>
      </c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318">
        <v>2</v>
      </c>
      <c r="C132" s="109" t="s">
        <v>307</v>
      </c>
      <c r="D132" s="305" t="str">
        <f ca="1">IF(ISERROR(OFFSET('HARGA SATUAN'!$D$6,MATCH(RAB!C132,'HARGA SATUAN'!$C$7:$C$1495,0),0)),"",OFFSET('HARGA SATUAN'!$D$6,MATCH(RAB!C132,'HARGA SATUAN'!$C$7:$C$1495,0),0))</f>
        <v>JASA</v>
      </c>
      <c r="E132" s="306" t="str">
        <f ca="1">IF(B132="+","Unit",IF(ISERROR(OFFSET('HARGA SATUAN'!$E$6,MATCH(RAB!C132,'HARGA SATUAN'!$C$7:$C$1495,0),0)),"",OFFSET('HARGA SATUAN'!$E$6,MATCH(RAB!C132,'HARGA SATUAN'!$C$7:$C$1495,0),0)))</f>
        <v>Per 50 m</v>
      </c>
      <c r="F132" s="420">
        <v>14.4</v>
      </c>
      <c r="G132" s="307">
        <f ca="1">IF(ISERROR(OFFSET('HARGA SATUAN'!$I$6,MATCH(RAB!C132,'HARGA SATUAN'!$C$7:$C$1495,0),0)),0,OFFSET('HARGA SATUAN'!$I$6,MATCH(RAB!C132,'HARGA SATUAN'!$C$7:$C$1495,0),0))</f>
        <v>222400</v>
      </c>
      <c r="H132" s="308">
        <f t="shared" ca="1" si="22"/>
        <v>0</v>
      </c>
      <c r="I132" s="308">
        <f t="shared" ca="1" si="23"/>
        <v>0</v>
      </c>
      <c r="J132" s="308">
        <f t="shared" ca="1" si="24"/>
        <v>3202560</v>
      </c>
      <c r="K132" s="309">
        <f t="shared" ca="1" si="25"/>
        <v>3202560</v>
      </c>
      <c r="L132" s="316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318">
        <v>3</v>
      </c>
      <c r="C133" s="109" t="s">
        <v>1401</v>
      </c>
      <c r="D133" s="305" t="str">
        <f ca="1">IF(ISERROR(OFFSET('HARGA SATUAN'!$D$6,MATCH(RAB!C133,'HARGA SATUAN'!$C$7:$C$1495,0),0)),"",OFFSET('HARGA SATUAN'!$D$6,MATCH(RAB!C133,'HARGA SATUAN'!$C$7:$C$1495,0),0))</f>
        <v>MDU-KD</v>
      </c>
      <c r="E133" s="306" t="str">
        <f ca="1">IF(B133="+","Unit",IF(ISERROR(OFFSET('HARGA SATUAN'!$E$6,MATCH(RAB!C133,'HARGA SATUAN'!$C$7:$C$1495,0),0)),"",OFFSET('HARGA SATUAN'!$E$6,MATCH(RAB!C133,'HARGA SATUAN'!$C$7:$C$1495,0),0)))</f>
        <v>Mtr</v>
      </c>
      <c r="F133" s="420">
        <v>50</v>
      </c>
      <c r="G133" s="307">
        <f ca="1">IF(ISERROR(OFFSET('HARGA SATUAN'!$I$6,MATCH(RAB!C133,'HARGA SATUAN'!$C$7:$C$1495,0),0)),0,OFFSET('HARGA SATUAN'!$I$6,MATCH(RAB!C133,'HARGA SATUAN'!$C$7:$C$1495,0),0))</f>
        <v>53300</v>
      </c>
      <c r="H133" s="308">
        <f t="shared" ca="1" si="22"/>
        <v>2665000</v>
      </c>
      <c r="I133" s="308">
        <f t="shared" ca="1" si="23"/>
        <v>0</v>
      </c>
      <c r="J133" s="308">
        <f t="shared" ca="1" si="24"/>
        <v>0</v>
      </c>
      <c r="K133" s="309">
        <f t="shared" ca="1" si="25"/>
        <v>2665000</v>
      </c>
      <c r="L133" s="316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318">
        <v>4</v>
      </c>
      <c r="C134" s="109" t="s">
        <v>347</v>
      </c>
      <c r="D134" s="305" t="str">
        <f ca="1">IF(ISERROR(OFFSET('HARGA SATUAN'!$D$6,MATCH(RAB!C134,'HARGA SATUAN'!$C$7:$C$1495,0),0)),"",OFFSET('HARGA SATUAN'!$D$6,MATCH(RAB!C134,'HARGA SATUAN'!$C$7:$C$1495,0),0))</f>
        <v>JASA</v>
      </c>
      <c r="E134" s="306" t="str">
        <f ca="1">IF(B134="+","Unit",IF(ISERROR(OFFSET('HARGA SATUAN'!$E$6,MATCH(RAB!C134,'HARGA SATUAN'!$C$7:$C$1495,0),0)),"",OFFSET('HARGA SATUAN'!$E$6,MATCH(RAB!C134,'HARGA SATUAN'!$C$7:$C$1495,0),0)))</f>
        <v>Per 50 m</v>
      </c>
      <c r="F134" s="420">
        <v>1</v>
      </c>
      <c r="G134" s="307">
        <f ca="1">IF(ISERROR(OFFSET('HARGA SATUAN'!$I$6,MATCH(RAB!C134,'HARGA SATUAN'!$C$7:$C$1495,0),0)),0,OFFSET('HARGA SATUAN'!$I$6,MATCH(RAB!C134,'HARGA SATUAN'!$C$7:$C$1495,0),0))</f>
        <v>179000</v>
      </c>
      <c r="H134" s="308">
        <f ca="1">IF(OR(D134="MDU",D134="MDU-KD"),(IF($O$3="RAB NON MDU","PLN KD",G134*F134)),0)</f>
        <v>0</v>
      </c>
      <c r="I134" s="308">
        <f ca="1">IF(D134="HDW",G134*F134,0)</f>
        <v>0</v>
      </c>
      <c r="J134" s="308">
        <f ca="1">IF(D134="JASA",G134*F134,0)</f>
        <v>179000</v>
      </c>
      <c r="K134" s="309">
        <f ca="1">SUM(H134:J134)</f>
        <v>179000</v>
      </c>
      <c r="L134" s="316"/>
      <c r="M134" s="289" t="e">
        <f>IF(AND(F134&gt;0,#REF!=0),"",IF(AND(ISBLANK(F134)=FALSE,K134=0),"WARNING",""))</f>
        <v>#REF!</v>
      </c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419" t="s">
        <v>1610</v>
      </c>
      <c r="C135" s="422" t="s">
        <v>1606</v>
      </c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IF(B135="+","Unit",IF(ISERROR(OFFSET('HARGA SATUAN'!$E$6,MATCH(RAB!C135,'HARGA SATUAN'!$C$7:$C$1495,0),0)),"",OFFSET('HARGA SATUAN'!$E$6,MATCH(RAB!C135,'HARGA SATUAN'!$C$7:$C$1495,0),0)))</f>
        <v/>
      </c>
      <c r="F135" s="460"/>
      <c r="G135" s="307">
        <f ca="1">IF(ISERROR(OFFSET('HARGA SATUAN'!$I$6,MATCH(RAB!C135,'HARGA SATUAN'!$C$7:$C$1495,0),0)),0,OFFSET('HARGA SATUAN'!$I$6,MATCH(RAB!C135,'HARGA SATUAN'!$C$7:$C$1495,0),0))</f>
        <v>0</v>
      </c>
      <c r="H135" s="308">
        <f t="shared" ref="H135:H151" ca="1" si="26">IF(OR(D135="MDU",D135="MDU-KD"),(IF($O$3="RAB NON MDU","PLN KD",G135*F135)),0)</f>
        <v>0</v>
      </c>
      <c r="I135" s="308">
        <f t="shared" ref="I135:I151" ca="1" si="27">IF(D135="HDW",G135*F135,0)</f>
        <v>0</v>
      </c>
      <c r="J135" s="308">
        <f t="shared" ref="J135:J151" ca="1" si="28">IF(D135="JASA",G135*F135,0)</f>
        <v>0</v>
      </c>
      <c r="K135" s="309">
        <f t="shared" ref="K135:K151" ca="1" si="29">SUM(H135:J135)</f>
        <v>0</v>
      </c>
      <c r="L135" s="316"/>
      <c r="M135" s="289" t="str">
        <f t="shared" ca="1" si="21"/>
        <v/>
      </c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516" t="s">
        <v>1035</v>
      </c>
      <c r="C136" s="517" t="s">
        <v>1631</v>
      </c>
      <c r="D136" s="305" t="str">
        <f ca="1">IF(ISERROR(OFFSET('HARGA SATUAN'!$D$6,MATCH(RAB!C136,'HARGA SATUAN'!$C$7:$C$1495,0),0)),"",OFFSET('HARGA SATUAN'!$D$6,MATCH(RAB!C136,'HARGA SATUAN'!$C$7:$C$1495,0),0))</f>
        <v/>
      </c>
      <c r="E136" s="306" t="str">
        <f ca="1">IF(B136="+","Unit",IF(ISERROR(OFFSET('HARGA SATUAN'!$E$6,MATCH(RAB!C136,'HARGA SATUAN'!$C$7:$C$1495,0),0)),"",OFFSET('HARGA SATUAN'!$E$6,MATCH(RAB!C136,'HARGA SATUAN'!$C$7:$C$1495,0),0)))</f>
        <v>Unit</v>
      </c>
      <c r="F136" s="515">
        <v>1</v>
      </c>
      <c r="G136" s="307">
        <f ca="1">IF(ISERROR(OFFSET('HARGA SATUAN'!$I$6,MATCH(RAB!C136,'HARGA SATUAN'!$C$7:$C$1495,0),0)),0,OFFSET('HARGA SATUAN'!$I$6,MATCH(RAB!C136,'HARGA SATUAN'!$C$7:$C$1495,0),0))</f>
        <v>0</v>
      </c>
      <c r="H136" s="308">
        <f t="shared" ca="1" si="26"/>
        <v>0</v>
      </c>
      <c r="I136" s="308">
        <f t="shared" ca="1" si="27"/>
        <v>0</v>
      </c>
      <c r="J136" s="308">
        <f t="shared" ca="1" si="28"/>
        <v>0</v>
      </c>
      <c r="K136" s="309">
        <f t="shared" ca="1" si="29"/>
        <v>0</v>
      </c>
      <c r="L136" s="316"/>
      <c r="M136" s="289"/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721">
        <v>1</v>
      </c>
      <c r="C137" s="109" t="s">
        <v>482</v>
      </c>
      <c r="D137" s="305" t="str">
        <f ca="1">IF(ISERROR(OFFSET('HARGA SATUAN'!$D$6,MATCH(RAB!C137,'HARGA SATUAN'!$C$7:$C$1495,0),0)),"",OFFSET('HARGA SATUAN'!$D$6,MATCH(RAB!C137,'HARGA SATUAN'!$C$7:$C$1495,0),0))</f>
        <v>MDU-KD</v>
      </c>
      <c r="E137" s="306" t="str">
        <f ca="1">IF(B137="+","Unit",IF(ISERROR(OFFSET('HARGA SATUAN'!$E$6,MATCH(RAB!C137,'HARGA SATUAN'!$C$7:$C$1495,0),0)),"",OFFSET('HARGA SATUAN'!$E$6,MATCH(RAB!C137,'HARGA SATUAN'!$C$7:$C$1495,0),0)))</f>
        <v>Bh</v>
      </c>
      <c r="F137" s="515">
        <f>F136*1</f>
        <v>1</v>
      </c>
      <c r="G137" s="307">
        <f ca="1">IF(ISERROR(OFFSET('HARGA SATUAN'!$I$6,MATCH(RAB!C137,'HARGA SATUAN'!$C$7:$C$1495,0),0)),0,OFFSET('HARGA SATUAN'!$I$6,MATCH(RAB!C137,'HARGA SATUAN'!$C$7:$C$1495,0),0))</f>
        <v>327600</v>
      </c>
      <c r="H137" s="308">
        <f t="shared" ca="1" si="26"/>
        <v>327600</v>
      </c>
      <c r="I137" s="308">
        <f t="shared" ca="1" si="27"/>
        <v>0</v>
      </c>
      <c r="J137" s="308">
        <f t="shared" ca="1" si="28"/>
        <v>0</v>
      </c>
      <c r="K137" s="309">
        <f t="shared" ca="1" si="29"/>
        <v>327600</v>
      </c>
      <c r="L137" s="316"/>
      <c r="M137" s="289"/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721">
        <v>2</v>
      </c>
      <c r="C138" s="727" t="s">
        <v>493</v>
      </c>
      <c r="D138" s="305" t="str">
        <f ca="1">IF(ISERROR(OFFSET('HARGA SATUAN'!$D$6,MATCH(RAB!C138,'HARGA SATUAN'!$C$7:$C$1495,0),0)),"",OFFSET('HARGA SATUAN'!$D$6,MATCH(RAB!C138,'HARGA SATUAN'!$C$7:$C$1495,0),0))</f>
        <v>MDU-KD</v>
      </c>
      <c r="E138" s="306" t="str">
        <f ca="1">IF(B138="+","Unit",IF(ISERROR(OFFSET('HARGA SATUAN'!$E$6,MATCH(RAB!C138,'HARGA SATUAN'!$C$7:$C$1495,0),0)),"",OFFSET('HARGA SATUAN'!$E$6,MATCH(RAB!C138,'HARGA SATUAN'!$C$7:$C$1495,0),0)))</f>
        <v>Bh</v>
      </c>
      <c r="F138" s="515">
        <f>F136*1</f>
        <v>1</v>
      </c>
      <c r="G138" s="307">
        <f ca="1">IF(ISERROR(OFFSET('HARGA SATUAN'!$I$6,MATCH(RAB!C138,'HARGA SATUAN'!$C$7:$C$1495,0),0)),0,OFFSET('HARGA SATUAN'!$I$6,MATCH(RAB!C138,'HARGA SATUAN'!$C$7:$C$1495,0),0))</f>
        <v>39000</v>
      </c>
      <c r="H138" s="308">
        <f t="shared" ca="1" si="26"/>
        <v>39000</v>
      </c>
      <c r="I138" s="308">
        <f t="shared" ca="1" si="27"/>
        <v>0</v>
      </c>
      <c r="J138" s="308">
        <f t="shared" ca="1" si="28"/>
        <v>0</v>
      </c>
      <c r="K138" s="309">
        <f t="shared" ca="1" si="29"/>
        <v>39000</v>
      </c>
      <c r="L138" s="316"/>
      <c r="M138" s="289"/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721">
        <v>3</v>
      </c>
      <c r="C139" s="727" t="s">
        <v>74</v>
      </c>
      <c r="D139" s="305" t="str">
        <f ca="1">IF(ISERROR(OFFSET('HARGA SATUAN'!$D$6,MATCH(RAB!C139,'HARGA SATUAN'!$C$7:$C$1495,0),0)),"",OFFSET('HARGA SATUAN'!$D$6,MATCH(RAB!C139,'HARGA SATUAN'!$C$7:$C$1495,0),0))</f>
        <v>MDU-KD</v>
      </c>
      <c r="E139" s="306" t="str">
        <f ca="1">IF(B139="+","Unit",IF(ISERROR(OFFSET('HARGA SATUAN'!$E$6,MATCH(RAB!C139,'HARGA SATUAN'!$C$7:$C$1495,0),0)),"",OFFSET('HARGA SATUAN'!$E$6,MATCH(RAB!C139,'HARGA SATUAN'!$C$7:$C$1495,0),0)))</f>
        <v>Mtr</v>
      </c>
      <c r="F139" s="515">
        <v>45</v>
      </c>
      <c r="G139" s="307">
        <f ca="1">IF(ISERROR(OFFSET('HARGA SATUAN'!$I$6,MATCH(RAB!C139,'HARGA SATUAN'!$C$7:$C$1495,0),0)),0,OFFSET('HARGA SATUAN'!$I$6,MATCH(RAB!C139,'HARGA SATUAN'!$C$7:$C$1495,0),0))</f>
        <v>6600</v>
      </c>
      <c r="H139" s="308">
        <f t="shared" ca="1" si="26"/>
        <v>297000</v>
      </c>
      <c r="I139" s="308">
        <f t="shared" ca="1" si="27"/>
        <v>0</v>
      </c>
      <c r="J139" s="308">
        <f t="shared" ca="1" si="28"/>
        <v>0</v>
      </c>
      <c r="K139" s="309">
        <f t="shared" ca="1" si="29"/>
        <v>297000</v>
      </c>
      <c r="L139" s="316"/>
      <c r="M139" s="289"/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721">
        <v>4</v>
      </c>
      <c r="C140" s="727" t="s">
        <v>798</v>
      </c>
      <c r="D140" s="305" t="str">
        <f ca="1">IF(ISERROR(OFFSET('HARGA SATUAN'!$D$6,MATCH(RAB!C140,'HARGA SATUAN'!$C$7:$C$1495,0),0)),"",OFFSET('HARGA SATUAN'!$D$6,MATCH(RAB!C140,'HARGA SATUAN'!$C$7:$C$1495,0),0))</f>
        <v>JASA</v>
      </c>
      <c r="E140" s="306" t="str">
        <f ca="1">IF(B140="+","Unit",IF(ISERROR(OFFSET('HARGA SATUAN'!$E$6,MATCH(RAB!C140,'HARGA SATUAN'!$C$7:$C$1495,0),0)),"",OFFSET('HARGA SATUAN'!$E$6,MATCH(RAB!C140,'HARGA SATUAN'!$C$7:$C$1495,0),0)))</f>
        <v>Unit</v>
      </c>
      <c r="F140" s="515">
        <f>F136*1</f>
        <v>1</v>
      </c>
      <c r="G140" s="307">
        <f ca="1">IF(ISERROR(OFFSET('HARGA SATUAN'!$I$6,MATCH(RAB!C140,'HARGA SATUAN'!$C$7:$C$1495,0),0)),0,OFFSET('HARGA SATUAN'!$I$6,MATCH(RAB!C140,'HARGA SATUAN'!$C$7:$C$1495,0),0))</f>
        <v>54400</v>
      </c>
      <c r="H140" s="308">
        <f t="shared" ca="1" si="26"/>
        <v>0</v>
      </c>
      <c r="I140" s="308">
        <f t="shared" ca="1" si="27"/>
        <v>0</v>
      </c>
      <c r="J140" s="308">
        <f t="shared" ca="1" si="28"/>
        <v>54400</v>
      </c>
      <c r="K140" s="309">
        <f t="shared" ca="1" si="29"/>
        <v>54400</v>
      </c>
      <c r="L140" s="316"/>
      <c r="M140" s="289"/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721"/>
      <c r="C141" s="727"/>
      <c r="D141" s="305" t="str">
        <f ca="1">IF(ISERROR(OFFSET('HARGA SATUAN'!$D$6,MATCH(RAB!C141,'HARGA SATUAN'!$C$7:$C$1495,0),0)),"",OFFSET('HARGA SATUAN'!$D$6,MATCH(RAB!C141,'HARGA SATUAN'!$C$7:$C$1495,0),0))</f>
        <v/>
      </c>
      <c r="E141" s="306" t="str">
        <f ca="1">IF(B141="+","Unit",IF(ISERROR(OFFSET('HARGA SATUAN'!$E$6,MATCH(RAB!C141,'HARGA SATUAN'!$C$7:$C$1495,0),0)),"",OFFSET('HARGA SATUAN'!$E$6,MATCH(RAB!C141,'HARGA SATUAN'!$C$7:$C$1495,0),0)))</f>
        <v/>
      </c>
      <c r="F141" s="515"/>
      <c r="G141" s="307">
        <f ca="1">IF(ISERROR(OFFSET('HARGA SATUAN'!$I$6,MATCH(RAB!C141,'HARGA SATUAN'!$C$7:$C$1495,0),0)),0,OFFSET('HARGA SATUAN'!$I$6,MATCH(RAB!C141,'HARGA SATUAN'!$C$7:$C$1495,0),0))</f>
        <v>0</v>
      </c>
      <c r="H141" s="308">
        <f t="shared" ca="1" si="26"/>
        <v>0</v>
      </c>
      <c r="I141" s="308">
        <f t="shared" ca="1" si="27"/>
        <v>0</v>
      </c>
      <c r="J141" s="308">
        <f t="shared" ca="1" si="28"/>
        <v>0</v>
      </c>
      <c r="K141" s="309">
        <f t="shared" ca="1" si="29"/>
        <v>0</v>
      </c>
      <c r="L141" s="316"/>
      <c r="M141" s="289"/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721" t="s">
        <v>1035</v>
      </c>
      <c r="C142" s="722" t="s">
        <v>1648</v>
      </c>
      <c r="D142" s="305" t="str">
        <f ca="1">IF(ISERROR(OFFSET('HARGA SATUAN'!$D$6,MATCH(RAB!C142,'HARGA SATUAN'!$C$7:$C$1495,0),0)),"",OFFSET('HARGA SATUAN'!$D$6,MATCH(RAB!C142,'HARGA SATUAN'!$C$7:$C$1495,0),0))</f>
        <v/>
      </c>
      <c r="E142" s="306" t="str">
        <f ca="1">IF(B142="+","Unit",IF(ISERROR(OFFSET('HARGA SATUAN'!$E$6,MATCH(RAB!C142,'HARGA SATUAN'!$C$7:$C$1495,0),0)),"",OFFSET('HARGA SATUAN'!$E$6,MATCH(RAB!C142,'HARGA SATUAN'!$C$7:$C$1495,0),0)))</f>
        <v>Unit</v>
      </c>
      <c r="F142" s="456">
        <v>1</v>
      </c>
      <c r="G142" s="307">
        <f ca="1">IF(ISERROR(OFFSET('HARGA SATUAN'!$I$6,MATCH(RAB!C142,'HARGA SATUAN'!$C$7:$C$1495,0),0)),0,OFFSET('HARGA SATUAN'!$I$6,MATCH(RAB!C142,'HARGA SATUAN'!$C$7:$C$1495,0),0))</f>
        <v>0</v>
      </c>
      <c r="H142" s="308">
        <f t="shared" ca="1" si="26"/>
        <v>0</v>
      </c>
      <c r="I142" s="308">
        <f t="shared" ca="1" si="27"/>
        <v>0</v>
      </c>
      <c r="J142" s="308">
        <f t="shared" ca="1" si="28"/>
        <v>0</v>
      </c>
      <c r="K142" s="309">
        <f t="shared" ca="1" si="29"/>
        <v>0</v>
      </c>
      <c r="L142" s="316"/>
      <c r="M142" s="289"/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721">
        <v>1</v>
      </c>
      <c r="C143" s="722" t="s">
        <v>29</v>
      </c>
      <c r="D143" s="305" t="str">
        <f ca="1">IF(ISERROR(OFFSET('HARGA SATUAN'!$D$6,MATCH(RAB!C143,'HARGA SATUAN'!$C$7:$C$1495,0),0)),"",OFFSET('HARGA SATUAN'!$D$6,MATCH(RAB!C143,'HARGA SATUAN'!$C$7:$C$1495,0),0))</f>
        <v>HDW</v>
      </c>
      <c r="E143" s="306" t="str">
        <f ca="1">IF(B143="+","Unit",IF(ISERROR(OFFSET('HARGA SATUAN'!$E$6,MATCH(RAB!C143,'HARGA SATUAN'!$C$7:$C$1495,0),0)),"",OFFSET('HARGA SATUAN'!$E$6,MATCH(RAB!C143,'HARGA SATUAN'!$C$7:$C$1495,0),0)))</f>
        <v>Bh</v>
      </c>
      <c r="F143" s="456">
        <f>F142*1</f>
        <v>1</v>
      </c>
      <c r="G143" s="307">
        <f ca="1">IF(ISERROR(OFFSET('HARGA SATUAN'!$I$6,MATCH(RAB!C143,'HARGA SATUAN'!$C$7:$C$1495,0),0)),0,OFFSET('HARGA SATUAN'!$I$6,MATCH(RAB!C143,'HARGA SATUAN'!$C$7:$C$1495,0),0))</f>
        <v>185200</v>
      </c>
      <c r="H143" s="308">
        <f t="shared" ca="1" si="26"/>
        <v>0</v>
      </c>
      <c r="I143" s="308">
        <f t="shared" ca="1" si="27"/>
        <v>185200</v>
      </c>
      <c r="J143" s="308">
        <f t="shared" ca="1" si="28"/>
        <v>0</v>
      </c>
      <c r="K143" s="309">
        <f t="shared" ca="1" si="29"/>
        <v>185200</v>
      </c>
      <c r="L143" s="316"/>
      <c r="M143" s="289"/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>
      <c r="A144" s="283"/>
      <c r="B144" s="721">
        <v>2</v>
      </c>
      <c r="C144" s="722" t="s">
        <v>30</v>
      </c>
      <c r="D144" s="305" t="str">
        <f ca="1">IF(ISERROR(OFFSET('HARGA SATUAN'!$D$6,MATCH(RAB!C144,'HARGA SATUAN'!$C$7:$C$1495,0),0)),"",OFFSET('HARGA SATUAN'!$D$6,MATCH(RAB!C144,'HARGA SATUAN'!$C$7:$C$1495,0),0))</f>
        <v>HDW</v>
      </c>
      <c r="E144" s="306" t="str">
        <f ca="1">IF(B144="+","Unit",IF(ISERROR(OFFSET('HARGA SATUAN'!$E$6,MATCH(RAB!C144,'HARGA SATUAN'!$C$7:$C$1495,0),0)),"",OFFSET('HARGA SATUAN'!$E$6,MATCH(RAB!C144,'HARGA SATUAN'!$C$7:$C$1495,0),0)))</f>
        <v>Bh</v>
      </c>
      <c r="F144" s="456">
        <f>F142*1</f>
        <v>1</v>
      </c>
      <c r="G144" s="307">
        <f ca="1">IF(ISERROR(OFFSET('HARGA SATUAN'!$I$6,MATCH(RAB!C144,'HARGA SATUAN'!$C$7:$C$1495,0),0)),0,OFFSET('HARGA SATUAN'!$I$6,MATCH(RAB!C144,'HARGA SATUAN'!$C$7:$C$1495,0),0))</f>
        <v>47459</v>
      </c>
      <c r="H144" s="308">
        <f t="shared" ca="1" si="26"/>
        <v>0</v>
      </c>
      <c r="I144" s="308">
        <f t="shared" ca="1" si="27"/>
        <v>47459</v>
      </c>
      <c r="J144" s="308">
        <f t="shared" ca="1" si="28"/>
        <v>0</v>
      </c>
      <c r="K144" s="309">
        <f t="shared" ca="1" si="29"/>
        <v>47459</v>
      </c>
      <c r="L144" s="316"/>
      <c r="M144" s="289"/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>
      <c r="A145" s="283"/>
      <c r="B145" s="721">
        <v>3</v>
      </c>
      <c r="C145" s="722" t="s">
        <v>32</v>
      </c>
      <c r="D145" s="305" t="str">
        <f ca="1">IF(ISERROR(OFFSET('HARGA SATUAN'!$D$6,MATCH(RAB!C145,'HARGA SATUAN'!$C$7:$C$1495,0),0)),"",OFFSET('HARGA SATUAN'!$D$6,MATCH(RAB!C145,'HARGA SATUAN'!$C$7:$C$1495,0),0))</f>
        <v>HDW</v>
      </c>
      <c r="E145" s="306" t="str">
        <f ca="1">IF(B145="+","Unit",IF(ISERROR(OFFSET('HARGA SATUAN'!$E$6,MATCH(RAB!C145,'HARGA SATUAN'!$C$7:$C$1495,0),0)),"",OFFSET('HARGA SATUAN'!$E$6,MATCH(RAB!C145,'HARGA SATUAN'!$C$7:$C$1495,0),0)))</f>
        <v>Mtr</v>
      </c>
      <c r="F145" s="456">
        <f>F142*1.5</f>
        <v>1.5</v>
      </c>
      <c r="G145" s="307">
        <f ca="1">IF(ISERROR(OFFSET('HARGA SATUAN'!$I$6,MATCH(RAB!C145,'HARGA SATUAN'!$C$7:$C$1495,0),0)),0,OFFSET('HARGA SATUAN'!$I$6,MATCH(RAB!C145,'HARGA SATUAN'!$C$7:$C$1495,0),0))</f>
        <v>30000</v>
      </c>
      <c r="H145" s="308">
        <f t="shared" ca="1" si="26"/>
        <v>0</v>
      </c>
      <c r="I145" s="308">
        <f t="shared" ca="1" si="27"/>
        <v>45000</v>
      </c>
      <c r="J145" s="308">
        <f t="shared" ca="1" si="28"/>
        <v>0</v>
      </c>
      <c r="K145" s="309">
        <f t="shared" ca="1" si="29"/>
        <v>45000</v>
      </c>
      <c r="L145" s="316"/>
      <c r="M145" s="289"/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>
      <c r="A146" s="283"/>
      <c r="B146" s="721">
        <v>4</v>
      </c>
      <c r="C146" s="722" t="s">
        <v>33</v>
      </c>
      <c r="D146" s="305" t="str">
        <f ca="1">IF(ISERROR(OFFSET('HARGA SATUAN'!$D$6,MATCH(RAB!C146,'HARGA SATUAN'!$C$7:$C$1495,0),0)),"",OFFSET('HARGA SATUAN'!$D$6,MATCH(RAB!C146,'HARGA SATUAN'!$C$7:$C$1495,0),0))</f>
        <v>HDW</v>
      </c>
      <c r="E146" s="306" t="str">
        <f ca="1">IF(B146="+","Unit",IF(ISERROR(OFFSET('HARGA SATUAN'!$E$6,MATCH(RAB!C146,'HARGA SATUAN'!$C$7:$C$1495,0),0)),"",OFFSET('HARGA SATUAN'!$E$6,MATCH(RAB!C146,'HARGA SATUAN'!$C$7:$C$1495,0),0)))</f>
        <v>Bh</v>
      </c>
      <c r="F146" s="456">
        <f>F142*2</f>
        <v>2</v>
      </c>
      <c r="G146" s="307">
        <f ca="1">IF(ISERROR(OFFSET('HARGA SATUAN'!$I$6,MATCH(RAB!C146,'HARGA SATUAN'!$C$7:$C$1495,0),0)),0,OFFSET('HARGA SATUAN'!$I$6,MATCH(RAB!C146,'HARGA SATUAN'!$C$7:$C$1495,0),0))</f>
        <v>9500</v>
      </c>
      <c r="H146" s="308">
        <f t="shared" ca="1" si="26"/>
        <v>0</v>
      </c>
      <c r="I146" s="308">
        <f t="shared" ca="1" si="27"/>
        <v>19000</v>
      </c>
      <c r="J146" s="308">
        <f t="shared" ca="1" si="28"/>
        <v>0</v>
      </c>
      <c r="K146" s="309">
        <f t="shared" ca="1" si="29"/>
        <v>19000</v>
      </c>
      <c r="L146" s="316"/>
      <c r="M146" s="289"/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>
      <c r="A147" s="283"/>
      <c r="B147" s="721">
        <v>5</v>
      </c>
      <c r="C147" s="722" t="s">
        <v>735</v>
      </c>
      <c r="D147" s="305" t="str">
        <f ca="1">IF(ISERROR(OFFSET('HARGA SATUAN'!$D$6,MATCH(RAB!C147,'HARGA SATUAN'!$C$7:$C$1495,0),0)),"",OFFSET('HARGA SATUAN'!$D$6,MATCH(RAB!C147,'HARGA SATUAN'!$C$7:$C$1495,0),0))</f>
        <v>JASA</v>
      </c>
      <c r="E147" s="306" t="str">
        <f ca="1">IF(B147="+","Unit",IF(ISERROR(OFFSET('HARGA SATUAN'!$E$6,MATCH(RAB!C147,'HARGA SATUAN'!$C$7:$C$1495,0),0)),"",OFFSET('HARGA SATUAN'!$E$6,MATCH(RAB!C147,'HARGA SATUAN'!$C$7:$C$1495,0),0)))</f>
        <v>Unit</v>
      </c>
      <c r="F147" s="456">
        <f>F142*1</f>
        <v>1</v>
      </c>
      <c r="G147" s="307">
        <f ca="1">IF(ISERROR(OFFSET('HARGA SATUAN'!$I$6,MATCH(RAB!C147,'HARGA SATUAN'!$C$7:$C$1495,0),0)),0,OFFSET('HARGA SATUAN'!$I$6,MATCH(RAB!C147,'HARGA SATUAN'!$C$7:$C$1495,0),0))</f>
        <v>56400</v>
      </c>
      <c r="H147" s="308">
        <f t="shared" ca="1" si="26"/>
        <v>0</v>
      </c>
      <c r="I147" s="308">
        <f t="shared" ca="1" si="27"/>
        <v>0</v>
      </c>
      <c r="J147" s="308">
        <f t="shared" ca="1" si="28"/>
        <v>56400</v>
      </c>
      <c r="K147" s="309">
        <f t="shared" ca="1" si="29"/>
        <v>56400</v>
      </c>
      <c r="L147" s="316"/>
      <c r="M147" s="289"/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>
      <c r="A148" s="283"/>
      <c r="B148" s="518"/>
      <c r="C148" s="519"/>
      <c r="D148" s="305" t="str">
        <f ca="1">IF(ISERROR(OFFSET('HARGA SATUAN'!$D$6,MATCH(RAB!C148,'HARGA SATUAN'!$C$7:$C$1495,0),0)),"",OFFSET('HARGA SATUAN'!$D$6,MATCH(RAB!C148,'HARGA SATUAN'!$C$7:$C$1495,0),0))</f>
        <v/>
      </c>
      <c r="E148" s="306" t="str">
        <f ca="1">IF(B148="+","Unit",IF(ISERROR(OFFSET('HARGA SATUAN'!$E$6,MATCH(RAB!C148,'HARGA SATUAN'!$C$7:$C$1495,0),0)),"",OFFSET('HARGA SATUAN'!$E$6,MATCH(RAB!C148,'HARGA SATUAN'!$C$7:$C$1495,0),0)))</f>
        <v/>
      </c>
      <c r="F148" s="515"/>
      <c r="G148" s="307">
        <f ca="1">IF(ISERROR(OFFSET('HARGA SATUAN'!$I$6,MATCH(RAB!C148,'HARGA SATUAN'!$C$7:$C$1495,0),0)),0,OFFSET('HARGA SATUAN'!$I$6,MATCH(RAB!C148,'HARGA SATUAN'!$C$7:$C$1495,0),0))</f>
        <v>0</v>
      </c>
      <c r="H148" s="308">
        <f ca="1">IF(OR(D148="MDU",D148="MDU-KD"),(IF($O$3="RAB NON MDU","PLN KD",G148*F148)),0)</f>
        <v>0</v>
      </c>
      <c r="I148" s="308">
        <f ca="1">IF(D148="HDW",G148*F148,0)</f>
        <v>0</v>
      </c>
      <c r="J148" s="308">
        <f ca="1">IF(D148="JASA",G148*F148,0)</f>
        <v>0</v>
      </c>
      <c r="K148" s="309">
        <f ca="1">SUM(H148:J148)</f>
        <v>0</v>
      </c>
      <c r="L148" s="316"/>
      <c r="M148" s="289"/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>
      <c r="A149" s="283"/>
      <c r="B149" s="516" t="s">
        <v>22</v>
      </c>
      <c r="C149" s="517" t="s">
        <v>802</v>
      </c>
      <c r="D149" s="305" t="str">
        <f ca="1">IF(ISERROR(OFFSET('HARGA SATUAN'!$D$6,MATCH(RAB!C149,'HARGA SATUAN'!$C$7:$C$1495,0),0)),"",OFFSET('HARGA SATUAN'!$D$6,MATCH(RAB!C149,'HARGA SATUAN'!$C$7:$C$1495,0),0))</f>
        <v/>
      </c>
      <c r="E149" s="306">
        <f ca="1">IF(B149="+","Unit",IF(ISERROR(OFFSET('HARGA SATUAN'!$E$6,MATCH(RAB!C149,'HARGA SATUAN'!$C$7:$C$1495,0),0)),"",OFFSET('HARGA SATUAN'!$E$6,MATCH(RAB!C149,'HARGA SATUAN'!$C$7:$C$1495,0),0)))</f>
        <v>0</v>
      </c>
      <c r="F149" s="515"/>
      <c r="G149" s="307">
        <f ca="1">IF(ISERROR(OFFSET('HARGA SATUAN'!$I$6,MATCH(RAB!C149,'HARGA SATUAN'!$C$7:$C$1495,0),0)),0,OFFSET('HARGA SATUAN'!$I$6,MATCH(RAB!C149,'HARGA SATUAN'!$C$7:$C$1495,0),0))</f>
        <v>0</v>
      </c>
      <c r="H149" s="308">
        <f ca="1">IF(OR(D149="MDU",D149="MDU-KD"),(IF($O$3="RAB NON MDU","PLN KD",G149*F149)),0)</f>
        <v>0</v>
      </c>
      <c r="I149" s="308">
        <f ca="1">IF(D149="HDW",G149*F149,0)</f>
        <v>0</v>
      </c>
      <c r="J149" s="308">
        <f ca="1">IF(D149="JASA",G149*F149,0)</f>
        <v>0</v>
      </c>
      <c r="K149" s="309">
        <f ca="1">SUM(H149:J149)</f>
        <v>0</v>
      </c>
      <c r="L149" s="316"/>
      <c r="M149" s="289"/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>
      <c r="A150" s="283"/>
      <c r="B150" s="518"/>
      <c r="C150" s="109"/>
      <c r="D150" s="305" t="str">
        <f ca="1">IF(ISERROR(OFFSET('HARGA SATUAN'!$D$6,MATCH(RAB!C150,'HARGA SATUAN'!$C$7:$C$1495,0),0)),"",OFFSET('HARGA SATUAN'!$D$6,MATCH(RAB!C150,'HARGA SATUAN'!$C$7:$C$1495,0),0))</f>
        <v/>
      </c>
      <c r="E150" s="306" t="str">
        <f ca="1">IF(B150="+","Unit",IF(ISERROR(OFFSET('HARGA SATUAN'!$E$6,MATCH(RAB!C150,'HARGA SATUAN'!$C$7:$C$1495,0),0)),"",OFFSET('HARGA SATUAN'!$E$6,MATCH(RAB!C150,'HARGA SATUAN'!$C$7:$C$1495,0),0)))</f>
        <v/>
      </c>
      <c r="F150" s="515"/>
      <c r="G150" s="307">
        <f ca="1">IF(ISERROR(OFFSET('HARGA SATUAN'!$I$6,MATCH(RAB!C150,'HARGA SATUAN'!$C$7:$C$1495,0),0)),0,OFFSET('HARGA SATUAN'!$I$6,MATCH(RAB!C150,'HARGA SATUAN'!$C$7:$C$1495,0),0))</f>
        <v>0</v>
      </c>
      <c r="H150" s="308">
        <f ca="1">IF(OR(D150="MDU",D150="MDU-KD"),(IF($O$3="RAB NON MDU","PLN KD",G150*F150)),0)</f>
        <v>0</v>
      </c>
      <c r="I150" s="308">
        <f ca="1">IF(D150="HDW",G150*F150,0)</f>
        <v>0</v>
      </c>
      <c r="J150" s="308">
        <f ca="1">IF(D150="JASA",G150*F150,0)</f>
        <v>0</v>
      </c>
      <c r="K150" s="309">
        <f ca="1">SUM(H150:J150)</f>
        <v>0</v>
      </c>
      <c r="L150" s="316"/>
      <c r="M150" s="289"/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>
      <c r="B151" s="321"/>
      <c r="C151" s="320"/>
      <c r="D151" s="305" t="str">
        <f ca="1">IF(ISERROR(OFFSET('HARGA SATUAN'!$D$6,MATCH(RAB!C151,'HARGA SATUAN'!$C$7:$C$1495,0),0)),"",OFFSET('HARGA SATUAN'!$D$6,MATCH(RAB!C151,'HARGA SATUAN'!$C$7:$C$1495,0),0))</f>
        <v/>
      </c>
      <c r="E151" s="306" t="str">
        <f ca="1">IF(B151="+","Unit",IF(ISERROR(OFFSET('HARGA SATUAN'!$E$6,MATCH(RAB!C151,'HARGA SATUAN'!$C$7:$C$1495,0),0)),"",OFFSET('HARGA SATUAN'!$E$6,MATCH(RAB!C151,'HARGA SATUAN'!$C$7:$C$1495,0),0)))</f>
        <v/>
      </c>
      <c r="F151" s="315"/>
      <c r="G151" s="307">
        <f ca="1">IF(ISERROR(OFFSET('HARGA SATUAN'!$I$6,MATCH(RAB!C151,'HARGA SATUAN'!$C$7:$C$1495,0),0)),0,OFFSET('HARGA SATUAN'!$I$6,MATCH(RAB!C151,'HARGA SATUAN'!$C$7:$C$1495,0),0))</f>
        <v>0</v>
      </c>
      <c r="H151" s="308">
        <f t="shared" ca="1" si="26"/>
        <v>0</v>
      </c>
      <c r="I151" s="308">
        <f t="shared" ca="1" si="27"/>
        <v>0</v>
      </c>
      <c r="J151" s="308">
        <f t="shared" ca="1" si="28"/>
        <v>0</v>
      </c>
      <c r="K151" s="309">
        <f t="shared" ca="1" si="29"/>
        <v>0</v>
      </c>
      <c r="M151" s="289" t="e">
        <f>IF(AND(F151&gt;0,#REF!=0),"",IF(AND(ISBLANK(F151)=FALSE,K151=0),"WARNING",""))</f>
        <v>#REF!</v>
      </c>
    </row>
    <row r="152" spans="1:22">
      <c r="B152" s="322"/>
      <c r="C152" s="323" t="s">
        <v>475</v>
      </c>
      <c r="D152" s="305" t="str">
        <f ca="1">IF(ISERROR(OFFSET('HARGA SATUAN'!$D$6,MATCH(RAB!C152,'HARGA SATUAN'!$C$7:$C$1495,0),0)),"",OFFSET('HARGA SATUAN'!$D$6,MATCH(RAB!C152,'HARGA SATUAN'!$C$7:$C$1495,0),0))</f>
        <v/>
      </c>
      <c r="E152" s="306" t="str">
        <f ca="1">IF(B152="+","Unit",IF(ISERROR(OFFSET('HARGA SATUAN'!$E$6,MATCH(RAB!C152,'HARGA SATUAN'!$C$7:$C$1495,0),0)),"",OFFSET('HARGA SATUAN'!$E$6,MATCH(RAB!C152,'HARGA SATUAN'!$C$7:$C$1495,0),0)))</f>
        <v/>
      </c>
      <c r="F152" s="315"/>
      <c r="G152" s="307">
        <f ca="1">IF(ISERROR(OFFSET('HARGA SATUAN'!$I$6,MATCH(RAB!C152,'HARGA SATUAN'!$C$7:$C$1495,0),0)),0,OFFSET('HARGA SATUAN'!$I$6,MATCH(RAB!C152,'HARGA SATUAN'!$C$7:$C$1495,0),0))</f>
        <v>0</v>
      </c>
      <c r="H152" s="308">
        <f ca="1">IF(OR(D152="MDU",D152="MDU-KD"),(IF($O$3="RAB NON MDU","PLN KD",G152*F152)),0)</f>
        <v>0</v>
      </c>
      <c r="I152" s="308">
        <f ca="1">IF(D152="HDW",G152*F152,0)</f>
        <v>0</v>
      </c>
      <c r="J152" s="308">
        <f ca="1">IF(D152="JASA",G152*F152,0)</f>
        <v>0</v>
      </c>
      <c r="K152" s="309">
        <f ca="1">SUM(H152:J152)</f>
        <v>0</v>
      </c>
      <c r="M152" s="289" t="e">
        <f>IF(AND(F152&gt;0,#REF!=0),"",IF(AND(ISBLANK(F152)=FALSE,K152=0),"WARNING",""))</f>
        <v>#REF!</v>
      </c>
    </row>
    <row r="153" spans="1:22">
      <c r="B153" s="325">
        <v>1</v>
      </c>
      <c r="C153" s="326" t="s">
        <v>1091</v>
      </c>
      <c r="D153" s="327" t="str">
        <f ca="1">IF(ISERROR(OFFSET('HARGA SATUAN'!$D$6,MATCH(RAB!C153,'HARGA SATUAN'!$C$7:$C$1495,0),0)),"",OFFSET('HARGA SATUAN'!$D$6,MATCH(RAB!C153,'HARGA SATUAN'!$C$7:$C$1495,0),0))</f>
        <v>JASA</v>
      </c>
      <c r="E153" s="328" t="str">
        <f ca="1">IF(ISERROR(OFFSET('HARGA SATUAN'!$E$6,MATCH(RAB!C153,'HARGA SATUAN'!$C$7:$C$1495,0),0)),"",OFFSET('HARGA SATUAN'!$E$6,MATCH(RAB!C153,'HARGA SATUAN'!$C$7:$C$1495,0),0))</f>
        <v>Lot</v>
      </c>
      <c r="F153" s="329">
        <v>1</v>
      </c>
      <c r="G153" s="330">
        <f ca="1">IF(ISERROR(OFFSET('HARGA SATUAN'!$I$6,MATCH(RAB!C153,'HARGA SATUAN'!$C$7:$C$1495,0),0)),0,OFFSET('HARGA SATUAN'!$I$6,MATCH(RAB!C153,'HARGA SATUAN'!$C$7:$C$1495,0),0))</f>
        <v>2.5000000000000001E-2</v>
      </c>
      <c r="H153" s="331">
        <f ca="1">SUM(H14:H152)*G153</f>
        <v>1078095</v>
      </c>
      <c r="I153" s="331">
        <f ca="1">SUM(I14:I152)*G153</f>
        <v>1176934.3433333335</v>
      </c>
      <c r="J153" s="331">
        <f ca="1">SUM(J14:J152)*G153</f>
        <v>119313.16666666669</v>
      </c>
      <c r="K153" s="331">
        <f ca="1">SUM(K14:K152)*G153</f>
        <v>2374342.5099999998</v>
      </c>
      <c r="M153" s="289" t="str">
        <f>IF(AND(F153&gt;0,F152=0),"",IF(AND(ISBLANK(F153)=FALSE,K153=0),"WARNING",""))</f>
        <v/>
      </c>
    </row>
    <row r="154" spans="1:22">
      <c r="B154" s="332"/>
      <c r="C154" s="333"/>
      <c r="D154" s="305" t="str">
        <f ca="1">IF(ISERROR(OFFSET('HARGA SATUAN'!$D$6,MATCH(RAB!C154,'HARGA SATUAN'!$C$7:$C$1495,0),0)),"",OFFSET('HARGA SATUAN'!$D$6,MATCH(RAB!C154,'HARGA SATUAN'!$C$7:$C$1495,0),0))</f>
        <v/>
      </c>
      <c r="E154" s="306" t="str">
        <f ca="1">IF(ISERROR(OFFSET('HARGA SATUAN'!$E$6,MATCH(RAB!C154,'HARGA SATUAN'!$C$7:$C$1495,0),0)),"",OFFSET('HARGA SATUAN'!$E$6,MATCH(RAB!C154,'HARGA SATUAN'!$C$7:$C$1495,0),0))</f>
        <v/>
      </c>
      <c r="F154" s="324"/>
      <c r="G154" s="307" t="str">
        <f ca="1">IF(ISERROR(OFFSET('HARGA SATUAN'!$I$6,MATCH(RAB!C154,'HARGA SATUAN'!$C$7:$C$1495,0),0)),"",OFFSET('HARGA SATUAN'!$I$6,MATCH(RAB!C154,'HARGA SATUAN'!$C$7:$C$1495,0),0))</f>
        <v/>
      </c>
      <c r="H154" s="308">
        <f ca="1">IF(OR(D154="MDU",D154="MDU-KD"),IF(G154="PLN",0,G154*F154),0)</f>
        <v>0</v>
      </c>
      <c r="I154" s="308">
        <f ca="1">IF(D154="HDW",IF(G154="PLN",0,G154*F154),0)</f>
        <v>0</v>
      </c>
      <c r="J154" s="308">
        <f ca="1">IF(D154="JASA",IF(G154="PLN",0,G154*F154),0)</f>
        <v>0</v>
      </c>
      <c r="K154" s="309">
        <f ca="1">SUM(H154:J154)</f>
        <v>0</v>
      </c>
    </row>
    <row r="155" spans="1:22" ht="15.75" thickBot="1">
      <c r="B155" s="334"/>
      <c r="C155" s="335"/>
      <c r="D155" s="336"/>
      <c r="E155" s="337"/>
      <c r="F155" s="337"/>
      <c r="G155" s="337"/>
      <c r="H155" s="338"/>
      <c r="I155" s="338"/>
      <c r="J155" s="338"/>
      <c r="K155" s="339"/>
    </row>
    <row r="156" spans="1:22">
      <c r="B156" s="340"/>
      <c r="C156" s="639" t="s">
        <v>1008</v>
      </c>
      <c r="D156" s="639"/>
      <c r="E156" s="639"/>
      <c r="F156" s="639"/>
      <c r="G156" s="341" t="s">
        <v>9</v>
      </c>
      <c r="H156" s="342">
        <f ca="1">SUM(H14:H154)</f>
        <v>44201895</v>
      </c>
      <c r="I156" s="342">
        <f ca="1">SUM(I14:I154)</f>
        <v>48254308.076666668</v>
      </c>
      <c r="J156" s="342">
        <f ca="1">SUM(J14:J154)</f>
        <v>4891839.833333334</v>
      </c>
      <c r="K156" s="342">
        <f ca="1">SUM(K14:K154)</f>
        <v>97348042.909999996</v>
      </c>
    </row>
    <row r="157" spans="1:22">
      <c r="B157" s="343"/>
      <c r="C157" s="622" t="s">
        <v>1455</v>
      </c>
      <c r="D157" s="622"/>
      <c r="E157" s="622"/>
      <c r="F157" s="622"/>
      <c r="G157" s="344" t="s">
        <v>9</v>
      </c>
      <c r="H157" s="345">
        <f ca="1">H156*0.11</f>
        <v>4862208.45</v>
      </c>
      <c r="I157" s="345">
        <f ca="1">I156*0.11</f>
        <v>5307973.8884333335</v>
      </c>
      <c r="J157" s="345">
        <f ca="1">J156*0.11</f>
        <v>538102.38166666671</v>
      </c>
      <c r="K157" s="345">
        <f ca="1">K156*0.11</f>
        <v>10708284.720100001</v>
      </c>
    </row>
    <row r="158" spans="1:22" ht="15.75" thickBot="1">
      <c r="B158" s="343"/>
      <c r="C158" s="619" t="s">
        <v>463</v>
      </c>
      <c r="D158" s="619"/>
      <c r="E158" s="619"/>
      <c r="F158" s="619"/>
      <c r="G158" s="346" t="s">
        <v>9</v>
      </c>
      <c r="H158" s="347">
        <f ca="1">SUM(H156:H157)</f>
        <v>49064103.450000003</v>
      </c>
      <c r="I158" s="347">
        <f ca="1">SUM(I156:I157)</f>
        <v>53562281.965100005</v>
      </c>
      <c r="J158" s="346">
        <f ca="1">SUM(J156:J157)</f>
        <v>5429942.2150000008</v>
      </c>
      <c r="K158" s="346">
        <f ca="1">SUM(K156:K157)</f>
        <v>108056327.6301</v>
      </c>
      <c r="M158" s="411">
        <v>201265205.30690998</v>
      </c>
    </row>
    <row r="159" spans="1:22">
      <c r="B159" s="623" t="str">
        <f ca="1">"Terbilang : "&amp;PROPER(IF(K158=0,"nol",IF(K158&lt;0,"minus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IF(--MID(TEXT(ABS(K158),"000000000000000"),1,3)=0,"",MID(TEXT(ABS(K158),"000000000000000"),1,1)&amp;" ratus "&amp;MID(TEXT(ABS(K158),"000000000000000"),2,1)&amp;" puluh "&amp;MID(TEXT(ABS(K158),"000000000000000"),3,1)&amp;" trilyun ")&amp; IF(--MID(TEXT(ABS(K158),"000000000000000"),4,3)=0,"",MID(TEXT(ABS(K158),"000000000000000"),4,1)&amp;" ratus "&amp;MID(TEXT(ABS(K158),"000000000000000"),5,1)&amp;" puluh "&amp;MID(TEXT(ABS(K158),"000000000000000"),6,1)&amp;" milyar ")&amp; IF(--MID(TEXT(ABS(K158),"000000000000000"),7,3)=0,"",MID(TEXT(ABS(K158),"000000000000000"),7,1)&amp;" ratus "&amp;MID(TEXT(ABS(K158),"000000000000000"),8,1)&amp;" puluh "&amp;MID(TEXT(ABS(K158),"000000000000000"),9,1)&amp;" juta ")&amp; IF(--MID(TEXT(ABS(K158),"000000000000000"),10,3)=0,"",IF(--MID(TEXT(ABS(K158),"000000000000000"),10,3)=1,"*",MID(TEXT(ABS(K158),"000000000000000"),10,1)&amp;" ratus "&amp;MID(TEXT(ABS(K158),"000000000000000"),11,1)&amp;" puluh ")&amp;MID(TEXT(ABS(K158),"000000000000000"),12,1)&amp;" ribu ")&amp; IF(--MID(TEXT(ABS(K158),"000000000000000"),13,3)=0,"",MID(TEXT(ABS(K158),"000000000000000"),13,1)&amp;" ratus "&amp;MID(TEXT(ABS(K158),"000000000000000"),14,1)&amp;" puluh "&amp;MID(TEXT(ABS(K158),"000000000000000"),15,1)),1,"satu"),2,"dua"),3,"tiga"),4,"empat"),5,"lima"),6,"enam"),7,"tujuh"),8,"delapan"),9,"sembilan"),"0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Delapan Juta Lima Puluh Enam Ribu Tiga Ratus Dua Puluh Delapan Rupiah</v>
      </c>
      <c r="C159" s="624"/>
      <c r="D159" s="624"/>
      <c r="E159" s="624"/>
      <c r="F159" s="624"/>
      <c r="G159" s="624"/>
      <c r="H159" s="624"/>
      <c r="I159" s="624"/>
      <c r="J159" s="624"/>
      <c r="K159" s="625"/>
    </row>
    <row r="160" spans="1:22">
      <c r="B160" s="626"/>
      <c r="C160" s="627"/>
      <c r="D160" s="627"/>
      <c r="E160" s="627"/>
      <c r="F160" s="627"/>
      <c r="G160" s="627"/>
      <c r="H160" s="627"/>
      <c r="I160" s="627"/>
      <c r="J160" s="627"/>
      <c r="K160" s="628"/>
    </row>
    <row r="161" spans="2:11" ht="15.75" thickBot="1">
      <c r="B161" s="348" t="str">
        <f>"Harga yang dipakai adalah "&amp;'HARGA SATUAN'!I5&amp;""</f>
        <v>Harga yang dipakai adalah RAB HSS 2023</v>
      </c>
      <c r="C161" s="349"/>
      <c r="D161" s="350"/>
      <c r="E161" s="350"/>
      <c r="F161" s="350"/>
      <c r="G161" s="351"/>
      <c r="H161" s="351"/>
      <c r="I161" s="351"/>
      <c r="J161" s="351"/>
      <c r="K161" s="352"/>
    </row>
    <row r="162" spans="2:11">
      <c r="C162" s="353"/>
      <c r="E162" s="355"/>
      <c r="F162" s="355"/>
      <c r="G162" s="355"/>
    </row>
    <row r="163" spans="2:11">
      <c r="C163" s="284"/>
      <c r="E163" s="355"/>
      <c r="F163" s="355"/>
      <c r="G163" s="355"/>
      <c r="H163" s="629"/>
      <c r="I163" s="629"/>
      <c r="J163" s="630"/>
      <c r="K163" s="630"/>
    </row>
    <row r="164" spans="2:11">
      <c r="C164" s="284"/>
      <c r="E164" s="355"/>
      <c r="F164" s="355"/>
      <c r="G164" s="355"/>
      <c r="H164" s="356"/>
      <c r="I164" s="618" t="s">
        <v>1620</v>
      </c>
      <c r="J164" s="618"/>
      <c r="K164" s="618"/>
    </row>
    <row r="165" spans="2:11">
      <c r="C165" s="284"/>
      <c r="E165" s="355"/>
      <c r="F165" s="355"/>
      <c r="G165" s="355"/>
      <c r="H165" s="356"/>
      <c r="I165" s="618" t="s">
        <v>1611</v>
      </c>
      <c r="J165" s="618"/>
      <c r="K165" s="618"/>
    </row>
    <row r="166" spans="2:11">
      <c r="C166" s="284"/>
      <c r="E166" s="355"/>
      <c r="F166" s="355"/>
      <c r="G166" s="355"/>
      <c r="H166" s="357"/>
      <c r="I166" s="358"/>
      <c r="J166" s="358"/>
      <c r="K166" s="358"/>
    </row>
    <row r="167" spans="2:11">
      <c r="C167" s="284"/>
      <c r="E167" s="355"/>
      <c r="F167" s="355"/>
      <c r="G167" s="355"/>
      <c r="H167" s="357"/>
      <c r="I167" s="357"/>
      <c r="J167" s="357"/>
      <c r="K167" s="357"/>
    </row>
    <row r="168" spans="2:11">
      <c r="C168" s="284"/>
      <c r="E168" s="355"/>
      <c r="F168" s="355"/>
      <c r="G168" s="355"/>
      <c r="H168" s="357"/>
      <c r="I168" s="357"/>
      <c r="J168" s="357"/>
      <c r="K168" s="357"/>
    </row>
    <row r="169" spans="2:11">
      <c r="C169" s="284"/>
      <c r="E169" s="355"/>
      <c r="F169" s="355"/>
      <c r="G169" s="355"/>
      <c r="H169" s="357"/>
      <c r="I169" s="357"/>
      <c r="J169" s="357"/>
      <c r="K169" s="357"/>
    </row>
    <row r="170" spans="2:11">
      <c r="C170" s="284"/>
      <c r="E170" s="355"/>
      <c r="F170" s="355"/>
      <c r="G170" s="355"/>
      <c r="H170" s="359"/>
      <c r="I170" s="618" t="s">
        <v>1612</v>
      </c>
      <c r="J170" s="618"/>
      <c r="K170" s="618"/>
    </row>
    <row r="171" spans="2:11">
      <c r="C171" s="353"/>
      <c r="E171" s="355"/>
      <c r="F171" s="355"/>
      <c r="G171" s="355"/>
      <c r="H171" s="357"/>
      <c r="I171" s="357"/>
      <c r="J171" s="357"/>
      <c r="K171" s="357"/>
    </row>
    <row r="172" spans="2:11">
      <c r="C172" s="353"/>
      <c r="E172" s="355"/>
      <c r="F172" s="355"/>
      <c r="G172" s="355"/>
      <c r="H172" s="357"/>
      <c r="I172" s="357"/>
      <c r="J172" s="357"/>
      <c r="K172" s="357"/>
    </row>
    <row r="173" spans="2:11">
      <c r="C173" s="353"/>
      <c r="E173" s="355"/>
      <c r="F173" s="355"/>
      <c r="G173" s="355"/>
      <c r="H173" s="357"/>
      <c r="I173" s="357"/>
      <c r="J173" s="357"/>
      <c r="K173" s="357"/>
    </row>
  </sheetData>
  <sheetProtection sort="0" autoFilter="0"/>
  <protectedRanges>
    <protectedRange sqref="F14:F15 F151:F152" name="Range1_1_2_2"/>
    <protectedRange sqref="C151" name="Range1_1_1"/>
    <protectedRange sqref="B135:C135 B15 B16:C16 B20:C31 B17:B19 B131:B134 B41:C130" name="Range1_6_1"/>
    <protectedRange sqref="B38:C40" name="Range1_6_1_1_1"/>
    <protectedRange sqref="B32:C37" name="Range1_6_1_2"/>
    <protectedRange sqref="B136:C136 B150 B138:C149 B137" name="Range1_6_1_11"/>
    <protectedRange sqref="C150" name="Range1_1_3_2"/>
    <protectedRange sqref="C137" name="Range1_1_3_3"/>
    <protectedRange sqref="C17" name="Range1_1_3_4"/>
    <protectedRange sqref="C18" name="Range1_1_3_5"/>
    <protectedRange sqref="C19" name="Range1_1_3_6"/>
    <protectedRange sqref="C131" name="Range1_1_3_7"/>
    <protectedRange sqref="C133" name="Range1_1_3_8"/>
    <protectedRange sqref="C132" name="Range1_1_3_9"/>
    <protectedRange sqref="C134" name="Range1_1_3_10"/>
  </protectedRanges>
  <mergeCells count="22">
    <mergeCell ref="O3:P4"/>
    <mergeCell ref="B4:K4"/>
    <mergeCell ref="C156:F156"/>
    <mergeCell ref="B11:B13"/>
    <mergeCell ref="C11:C13"/>
    <mergeCell ref="D11:D13"/>
    <mergeCell ref="E11:E13"/>
    <mergeCell ref="F11:F13"/>
    <mergeCell ref="G11:G13"/>
    <mergeCell ref="I12:I13"/>
    <mergeCell ref="I165:K165"/>
    <mergeCell ref="I170:K170"/>
    <mergeCell ref="C158:F158"/>
    <mergeCell ref="G6:K6"/>
    <mergeCell ref="I164:K164"/>
    <mergeCell ref="C157:F157"/>
    <mergeCell ref="B159:K160"/>
    <mergeCell ref="H163:K163"/>
    <mergeCell ref="H11:K11"/>
    <mergeCell ref="H12:H13"/>
    <mergeCell ref="J12:J13"/>
    <mergeCell ref="K12:K13"/>
  </mergeCells>
  <phoneticPr fontId="134" type="noConversion"/>
  <conditionalFormatting sqref="C15">
    <cfRule type="cellIs" dxfId="22" priority="73" operator="equal">
      <formula>0</formula>
    </cfRule>
  </conditionalFormatting>
  <conditionalFormatting sqref="C150">
    <cfRule type="cellIs" dxfId="19" priority="19" operator="equal">
      <formula>0</formula>
    </cfRule>
  </conditionalFormatting>
  <conditionalFormatting sqref="E1:E3 E5:E13 H12:I12 O13 S14:V150 E153:G153 H153:K155 E154:H154 E155:F155 E14:K45 E59:K59 E46:E58 G46:K58 E71:K71 E60:E70 G60:K70 E82:K82 E72:E81 G72:K81 E88:K88 E83:E87 G83:K87 E94:K94 E89:E93 G89:K93 E102:K102 E95:E101 G95:K101 E103:E107 G103:K107 E108:K141 E148:K152 E142:E147 G142:K147">
    <cfRule type="cellIs" dxfId="18" priority="1117" stopIfTrue="1" operator="equal">
      <formula>0</formula>
    </cfRule>
  </conditionalFormatting>
  <conditionalFormatting sqref="G1:G13">
    <cfRule type="cellIs" dxfId="17" priority="42" stopIfTrue="1" operator="equal">
      <formula>0</formula>
    </cfRule>
  </conditionalFormatting>
  <conditionalFormatting sqref="G154:G65620 E159:E65620">
    <cfRule type="cellIs" dxfId="16" priority="251" stopIfTrue="1" operator="equal">
      <formula>0</formula>
    </cfRule>
  </conditionalFormatting>
  <conditionalFormatting sqref="C17">
    <cfRule type="cellIs" dxfId="15" priority="16" operator="equal">
      <formula>0</formula>
    </cfRule>
  </conditionalFormatting>
  <conditionalFormatting sqref="C18">
    <cfRule type="cellIs" dxfId="14" priority="15" operator="equal">
      <formula>0</formula>
    </cfRule>
  </conditionalFormatting>
  <conditionalFormatting sqref="C19">
    <cfRule type="cellIs" dxfId="13" priority="14" operator="equal">
      <formula>0</formula>
    </cfRule>
  </conditionalFormatting>
  <conditionalFormatting sqref="F46:F58">
    <cfRule type="cellIs" dxfId="12" priority="13" stopIfTrue="1" operator="equal">
      <formula>0</formula>
    </cfRule>
  </conditionalFormatting>
  <conditionalFormatting sqref="F60:F70">
    <cfRule type="cellIs" dxfId="11" priority="12" stopIfTrue="1" operator="equal">
      <formula>0</formula>
    </cfRule>
  </conditionalFormatting>
  <conditionalFormatting sqref="F72:F81">
    <cfRule type="cellIs" dxfId="10" priority="11" stopIfTrue="1" operator="equal">
      <formula>0</formula>
    </cfRule>
  </conditionalFormatting>
  <conditionalFormatting sqref="F83:F87">
    <cfRule type="cellIs" dxfId="9" priority="10" stopIfTrue="1" operator="equal">
      <formula>0</formula>
    </cfRule>
  </conditionalFormatting>
  <conditionalFormatting sqref="F89:F93">
    <cfRule type="cellIs" dxfId="8" priority="9" stopIfTrue="1" operator="equal">
      <formula>0</formula>
    </cfRule>
  </conditionalFormatting>
  <conditionalFormatting sqref="F95:F101">
    <cfRule type="cellIs" dxfId="7" priority="8" stopIfTrue="1" operator="equal">
      <formula>0</formula>
    </cfRule>
  </conditionalFormatting>
  <conditionalFormatting sqref="F103:F107">
    <cfRule type="cellIs" dxfId="6" priority="7" stopIfTrue="1" operator="equal">
      <formula>0</formula>
    </cfRule>
  </conditionalFormatting>
  <conditionalFormatting sqref="C131">
    <cfRule type="cellIs" dxfId="5" priority="6" operator="equal">
      <formula>0</formula>
    </cfRule>
  </conditionalFormatting>
  <conditionalFormatting sqref="C133">
    <cfRule type="cellIs" dxfId="4" priority="5" operator="equal">
      <formula>0</formula>
    </cfRule>
  </conditionalFormatting>
  <conditionalFormatting sqref="C132">
    <cfRule type="cellIs" dxfId="3" priority="4" operator="equal">
      <formula>0</formula>
    </cfRule>
  </conditionalFormatting>
  <conditionalFormatting sqref="C134">
    <cfRule type="cellIs" dxfId="2" priority="3" operator="equal">
      <formula>0</formula>
    </cfRule>
  </conditionalFormatting>
  <conditionalFormatting sqref="C137">
    <cfRule type="cellIs" dxfId="1" priority="2" operator="equal">
      <formula>0</formula>
    </cfRule>
  </conditionalFormatting>
  <conditionalFormatting sqref="F142:F147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5 F16:F32 F131:F134 F107:F129 F37:F45 F59 F71 F75:F80 F82:F105 H14:K155 F142:F14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7" max="10" man="1"/>
  </rowBreaks>
  <ignoredErrors>
    <ignoredError sqref="K153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13" zoomScaleNormal="100" zoomScaleSheetLayoutView="100" workbookViewId="0">
      <selection activeCell="T34" sqref="T34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3" t="s">
        <v>1438</v>
      </c>
      <c r="X2" s="704"/>
      <c r="Y2" s="704"/>
      <c r="Z2" s="704"/>
      <c r="AA2" s="704"/>
      <c r="AB2" s="704"/>
      <c r="AC2" s="704"/>
      <c r="AD2" s="705"/>
    </row>
    <row r="3" spans="3:30">
      <c r="C3" s="468"/>
      <c r="W3" s="706"/>
      <c r="X3" s="707"/>
      <c r="Y3" s="707"/>
      <c r="Z3" s="707"/>
      <c r="AA3" s="707"/>
      <c r="AB3" s="707"/>
      <c r="AC3" s="707"/>
      <c r="AD3" s="708"/>
    </row>
    <row r="4" spans="3:30">
      <c r="C4" s="468"/>
      <c r="G4" s="469" t="s">
        <v>1645</v>
      </c>
      <c r="W4" s="470" t="s">
        <v>987</v>
      </c>
      <c r="AD4" s="471"/>
    </row>
    <row r="5" spans="3:30">
      <c r="C5" s="468"/>
      <c r="W5" s="472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468"/>
      <c r="W6" s="472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468"/>
      <c r="W7" s="472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 ht="12.75">
      <c r="C8" s="468"/>
      <c r="O8"/>
      <c r="W8" s="472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468"/>
      <c r="W9" s="472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468"/>
      <c r="W10" s="472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468"/>
      <c r="W11" s="472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468"/>
      <c r="W12" s="472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468"/>
      <c r="W13" s="472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468"/>
      <c r="W14" s="472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468"/>
      <c r="W15" s="472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468"/>
      <c r="W16" s="472">
        <v>11</v>
      </c>
      <c r="X16" s="650" t="s">
        <v>1454</v>
      </c>
      <c r="Y16" s="650"/>
      <c r="Z16" s="650"/>
      <c r="AA16" s="650"/>
      <c r="AB16" s="650"/>
      <c r="AC16" s="650"/>
      <c r="AD16" s="651"/>
    </row>
    <row r="17" spans="3:30">
      <c r="C17" s="468"/>
      <c r="S17" s="474"/>
      <c r="W17" s="472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475"/>
      <c r="D18" s="476"/>
      <c r="E18" s="476"/>
      <c r="W18" s="472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468"/>
      <c r="W19" s="477"/>
      <c r="X19" s="692"/>
      <c r="Y19" s="692"/>
      <c r="Z19" s="692"/>
      <c r="AA19" s="692"/>
      <c r="AB19" s="692"/>
      <c r="AC19" s="692"/>
      <c r="AD19" s="693"/>
    </row>
    <row r="20" spans="3:30">
      <c r="C20" s="468"/>
      <c r="Q20" s="478"/>
      <c r="W20" s="694" t="s">
        <v>992</v>
      </c>
      <c r="X20" s="695"/>
      <c r="Y20" s="695"/>
      <c r="Z20" s="695"/>
      <c r="AA20" s="695"/>
      <c r="AB20" s="695"/>
      <c r="AC20" s="695"/>
      <c r="AD20" s="696"/>
    </row>
    <row r="21" spans="3:30">
      <c r="C21" s="468"/>
      <c r="W21" s="697" t="s">
        <v>985</v>
      </c>
      <c r="X21" s="698"/>
      <c r="Y21" s="698"/>
      <c r="Z21" s="699"/>
      <c r="AA21" s="700" t="s">
        <v>986</v>
      </c>
      <c r="AB21" s="701"/>
      <c r="AC21" s="701"/>
      <c r="AD21" s="702"/>
    </row>
    <row r="22" spans="3:30">
      <c r="C22" s="468"/>
      <c r="S22" s="479"/>
      <c r="W22" s="686" t="s">
        <v>1613</v>
      </c>
      <c r="X22" s="687"/>
      <c r="Y22" s="480" t="s">
        <v>1621</v>
      </c>
      <c r="Z22" s="481">
        <v>2</v>
      </c>
      <c r="AA22" s="688"/>
      <c r="AB22" s="689"/>
      <c r="AC22" s="482"/>
      <c r="AD22" s="483"/>
    </row>
    <row r="23" spans="3:30">
      <c r="C23" s="468"/>
      <c r="W23" s="686" t="s">
        <v>1626</v>
      </c>
      <c r="X23" s="687"/>
      <c r="Y23" s="480" t="s">
        <v>1621</v>
      </c>
      <c r="Z23" s="481">
        <v>1</v>
      </c>
      <c r="AA23" s="678"/>
      <c r="AB23" s="679"/>
      <c r="AC23" s="482"/>
      <c r="AD23" s="483"/>
    </row>
    <row r="24" spans="3:30">
      <c r="C24" s="468"/>
      <c r="N24" s="479"/>
      <c r="W24" s="686" t="s">
        <v>1630</v>
      </c>
      <c r="X24" s="687"/>
      <c r="Y24" s="480" t="s">
        <v>1621</v>
      </c>
      <c r="Z24" s="481">
        <v>1</v>
      </c>
      <c r="AA24" s="690"/>
      <c r="AB24" s="691"/>
      <c r="AC24" s="482"/>
      <c r="AD24" s="483"/>
    </row>
    <row r="25" spans="3:30">
      <c r="C25" s="468"/>
      <c r="W25" s="686" t="s">
        <v>1632</v>
      </c>
      <c r="X25" s="687"/>
      <c r="Y25" s="480" t="s">
        <v>1621</v>
      </c>
      <c r="Z25" s="481">
        <v>2</v>
      </c>
      <c r="AA25" s="678"/>
      <c r="AB25" s="679"/>
      <c r="AC25" s="482"/>
      <c r="AD25" s="483"/>
    </row>
    <row r="26" spans="3:30">
      <c r="C26" s="468"/>
      <c r="W26" s="684" t="s">
        <v>1633</v>
      </c>
      <c r="X26" s="685"/>
      <c r="Y26" s="480" t="s">
        <v>1621</v>
      </c>
      <c r="Z26" s="481">
        <v>1</v>
      </c>
      <c r="AA26" s="678"/>
      <c r="AB26" s="679"/>
      <c r="AC26" s="482"/>
      <c r="AD26" s="483"/>
    </row>
    <row r="27" spans="3:30">
      <c r="C27" s="468"/>
      <c r="W27" s="684" t="s">
        <v>1634</v>
      </c>
      <c r="X27" s="685"/>
      <c r="Y27" s="480" t="s">
        <v>1621</v>
      </c>
      <c r="Z27" s="481">
        <v>4</v>
      </c>
      <c r="AA27" s="678"/>
      <c r="AB27" s="679"/>
      <c r="AC27" s="482"/>
      <c r="AD27" s="483"/>
    </row>
    <row r="28" spans="3:30">
      <c r="C28" s="468"/>
      <c r="W28" s="676" t="s">
        <v>1635</v>
      </c>
      <c r="X28" s="677"/>
      <c r="Y28" s="480" t="s">
        <v>1621</v>
      </c>
      <c r="Z28" s="481">
        <v>7</v>
      </c>
      <c r="AA28" s="678"/>
      <c r="AB28" s="679"/>
      <c r="AC28" s="482"/>
      <c r="AD28" s="483"/>
    </row>
    <row r="29" spans="3:30">
      <c r="C29" s="468"/>
      <c r="W29" s="684" t="s">
        <v>1636</v>
      </c>
      <c r="X29" s="685"/>
      <c r="Y29" s="480" t="s">
        <v>1621</v>
      </c>
      <c r="Z29" s="481">
        <v>2</v>
      </c>
      <c r="AA29" s="678"/>
      <c r="AB29" s="679"/>
      <c r="AC29" s="482"/>
      <c r="AD29" s="483"/>
    </row>
    <row r="30" spans="3:30" ht="11.25" customHeight="1">
      <c r="C30" s="468"/>
      <c r="W30" s="676" t="s">
        <v>1637</v>
      </c>
      <c r="X30" s="677"/>
      <c r="Y30" s="480" t="s">
        <v>1621</v>
      </c>
      <c r="Z30" s="481">
        <v>2</v>
      </c>
      <c r="AA30" s="678"/>
      <c r="AB30" s="679"/>
      <c r="AC30" s="482"/>
      <c r="AD30" s="483"/>
    </row>
    <row r="31" spans="3:30">
      <c r="C31" s="468"/>
      <c r="U31" s="488"/>
      <c r="W31" s="486" t="s">
        <v>1638</v>
      </c>
      <c r="X31" s="487"/>
      <c r="Y31" s="480" t="s">
        <v>1621</v>
      </c>
      <c r="Z31" s="481">
        <v>2</v>
      </c>
      <c r="AA31" s="678"/>
      <c r="AB31" s="679"/>
      <c r="AC31" s="482"/>
      <c r="AD31" s="483"/>
    </row>
    <row r="32" spans="3:30">
      <c r="C32" s="468"/>
      <c r="U32" s="488"/>
      <c r="W32" s="484" t="s">
        <v>1639</v>
      </c>
      <c r="X32" s="485"/>
      <c r="Y32" s="480" t="s">
        <v>1640</v>
      </c>
      <c r="Z32" s="481">
        <v>6</v>
      </c>
      <c r="AA32" s="678"/>
      <c r="AB32" s="679"/>
      <c r="AC32" s="482"/>
      <c r="AD32" s="483"/>
    </row>
    <row r="33" spans="3:30">
      <c r="C33" s="468"/>
      <c r="W33" s="676" t="s">
        <v>1641</v>
      </c>
      <c r="X33" s="677"/>
      <c r="Y33" s="480" t="s">
        <v>1640</v>
      </c>
      <c r="Z33" s="481">
        <v>1</v>
      </c>
      <c r="AA33" s="678"/>
      <c r="AB33" s="679"/>
      <c r="AC33" s="482"/>
      <c r="AD33" s="483"/>
    </row>
    <row r="34" spans="3:30">
      <c r="C34" s="468"/>
      <c r="Q34" s="465" t="s">
        <v>1607</v>
      </c>
      <c r="W34" s="676" t="s">
        <v>1642</v>
      </c>
      <c r="X34" s="677"/>
      <c r="Y34" s="480" t="s">
        <v>1643</v>
      </c>
      <c r="Z34" s="481">
        <v>50</v>
      </c>
      <c r="AA34" s="678"/>
      <c r="AB34" s="679"/>
      <c r="AC34" s="482"/>
      <c r="AD34" s="483"/>
    </row>
    <row r="35" spans="3:30">
      <c r="C35" s="468"/>
      <c r="W35" s="676" t="s">
        <v>1644</v>
      </c>
      <c r="X35" s="677"/>
      <c r="Y35" s="480" t="s">
        <v>1643</v>
      </c>
      <c r="Z35" s="481">
        <v>720</v>
      </c>
      <c r="AA35" s="678"/>
      <c r="AB35" s="679"/>
      <c r="AC35" s="482"/>
      <c r="AD35" s="483"/>
    </row>
    <row r="36" spans="3:30">
      <c r="C36" s="468"/>
      <c r="W36" s="676" t="s">
        <v>1648</v>
      </c>
      <c r="X36" s="677"/>
      <c r="Y36" s="480" t="s">
        <v>1621</v>
      </c>
      <c r="Z36" s="481">
        <v>1</v>
      </c>
      <c r="AA36" s="678"/>
      <c r="AB36" s="679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0"/>
      <c r="AB37" s="681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2"/>
      <c r="AB38" s="683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4"/>
      <c r="AB39" s="665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6"/>
      <c r="X41" s="667"/>
      <c r="Y41" s="501"/>
      <c r="Z41" s="502"/>
      <c r="AA41" s="668"/>
      <c r="AB41" s="669"/>
      <c r="AC41" s="499"/>
      <c r="AD41" s="500"/>
    </row>
    <row r="42" spans="3:30" ht="12" customHeight="1">
      <c r="C42" s="468"/>
      <c r="W42" s="670" t="s">
        <v>1627</v>
      </c>
      <c r="X42" s="671"/>
      <c r="Y42" s="671"/>
      <c r="Z42" s="671"/>
      <c r="AA42" s="671"/>
      <c r="AB42" s="671"/>
      <c r="AC42" s="671"/>
      <c r="AD42" s="672"/>
    </row>
    <row r="43" spans="3:30" ht="12" customHeight="1">
      <c r="C43" s="468"/>
      <c r="V43" s="503"/>
      <c r="W43" s="673"/>
      <c r="X43" s="674"/>
      <c r="Y43" s="674"/>
      <c r="Z43" s="674"/>
      <c r="AA43" s="674"/>
      <c r="AB43" s="674"/>
      <c r="AC43" s="674"/>
      <c r="AD43" s="675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2" t="s">
        <v>11</v>
      </c>
      <c r="X44" s="649"/>
      <c r="Y44" s="650"/>
      <c r="Z44" s="650"/>
      <c r="AA44" s="650"/>
      <c r="AB44" s="650"/>
      <c r="AC44" s="650"/>
      <c r="AD44" s="651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2" t="s">
        <v>984</v>
      </c>
      <c r="X45" s="649"/>
      <c r="Y45" s="650">
        <v>1</v>
      </c>
      <c r="Z45" s="650"/>
      <c r="AA45" s="650"/>
      <c r="AB45" s="650" t="s">
        <v>12</v>
      </c>
      <c r="AC45" s="650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2" t="s">
        <v>15</v>
      </c>
      <c r="X46" s="649"/>
      <c r="Y46" s="663"/>
      <c r="Z46" s="663"/>
      <c r="AA46" s="663"/>
      <c r="AB46" s="650" t="s">
        <v>16</v>
      </c>
      <c r="AC46" s="650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6" t="s">
        <v>17</v>
      </c>
      <c r="X47" s="656"/>
      <c r="Y47" s="656"/>
      <c r="Z47" s="656"/>
      <c r="AA47" s="656"/>
      <c r="AB47" s="656"/>
      <c r="AC47" s="656"/>
      <c r="AD47" s="657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58" t="s">
        <v>1646</v>
      </c>
      <c r="X48" s="658"/>
      <c r="Y48" s="658"/>
      <c r="Z48" s="658"/>
      <c r="AA48" s="658"/>
      <c r="AB48" s="658"/>
      <c r="AC48" s="658"/>
      <c r="AD48" s="659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58"/>
      <c r="X49" s="658"/>
      <c r="Y49" s="658"/>
      <c r="Z49" s="658"/>
      <c r="AA49" s="658"/>
      <c r="AB49" s="658"/>
      <c r="AC49" s="658"/>
      <c r="AD49" s="659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58"/>
      <c r="X50" s="658"/>
      <c r="Y50" s="658"/>
      <c r="Z50" s="658"/>
      <c r="AA50" s="658"/>
      <c r="AB50" s="658"/>
      <c r="AC50" s="658"/>
      <c r="AD50" s="659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60"/>
      <c r="X51" s="660"/>
      <c r="Y51" s="660"/>
      <c r="Z51" s="660"/>
      <c r="AA51" s="660"/>
      <c r="AB51" s="660"/>
      <c r="AC51" s="660"/>
      <c r="AD51" s="661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48" t="s">
        <v>18</v>
      </c>
      <c r="X52" s="649"/>
      <c r="Y52" s="650" t="s">
        <v>1625</v>
      </c>
      <c r="Z52" s="650"/>
      <c r="AA52" s="650"/>
      <c r="AB52" s="650"/>
      <c r="AC52" s="650"/>
      <c r="AD52" s="651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48" t="s">
        <v>19</v>
      </c>
      <c r="X53" s="649"/>
      <c r="Y53" s="650" t="s">
        <v>1624</v>
      </c>
      <c r="Z53" s="650"/>
      <c r="AA53" s="650"/>
      <c r="AB53" s="650"/>
      <c r="AC53" s="650"/>
      <c r="AD53" s="651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48" t="s">
        <v>20</v>
      </c>
      <c r="X54" s="649"/>
      <c r="Y54" s="650" t="s">
        <v>1624</v>
      </c>
      <c r="Z54" s="650"/>
      <c r="AA54" s="650"/>
      <c r="AB54" s="650"/>
      <c r="AC54" s="650"/>
      <c r="AD54" s="651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2" t="s">
        <v>21</v>
      </c>
      <c r="X55" s="653"/>
      <c r="Y55" s="654" t="s">
        <v>1623</v>
      </c>
      <c r="Z55" s="654"/>
      <c r="AA55" s="654"/>
      <c r="AB55" s="654"/>
      <c r="AC55" s="654"/>
      <c r="AD55" s="655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7" zoomScaleNormal="40" zoomScaleSheetLayoutView="103" workbookViewId="0">
      <selection activeCell="C6" sqref="C6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9" t="s">
        <v>1628</v>
      </c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710"/>
      <c r="X3" s="710"/>
      <c r="Y3" s="710"/>
      <c r="Z3" s="710"/>
      <c r="AA3" s="710"/>
      <c r="AB3" s="711"/>
      <c r="AC3" s="431"/>
      <c r="AD3" s="429"/>
      <c r="AE3" s="429"/>
    </row>
    <row r="4" spans="2:31" ht="13.5" customHeight="1" thickBot="1">
      <c r="B4" s="430"/>
      <c r="C4" s="712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4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R62" sqref="R6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5" t="s">
        <v>1622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06"/>
      <c r="AE4" s="205"/>
      <c r="AF4" s="205"/>
    </row>
    <row r="5" spans="2:32" ht="13.5" customHeight="1" thickBot="1">
      <c r="B5" s="204"/>
      <c r="C5" s="204"/>
      <c r="D5" s="718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0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2024-05-16T08:12:10Z</dcterms:modified>
</cp:coreProperties>
</file>