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3F49D2F5-8128-447B-B37A-8C6B2E9FFD5B}" xr6:coauthVersionLast="47" xr6:coauthVersionMax="47" xr10:uidLastSave="{00000000-0000-0000-0000-000000000000}"/>
  <bookViews>
    <workbookView xWindow="-120" yWindow="-120" windowWidth="20730" windowHeight="1116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RAB!$A$1:$K$136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16" i="60" l="1"/>
  <c r="F51" i="11"/>
  <c r="F50" i="11"/>
  <c r="F49" i="11"/>
  <c r="F48" i="11"/>
  <c r="F45" i="11"/>
  <c r="F44" i="11"/>
  <c r="F43" i="11"/>
  <c r="F42" i="11"/>
  <c r="F41" i="11"/>
  <c r="F25" i="11"/>
  <c r="F38" i="11"/>
  <c r="F27" i="11"/>
  <c r="F26" i="11"/>
  <c r="F21" i="11"/>
  <c r="G113" i="11"/>
  <c r="G114" i="11"/>
  <c r="G115" i="11"/>
  <c r="D113" i="11"/>
  <c r="H113" i="11" s="1"/>
  <c r="E113" i="11"/>
  <c r="D114" i="11"/>
  <c r="J114" i="11" s="1"/>
  <c r="E114" i="11"/>
  <c r="D115" i="11"/>
  <c r="I115" i="11" s="1"/>
  <c r="E115" i="11"/>
  <c r="F105" i="11"/>
  <c r="F103" i="11"/>
  <c r="F102" i="11"/>
  <c r="F10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D94" i="11"/>
  <c r="I94" i="11" s="1"/>
  <c r="E94" i="11"/>
  <c r="D95" i="11"/>
  <c r="I95" i="11" s="1"/>
  <c r="E95" i="11"/>
  <c r="D96" i="11"/>
  <c r="E96" i="11"/>
  <c r="D97" i="11"/>
  <c r="H97" i="11" s="1"/>
  <c r="E97" i="11"/>
  <c r="D98" i="11"/>
  <c r="I98" i="11" s="1"/>
  <c r="E98" i="11"/>
  <c r="F59" i="11"/>
  <c r="F58" i="11"/>
  <c r="F57" i="11"/>
  <c r="F56" i="11"/>
  <c r="F55" i="11"/>
  <c r="F54" i="11"/>
  <c r="F65" i="11"/>
  <c r="F64" i="11"/>
  <c r="F63" i="11"/>
  <c r="F62" i="11"/>
  <c r="G39" i="11"/>
  <c r="D39" i="11"/>
  <c r="H39" i="11" s="1"/>
  <c r="E39" i="11"/>
  <c r="J96" i="11" l="1"/>
  <c r="I114" i="11"/>
  <c r="H115" i="11"/>
  <c r="J113" i="11"/>
  <c r="H114" i="11"/>
  <c r="I113" i="11"/>
  <c r="J115" i="11"/>
  <c r="J97" i="11"/>
  <c r="I97" i="11"/>
  <c r="J95" i="11"/>
  <c r="H95" i="11"/>
  <c r="H94" i="11"/>
  <c r="I96" i="11"/>
  <c r="J98" i="11"/>
  <c r="H96" i="11"/>
  <c r="J94" i="11"/>
  <c r="H98" i="11"/>
  <c r="J39" i="11"/>
  <c r="I39" i="11"/>
  <c r="K95" i="11" l="1"/>
  <c r="K113" i="11"/>
  <c r="K97" i="11"/>
  <c r="K114" i="11"/>
  <c r="K115" i="11"/>
  <c r="K98" i="11"/>
  <c r="K39" i="11"/>
  <c r="K96" i="11"/>
  <c r="K94" i="11"/>
  <c r="F71" i="11" l="1"/>
  <c r="F70" i="11"/>
  <c r="F69" i="11"/>
  <c r="F68" i="11"/>
  <c r="G17" i="11"/>
  <c r="D17" i="11"/>
  <c r="H17" i="11" s="1"/>
  <c r="E17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D51" i="11"/>
  <c r="H51" i="11" s="1"/>
  <c r="E51" i="11"/>
  <c r="D52" i="11"/>
  <c r="H52" i="11" s="1"/>
  <c r="E52" i="11"/>
  <c r="D53" i="11"/>
  <c r="J53" i="11" s="1"/>
  <c r="E53" i="11"/>
  <c r="D54" i="11"/>
  <c r="E54" i="11"/>
  <c r="D55" i="11"/>
  <c r="H55" i="11" s="1"/>
  <c r="E55" i="11"/>
  <c r="D56" i="11"/>
  <c r="J56" i="11" s="1"/>
  <c r="E56" i="11"/>
  <c r="D57" i="11"/>
  <c r="J57" i="11" s="1"/>
  <c r="E57" i="11"/>
  <c r="D58" i="11"/>
  <c r="E58" i="11"/>
  <c r="D59" i="11"/>
  <c r="H59" i="11" s="1"/>
  <c r="E59" i="11"/>
  <c r="D60" i="11"/>
  <c r="H60" i="11" s="1"/>
  <c r="E60" i="11"/>
  <c r="D61" i="11"/>
  <c r="J61" i="11" s="1"/>
  <c r="E61" i="11"/>
  <c r="D62" i="11"/>
  <c r="E62" i="11"/>
  <c r="D63" i="11"/>
  <c r="H63" i="11" s="1"/>
  <c r="E63" i="11"/>
  <c r="D64" i="11"/>
  <c r="H64" i="11" s="1"/>
  <c r="E64" i="11"/>
  <c r="D65" i="11"/>
  <c r="E65" i="11"/>
  <c r="D66" i="11"/>
  <c r="J66" i="11" s="1"/>
  <c r="E66" i="11"/>
  <c r="D67" i="11"/>
  <c r="J67" i="11" s="1"/>
  <c r="E67" i="11"/>
  <c r="D68" i="11"/>
  <c r="E68" i="11"/>
  <c r="D69" i="11"/>
  <c r="H69" i="11" s="1"/>
  <c r="E69" i="11"/>
  <c r="D70" i="11"/>
  <c r="J70" i="11" s="1"/>
  <c r="E70" i="11"/>
  <c r="D71" i="11"/>
  <c r="E71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40" i="11"/>
  <c r="G41" i="11"/>
  <c r="G42" i="11"/>
  <c r="G43" i="11"/>
  <c r="G44" i="11"/>
  <c r="G45" i="11"/>
  <c r="G46" i="11"/>
  <c r="G47" i="11"/>
  <c r="G48" i="11"/>
  <c r="G49" i="11"/>
  <c r="G50" i="11"/>
  <c r="D26" i="1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40" i="11"/>
  <c r="E40" i="11"/>
  <c r="D41" i="11"/>
  <c r="E41" i="11"/>
  <c r="D42" i="11"/>
  <c r="H42" i="11" s="1"/>
  <c r="E42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G19" i="11"/>
  <c r="G20" i="11"/>
  <c r="G21" i="11"/>
  <c r="G22" i="11"/>
  <c r="G23" i="11"/>
  <c r="G24" i="11"/>
  <c r="G25" i="11"/>
  <c r="D20" i="11"/>
  <c r="J20" i="11" s="1"/>
  <c r="E20" i="11"/>
  <c r="D21" i="11"/>
  <c r="E21" i="11"/>
  <c r="D22" i="11"/>
  <c r="H22" i="11" s="1"/>
  <c r="E22" i="11"/>
  <c r="D23" i="11"/>
  <c r="E23" i="11"/>
  <c r="D24" i="11"/>
  <c r="J24" i="11" s="1"/>
  <c r="E24" i="11"/>
  <c r="D25" i="11"/>
  <c r="I25" i="11" s="1"/>
  <c r="E25" i="11"/>
  <c r="I41" i="11" l="1"/>
  <c r="I54" i="11"/>
  <c r="J65" i="11"/>
  <c r="I58" i="11"/>
  <c r="J40" i="11"/>
  <c r="J71" i="11"/>
  <c r="I68" i="11"/>
  <c r="I62" i="11"/>
  <c r="J17" i="11"/>
  <c r="I17" i="11"/>
  <c r="I49" i="11"/>
  <c r="I45" i="11"/>
  <c r="I36" i="11"/>
  <c r="I32" i="11"/>
  <c r="I28" i="11"/>
  <c r="I67" i="11"/>
  <c r="I53" i="11"/>
  <c r="I65" i="11"/>
  <c r="I61" i="11"/>
  <c r="I71" i="11"/>
  <c r="I57" i="11"/>
  <c r="H71" i="11"/>
  <c r="I70" i="11"/>
  <c r="J69" i="11"/>
  <c r="H67" i="11"/>
  <c r="I66" i="11"/>
  <c r="H65" i="11"/>
  <c r="I64" i="11"/>
  <c r="J63" i="11"/>
  <c r="H61" i="11"/>
  <c r="I60" i="11"/>
  <c r="J59" i="11"/>
  <c r="H57" i="11"/>
  <c r="I56" i="11"/>
  <c r="J55" i="11"/>
  <c r="H53" i="11"/>
  <c r="I52" i="11"/>
  <c r="I51" i="11"/>
  <c r="J64" i="11"/>
  <c r="H62" i="11"/>
  <c r="J60" i="11"/>
  <c r="H54" i="11"/>
  <c r="J52" i="11"/>
  <c r="J51" i="11"/>
  <c r="H70" i="11"/>
  <c r="I69" i="11"/>
  <c r="J68" i="11"/>
  <c r="H66" i="11"/>
  <c r="I63" i="11"/>
  <c r="J62" i="11"/>
  <c r="I59" i="11"/>
  <c r="J58" i="11"/>
  <c r="H56" i="11"/>
  <c r="I55" i="11"/>
  <c r="J54" i="11"/>
  <c r="H68" i="11"/>
  <c r="H58" i="11"/>
  <c r="H26" i="11"/>
  <c r="H23" i="11"/>
  <c r="J43" i="11"/>
  <c r="H36" i="11"/>
  <c r="J34" i="11"/>
  <c r="I27" i="11"/>
  <c r="H45" i="11"/>
  <c r="J38" i="11"/>
  <c r="I31" i="11"/>
  <c r="J47" i="11"/>
  <c r="I35" i="11"/>
  <c r="H28" i="11"/>
  <c r="J26" i="11"/>
  <c r="H49" i="11"/>
  <c r="H32" i="11"/>
  <c r="J30" i="11"/>
  <c r="I48" i="11"/>
  <c r="I44" i="11"/>
  <c r="J50" i="11"/>
  <c r="H48" i="11"/>
  <c r="I47" i="11"/>
  <c r="J46" i="11"/>
  <c r="H44" i="11"/>
  <c r="I43" i="11"/>
  <c r="J42" i="11"/>
  <c r="H40" i="11"/>
  <c r="I38" i="11"/>
  <c r="J37" i="11"/>
  <c r="H35" i="11"/>
  <c r="I34" i="11"/>
  <c r="J33" i="11"/>
  <c r="H31" i="11"/>
  <c r="I30" i="11"/>
  <c r="J29" i="11"/>
  <c r="H27" i="11"/>
  <c r="I26" i="11"/>
  <c r="H41" i="11"/>
  <c r="I40" i="11"/>
  <c r="I50" i="11"/>
  <c r="K50" i="11" s="1"/>
  <c r="J49" i="11"/>
  <c r="I46" i="11"/>
  <c r="J45" i="11"/>
  <c r="I42" i="11"/>
  <c r="J41" i="11"/>
  <c r="I37" i="11"/>
  <c r="J36" i="11"/>
  <c r="I33" i="11"/>
  <c r="K33" i="11" s="1"/>
  <c r="J32" i="11"/>
  <c r="I29" i="11"/>
  <c r="J28" i="11"/>
  <c r="I21" i="11"/>
  <c r="J23" i="11"/>
  <c r="I20" i="11"/>
  <c r="I24" i="11"/>
  <c r="H21" i="11"/>
  <c r="H24" i="11"/>
  <c r="I23" i="11"/>
  <c r="J22" i="11"/>
  <c r="H20" i="11"/>
  <c r="H25" i="11"/>
  <c r="J25" i="11"/>
  <c r="I22" i="11"/>
  <c r="J21" i="11"/>
  <c r="K71" i="11" l="1"/>
  <c r="K68" i="11"/>
  <c r="K53" i="11"/>
  <c r="K17" i="11"/>
  <c r="K61" i="11"/>
  <c r="K70" i="11"/>
  <c r="K58" i="11"/>
  <c r="K66" i="11"/>
  <c r="K67" i="11"/>
  <c r="K49" i="11"/>
  <c r="K56" i="11"/>
  <c r="K63" i="11"/>
  <c r="K65" i="11"/>
  <c r="K32" i="11"/>
  <c r="K31" i="11"/>
  <c r="K59" i="11"/>
  <c r="K57" i="11"/>
  <c r="K51" i="11"/>
  <c r="K64" i="11"/>
  <c r="K54" i="11"/>
  <c r="K55" i="11"/>
  <c r="K60" i="11"/>
  <c r="K69" i="11"/>
  <c r="K52" i="11"/>
  <c r="K38" i="11"/>
  <c r="K44" i="11"/>
  <c r="K62" i="11"/>
  <c r="K30" i="11"/>
  <c r="K34" i="11"/>
  <c r="K20" i="11"/>
  <c r="K29" i="11"/>
  <c r="K46" i="11"/>
  <c r="K35" i="11"/>
  <c r="K47" i="11"/>
  <c r="K27" i="11"/>
  <c r="K28" i="11"/>
  <c r="K37" i="11"/>
  <c r="K26" i="11"/>
  <c r="K43" i="11"/>
  <c r="K41" i="11"/>
  <c r="K42" i="11"/>
  <c r="K36" i="11"/>
  <c r="K45" i="11"/>
  <c r="K48" i="11"/>
  <c r="K40" i="11"/>
  <c r="K23" i="11"/>
  <c r="K24" i="11"/>
  <c r="K21" i="11"/>
  <c r="K22" i="11"/>
  <c r="K25" i="11"/>
  <c r="G101" i="11" l="1"/>
  <c r="G102" i="11"/>
  <c r="G103" i="11"/>
  <c r="G104" i="11"/>
  <c r="G105" i="11"/>
  <c r="D16" i="11"/>
  <c r="F112" i="11" l="1"/>
  <c r="F111" i="11"/>
  <c r="F110" i="11"/>
  <c r="F109" i="11"/>
  <c r="F108" i="11"/>
  <c r="D105" i="11"/>
  <c r="H105" i="11" s="1"/>
  <c r="E105" i="11"/>
  <c r="G99" i="11"/>
  <c r="G100" i="11"/>
  <c r="G106" i="11"/>
  <c r="G107" i="11"/>
  <c r="G108" i="11"/>
  <c r="G109" i="11"/>
  <c r="G110" i="11"/>
  <c r="G111" i="11"/>
  <c r="G112" i="11"/>
  <c r="D99" i="11"/>
  <c r="H99" i="11" s="1"/>
  <c r="E99" i="11"/>
  <c r="D100" i="11"/>
  <c r="J100" i="11" s="1"/>
  <c r="E100" i="11"/>
  <c r="D101" i="11"/>
  <c r="I101" i="11" s="1"/>
  <c r="E101" i="11"/>
  <c r="D102" i="11"/>
  <c r="E102" i="11"/>
  <c r="D103" i="11"/>
  <c r="E103" i="11"/>
  <c r="D104" i="11"/>
  <c r="E104" i="11"/>
  <c r="D106" i="11"/>
  <c r="I106" i="11" s="1"/>
  <c r="E106" i="11"/>
  <c r="D107" i="11"/>
  <c r="H107" i="11" s="1"/>
  <c r="E107" i="11"/>
  <c r="D108" i="11"/>
  <c r="H108" i="11" s="1"/>
  <c r="E108" i="11"/>
  <c r="D109" i="11"/>
  <c r="J109" i="11" s="1"/>
  <c r="E109" i="11"/>
  <c r="D110" i="11"/>
  <c r="E110" i="11"/>
  <c r="D111" i="11"/>
  <c r="H111" i="11" s="1"/>
  <c r="E111" i="11"/>
  <c r="D112" i="11"/>
  <c r="H112" i="11" s="1"/>
  <c r="E112" i="11"/>
  <c r="G15" i="11"/>
  <c r="G16" i="11"/>
  <c r="G18" i="11"/>
  <c r="I110" i="11" l="1"/>
  <c r="J105" i="11"/>
  <c r="I105" i="11"/>
  <c r="H103" i="11"/>
  <c r="J104" i="11"/>
  <c r="H102" i="11"/>
  <c r="J108" i="11"/>
  <c r="H106" i="11"/>
  <c r="H100" i="11"/>
  <c r="I109" i="11"/>
  <c r="J103" i="11"/>
  <c r="H101" i="11"/>
  <c r="H109" i="11"/>
  <c r="J107" i="11"/>
  <c r="I104" i="11"/>
  <c r="J99" i="11"/>
  <c r="H110" i="11"/>
  <c r="H104" i="11"/>
  <c r="J102" i="11"/>
  <c r="I100" i="11"/>
  <c r="J112" i="11"/>
  <c r="I112" i="11"/>
  <c r="J111" i="11"/>
  <c r="I108" i="11"/>
  <c r="I103" i="11"/>
  <c r="I99" i="11"/>
  <c r="I111" i="11"/>
  <c r="K111" i="11" s="1"/>
  <c r="J110" i="11"/>
  <c r="I107" i="11"/>
  <c r="J106" i="11"/>
  <c r="I102" i="11"/>
  <c r="J101" i="11"/>
  <c r="K108" i="11" l="1"/>
  <c r="K105" i="11"/>
  <c r="K104" i="11"/>
  <c r="K102" i="11"/>
  <c r="K112" i="11"/>
  <c r="K110" i="11"/>
  <c r="K109" i="11"/>
  <c r="K107" i="11"/>
  <c r="K103" i="11"/>
  <c r="K101" i="11"/>
  <c r="K106" i="11"/>
  <c r="K99" i="11"/>
  <c r="K100" i="11"/>
  <c r="D8" i="59" l="1"/>
  <c r="E16" i="11"/>
  <c r="E18" i="11"/>
  <c r="D116" i="11" l="1"/>
  <c r="J116" i="11" s="1"/>
  <c r="D15" i="11"/>
  <c r="D18" i="11"/>
  <c r="D19" i="11"/>
  <c r="K6" i="60"/>
  <c r="M117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E93" i="11"/>
  <c r="D93" i="11"/>
  <c r="E92" i="11"/>
  <c r="D92" i="11"/>
  <c r="E91" i="11"/>
  <c r="D91" i="11"/>
  <c r="E90" i="11"/>
  <c r="D90" i="11"/>
  <c r="E89" i="11"/>
  <c r="D89" i="11"/>
  <c r="E88" i="11"/>
  <c r="D88" i="11"/>
  <c r="E87" i="11"/>
  <c r="D87" i="11"/>
  <c r="E86" i="11"/>
  <c r="D86" i="11"/>
  <c r="E85" i="11"/>
  <c r="D85" i="11"/>
  <c r="E84" i="11"/>
  <c r="D84" i="11"/>
  <c r="E83" i="11"/>
  <c r="D83" i="11"/>
  <c r="E82" i="11"/>
  <c r="D82" i="11"/>
  <c r="E81" i="11"/>
  <c r="D81" i="11"/>
  <c r="E80" i="11"/>
  <c r="D80" i="11"/>
  <c r="E79" i="11"/>
  <c r="D79" i="11"/>
  <c r="E78" i="11"/>
  <c r="D78" i="11"/>
  <c r="E77" i="11"/>
  <c r="D77" i="11"/>
  <c r="E76" i="11"/>
  <c r="D76" i="11"/>
  <c r="E75" i="11"/>
  <c r="D75" i="11"/>
  <c r="E74" i="11"/>
  <c r="D74" i="11"/>
  <c r="E73" i="11"/>
  <c r="D73" i="11"/>
  <c r="E72" i="11"/>
  <c r="D72" i="11"/>
  <c r="M72" i="11"/>
  <c r="D14" i="59"/>
  <c r="D5" i="60" s="1"/>
  <c r="K5" i="60" s="1"/>
  <c r="E19" i="11"/>
  <c r="E15" i="11"/>
  <c r="A15" i="11"/>
  <c r="D19" i="59"/>
  <c r="D8" i="60" s="1"/>
  <c r="D18" i="59"/>
  <c r="M16" i="11"/>
  <c r="M98" i="11"/>
  <c r="E116" i="11"/>
  <c r="G116" i="11"/>
  <c r="D14" i="11"/>
  <c r="H14" i="11" s="1"/>
  <c r="E14" i="11"/>
  <c r="G14" i="11"/>
  <c r="K19" i="60"/>
  <c r="D19" i="60"/>
  <c r="M116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D9" i="60" s="1"/>
  <c r="K18" i="60"/>
  <c r="K17" i="60"/>
  <c r="D17" i="60"/>
  <c r="D18" i="60"/>
  <c r="D20" i="60" s="1"/>
  <c r="D6" i="60"/>
  <c r="D117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17" i="11"/>
  <c r="D118" i="11"/>
  <c r="E118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18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17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25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07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C355" i="29"/>
  <c r="D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J72" i="11" l="1"/>
  <c r="H72" i="11"/>
  <c r="I72" i="11"/>
  <c r="I74" i="11"/>
  <c r="H74" i="11"/>
  <c r="J74" i="11"/>
  <c r="J76" i="11"/>
  <c r="H76" i="11"/>
  <c r="I76" i="11"/>
  <c r="I78" i="11"/>
  <c r="H78" i="11"/>
  <c r="J78" i="11"/>
  <c r="H80" i="11"/>
  <c r="I80" i="11"/>
  <c r="J80" i="11"/>
  <c r="I82" i="11"/>
  <c r="J82" i="11"/>
  <c r="H82" i="11"/>
  <c r="H84" i="11"/>
  <c r="I84" i="11"/>
  <c r="J84" i="11"/>
  <c r="I86" i="11"/>
  <c r="J86" i="11"/>
  <c r="H86" i="11"/>
  <c r="H88" i="11"/>
  <c r="I88" i="11"/>
  <c r="J88" i="11"/>
  <c r="I90" i="11"/>
  <c r="J90" i="11"/>
  <c r="H90" i="11"/>
  <c r="H92" i="11"/>
  <c r="I92" i="11"/>
  <c r="J92" i="11"/>
  <c r="J73" i="11"/>
  <c r="I73" i="11"/>
  <c r="H73" i="11"/>
  <c r="H75" i="11"/>
  <c r="I75" i="11"/>
  <c r="J75" i="11"/>
  <c r="J77" i="11"/>
  <c r="I77" i="11"/>
  <c r="H77" i="11"/>
  <c r="H79" i="11"/>
  <c r="I79" i="11"/>
  <c r="J79" i="11"/>
  <c r="J81" i="11"/>
  <c r="H81" i="11"/>
  <c r="I81" i="11"/>
  <c r="H83" i="11"/>
  <c r="I83" i="11"/>
  <c r="J83" i="11"/>
  <c r="J85" i="11"/>
  <c r="H85" i="11"/>
  <c r="I85" i="11"/>
  <c r="H87" i="11"/>
  <c r="I87" i="11"/>
  <c r="J87" i="11"/>
  <c r="J89" i="11"/>
  <c r="H89" i="11"/>
  <c r="I89" i="11"/>
  <c r="H91" i="11"/>
  <c r="I91" i="11"/>
  <c r="J91" i="11"/>
  <c r="J93" i="11"/>
  <c r="H93" i="11"/>
  <c r="I93" i="11"/>
  <c r="H19" i="11"/>
  <c r="J19" i="11"/>
  <c r="I19" i="11"/>
  <c r="H15" i="11"/>
  <c r="I15" i="11"/>
  <c r="J15" i="11"/>
  <c r="H18" i="11"/>
  <c r="I18" i="11"/>
  <c r="J18" i="11"/>
  <c r="J16" i="11"/>
  <c r="H16" i="11"/>
  <c r="I16" i="11"/>
  <c r="D312" i="29"/>
  <c r="E312" i="29" s="1"/>
  <c r="D802" i="41"/>
  <c r="E802" i="41" s="1"/>
  <c r="D22" i="59"/>
  <c r="K8" i="60" s="1"/>
  <c r="D21" i="59"/>
  <c r="M108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09" i="11"/>
  <c r="M110" i="11"/>
  <c r="M112" i="11"/>
  <c r="M111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E1048" i="41"/>
  <c r="E1170" i="41"/>
  <c r="E1130" i="41"/>
  <c r="E1136" i="41"/>
  <c r="E813" i="41"/>
  <c r="E1106" i="41"/>
  <c r="E895" i="41"/>
  <c r="E1053" i="41"/>
  <c r="F769" i="41"/>
  <c r="E1080" i="41"/>
  <c r="E1303" i="41"/>
  <c r="E891" i="41"/>
  <c r="E955" i="41"/>
  <c r="E1306" i="41"/>
  <c r="E918" i="41"/>
  <c r="E1103" i="41"/>
  <c r="E986" i="41"/>
  <c r="F797" i="4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F866" i="41"/>
  <c r="E1029" i="41"/>
  <c r="E784" i="41"/>
  <c r="E973" i="41"/>
  <c r="F322" i="29"/>
  <c r="F250" i="29"/>
  <c r="E273" i="29"/>
  <c r="E1292" i="41"/>
  <c r="E1132" i="41"/>
  <c r="E939" i="41"/>
  <c r="E781" i="41"/>
  <c r="E818" i="41"/>
  <c r="E1203" i="41"/>
  <c r="E952" i="41"/>
  <c r="E1090" i="41"/>
  <c r="F229" i="29"/>
  <c r="F868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F864" i="41"/>
  <c r="E1199" i="41"/>
  <c r="E1035" i="41"/>
  <c r="E1182" i="41"/>
  <c r="E1016" i="41"/>
  <c r="E791" i="41"/>
  <c r="F849" i="41"/>
  <c r="F858" i="41"/>
  <c r="F774" i="41"/>
  <c r="E798" i="41"/>
  <c r="E735" i="41"/>
  <c r="E1114" i="4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F806" i="41"/>
  <c r="E1081" i="41"/>
  <c r="E1027" i="41"/>
  <c r="F861" i="41"/>
  <c r="E861" i="41"/>
  <c r="E230" i="29"/>
  <c r="E346" i="29"/>
  <c r="E274" i="29"/>
  <c r="F274" i="29"/>
  <c r="H118" i="11"/>
  <c r="J118" i="11"/>
  <c r="E340" i="29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J14" i="11"/>
  <c r="E1149" i="41"/>
  <c r="F833" i="4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E749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E287" i="29"/>
  <c r="F287" i="29"/>
  <c r="E348" i="29"/>
  <c r="E59" i="39"/>
  <c r="E290" i="29"/>
  <c r="F323" i="29"/>
  <c r="E260" i="29"/>
  <c r="E236" i="29"/>
  <c r="E73" i="39"/>
  <c r="E341" i="29"/>
  <c r="F341" i="29"/>
  <c r="E284" i="29"/>
  <c r="F233" i="29"/>
  <c r="E58" i="39"/>
  <c r="F319" i="29"/>
  <c r="F310" i="29"/>
  <c r="M106" i="11"/>
  <c r="E725" i="41"/>
  <c r="F725" i="41"/>
  <c r="E777" i="41"/>
  <c r="F777" i="41"/>
  <c r="E1291" i="41"/>
  <c r="E1143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I118" i="11"/>
  <c r="I116" i="11"/>
  <c r="H116" i="11"/>
  <c r="F784" i="41" l="1"/>
  <c r="F294" i="29"/>
  <c r="F830" i="41"/>
  <c r="F340" i="29"/>
  <c r="K72" i="11"/>
  <c r="K90" i="11"/>
  <c r="K80" i="11"/>
  <c r="M80" i="11" s="1"/>
  <c r="K73" i="11"/>
  <c r="M73" i="11" s="1"/>
  <c r="K86" i="11"/>
  <c r="M86" i="11" s="1"/>
  <c r="K76" i="11"/>
  <c r="M76" i="11" s="1"/>
  <c r="K89" i="11"/>
  <c r="M89" i="11" s="1"/>
  <c r="K87" i="11"/>
  <c r="M87" i="11" s="1"/>
  <c r="K81" i="11"/>
  <c r="M81" i="11" s="1"/>
  <c r="K79" i="11"/>
  <c r="M79" i="11" s="1"/>
  <c r="K92" i="11"/>
  <c r="M92" i="11" s="1"/>
  <c r="K84" i="11"/>
  <c r="M84" i="11" s="1"/>
  <c r="K78" i="11"/>
  <c r="M78" i="11" s="1"/>
  <c r="K77" i="11"/>
  <c r="M77" i="11" s="1"/>
  <c r="K82" i="11"/>
  <c r="M82" i="11" s="1"/>
  <c r="K93" i="11"/>
  <c r="M93" i="11" s="1"/>
  <c r="K91" i="11"/>
  <c r="M91" i="11" s="1"/>
  <c r="K85" i="11"/>
  <c r="M85" i="11" s="1"/>
  <c r="K83" i="11"/>
  <c r="M83" i="11" s="1"/>
  <c r="K75" i="11"/>
  <c r="M75" i="11" s="1"/>
  <c r="K88" i="11"/>
  <c r="M88" i="11" s="1"/>
  <c r="K74" i="11"/>
  <c r="F789" i="41"/>
  <c r="F315" i="29"/>
  <c r="F805" i="41"/>
  <c r="F299" i="29"/>
  <c r="F790" i="41"/>
  <c r="F300" i="29"/>
  <c r="F845" i="41"/>
  <c r="F814" i="41"/>
  <c r="F324" i="29"/>
  <c r="F355" i="29"/>
  <c r="F810" i="41"/>
  <c r="F320" i="29"/>
  <c r="K19" i="11"/>
  <c r="F783" i="41"/>
  <c r="F293" i="29"/>
  <c r="F838" i="4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99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F60" i="39"/>
  <c r="D9" i="59"/>
  <c r="K7" i="54" s="1"/>
  <c r="C7" i="54"/>
  <c r="C8" i="54"/>
  <c r="K14" i="11"/>
  <c r="M14" i="11" s="1"/>
  <c r="M19" i="11"/>
  <c r="M115" i="11"/>
  <c r="K118" i="11"/>
  <c r="M94" i="11"/>
  <c r="F350" i="29"/>
  <c r="M90" i="11"/>
  <c r="K116" i="11"/>
  <c r="H117" i="11"/>
  <c r="H120" i="11" s="1"/>
  <c r="F312" i="29"/>
  <c r="F339" i="29"/>
  <c r="F226" i="29"/>
  <c r="F345" i="29"/>
  <c r="F239" i="29"/>
  <c r="I117" i="11"/>
  <c r="I120" i="11" s="1"/>
  <c r="J117" i="11"/>
  <c r="J120" i="11" s="1"/>
  <c r="M74" i="1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21" i="11"/>
  <c r="J122" i="11" s="1"/>
  <c r="H121" i="11"/>
  <c r="H122" i="11" s="1"/>
  <c r="I121" i="11"/>
  <c r="I122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D23" i="39"/>
  <c r="B23" i="39"/>
  <c r="E23" i="39" s="1"/>
  <c r="G23" i="39"/>
  <c r="D28" i="39"/>
  <c r="B26" i="39"/>
  <c r="E26" i="39" s="1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21" i="39"/>
  <c r="B21" i="39"/>
  <c r="E21" i="39" s="1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17" i="11"/>
  <c r="K120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67" i="29" l="1"/>
  <c r="D106" i="29"/>
  <c r="J106" i="29" s="1"/>
  <c r="D68" i="29"/>
  <c r="H68" i="29" s="1"/>
  <c r="G25" i="39"/>
  <c r="D92" i="29"/>
  <c r="I92" i="29" s="1"/>
  <c r="B124" i="29"/>
  <c r="E124" i="29" s="1"/>
  <c r="D148" i="29"/>
  <c r="J148" i="29" s="1"/>
  <c r="D90" i="29"/>
  <c r="H90" i="29" s="1"/>
  <c r="G18" i="39"/>
  <c r="G77" i="29"/>
  <c r="I30" i="39"/>
  <c r="G133" i="29"/>
  <c r="G29" i="39"/>
  <c r="G24" i="29"/>
  <c r="H24" i="29" s="1"/>
  <c r="D124" i="29"/>
  <c r="H124" i="29" s="1"/>
  <c r="D33" i="39"/>
  <c r="J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J58" i="29" s="1"/>
  <c r="B33" i="29"/>
  <c r="E33" i="29" s="1"/>
  <c r="G143" i="29"/>
  <c r="B18" i="39"/>
  <c r="E18" i="39" s="1"/>
  <c r="D29" i="39"/>
  <c r="I29" i="39" s="1"/>
  <c r="B28" i="39"/>
  <c r="E28" i="39" s="1"/>
  <c r="D20" i="39"/>
  <c r="J20" i="39" s="1"/>
  <c r="B38" i="29"/>
  <c r="E38" i="29" s="1"/>
  <c r="G85" i="29"/>
  <c r="G115" i="29"/>
  <c r="G58" i="29"/>
  <c r="D122" i="29"/>
  <c r="I122" i="29" s="1"/>
  <c r="D143" i="29"/>
  <c r="H143" i="29" s="1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J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H23" i="29" s="1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21" i="11"/>
  <c r="K122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I21" i="39"/>
  <c r="H21" i="39"/>
  <c r="J21" i="39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J18" i="29"/>
  <c r="I160" i="29"/>
  <c r="H160" i="29"/>
  <c r="J160" i="29"/>
  <c r="H58" i="29"/>
  <c r="H113" i="29"/>
  <c r="J113" i="29"/>
  <c r="I33" i="29"/>
  <c r="H33" i="29"/>
  <c r="J33" i="29"/>
  <c r="H122" i="29"/>
  <c r="J122" i="29"/>
  <c r="H67" i="29"/>
  <c r="J67" i="29"/>
  <c r="I67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I22" i="39" l="1"/>
  <c r="I68" i="29"/>
  <c r="I58" i="29"/>
  <c r="J29" i="39"/>
  <c r="H85" i="29"/>
  <c r="I124" i="29"/>
  <c r="H148" i="29"/>
  <c r="H132" i="29"/>
  <c r="I90" i="29"/>
  <c r="H29" i="39"/>
  <c r="J124" i="29"/>
  <c r="I148" i="29"/>
  <c r="I132" i="29"/>
  <c r="H33" i="39"/>
  <c r="K30" i="39"/>
  <c r="I20" i="29"/>
  <c r="I33" i="39"/>
  <c r="I81" i="29"/>
  <c r="J90" i="29"/>
  <c r="H92" i="29"/>
  <c r="J92" i="29"/>
  <c r="I86" i="29"/>
  <c r="I17" i="39"/>
  <c r="J20" i="29"/>
  <c r="K20" i="29" s="1"/>
  <c r="J35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K18" i="29" s="1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I111" i="29"/>
  <c r="H111" i="29"/>
  <c r="H105" i="29"/>
  <c r="J156" i="29"/>
  <c r="H91" i="29"/>
  <c r="K133" i="29"/>
  <c r="H66" i="29"/>
  <c r="I91" i="29"/>
  <c r="J66" i="29"/>
  <c r="K63" i="29"/>
  <c r="K112" i="29"/>
  <c r="K24" i="29"/>
  <c r="K116" i="29"/>
  <c r="K122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K21" i="39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23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33" i="39"/>
  <c r="K85" i="29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90" i="29" l="1"/>
  <c r="K41" i="29"/>
  <c r="K22" i="39"/>
  <c r="K124" i="29"/>
  <c r="K148" i="29"/>
  <c r="K29" i="39"/>
  <c r="K132" i="29"/>
  <c r="K92" i="29"/>
  <c r="K81" i="29"/>
  <c r="K157" i="29"/>
  <c r="K86" i="29"/>
  <c r="K17" i="39"/>
  <c r="K30" i="29"/>
  <c r="K35" i="29"/>
  <c r="K115" i="29"/>
  <c r="K47" i="29"/>
  <c r="K162" i="29"/>
  <c r="K34" i="3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<sst xmlns="http://schemas.openxmlformats.org/spreadsheetml/2006/main" count="4798" uniqueCount="1646">
  <si>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</si>
  <si>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</si>
  <si>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</si>
  <si>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</si>
  <si>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</si>
  <si>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</si>
  <si>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</si>
  <si>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</si>
  <si>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</si>
  <si>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</si>
  <si>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</si>
  <si>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</si>
  <si>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</si>
  <si>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</si>
  <si>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</si>
  <si>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</si>
  <si>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</si>
  <si>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</si>
  <si>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</si>
  <si>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</si>
  <si>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</si>
  <si>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</si>
  <si>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</si>
  <si>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</si>
  <si>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</si>
  <si>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</si>
  <si>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</si>
  <si>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</si>
  <si>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</si>
  <si>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</si>
  <si>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</si>
  <si>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</si>
  <si>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</si>
  <si>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</si>
  <si>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</si>
  <si>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</si>
  <si>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</si>
  <si>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</si>
  <si>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</si>
  <si>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</si>
  <si>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</si>
  <si>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</si>
  <si>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</si>
  <si>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</si>
  <si>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</si>
  <si>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</si>
  <si>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</si>
  <si>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</si>
  <si>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</si>
  <si>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</si>
  <si>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</si>
  <si>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</si>
  <si>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</si>
  <si>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</si>
  <si>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</si>
  <si>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</si>
  <si>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</si>
  <si>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</si>
  <si>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</si>
  <si>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</si>
  <si>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</si>
  <si>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</si>
  <si>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</si>
  <si>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</si>
  <si>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</si>
  <si>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</si>
  <si>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</si>
  <si>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</si>
  <si>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</si>
  <si>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</si>
  <si>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</si>
  <si>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</si>
  <si>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</si>
  <si>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</si>
  <si>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</si>
  <si>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</si>
  <si>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</si>
  <si>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</si>
  <si>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</si>
  <si>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</si>
  <si>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</si>
  <si>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</si>
  <si>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</si>
  <si>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</si>
  <si>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</si>
  <si>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</si>
  <si>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</si>
  <si>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</si>
  <si>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</si>
  <si>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</si>
  <si>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</si>
  <si>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</si>
  <si>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</si>
  <si>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</si>
  <si>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</si>
  <si>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</si>
  <si>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</si>
  <si>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</si>
  <si>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</si>
  <si>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</si>
  <si>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</si>
  <si>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</si>
  <si>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</si>
  <si>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</si>
  <si>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</si>
  <si>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</si>
  <si>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</si>
  <si>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</si>
  <si>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</si>
  <si>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</si>
  <si>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</si>
  <si>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</si>
  <si>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</si>
  <si>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</si>
  <si>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</si>
  <si>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</si>
  <si>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</si>
  <si>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</si>
  <si>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</si>
  <si>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</si>
  <si>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</si>
  <si>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</si>
  <si>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</si>
  <si>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</si>
  <si>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</si>
  <si>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</si>
  <si>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</si>
  <si>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</si>
  <si>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</si>
  <si>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</si>
  <si>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</si>
  <si>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</si>
  <si>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</si>
  <si>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</si>
  <si>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</si>
  <si>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</si>
  <si>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</si>
  <si>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</si>
  <si>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</si>
  <si>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</si>
  <si>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</si>
  <si>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</si>
  <si>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</si>
  <si>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</si>
  <si>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</si>
  <si>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</si>
  <si>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</si>
  <si>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</si>
  <si>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</si>
  <si>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</si>
  <si>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</si>
  <si>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</si>
  <si>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</si>
  <si>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</si>
  <si>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</si>
  <si>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</si>
  <si>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</si>
  <si>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</si>
  <si>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</si>
  <si>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</si>
  <si>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</si>
  <si>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</si>
  <si>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</si>
  <si>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</si>
  <si>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</si>
  <si>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</si>
  <si>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</si>
  <si>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</si>
  <si>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</si>
  <si>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</si>
  <si>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</si>
  <si>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</si>
  <si>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</si>
  <si>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</si>
  <si>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</si>
  <si>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</si>
  <si>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</si>
  <si>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</si>
  <si>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</si>
  <si>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</si>
  <si>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</si>
  <si>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</si>
  <si>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</si>
  <si>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</si>
  <si>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</si>
  <si>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</si>
  <si>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</si>
  <si>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</si>
  <si>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</si>
  <si>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</si>
  <si>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</si>
  <si>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</si>
  <si>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</si>
  <si>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</si>
  <si>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</si>
  <si>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</si>
  <si>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</si>
  <si>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</si>
  <si>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</si>
  <si>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</si>
  <si>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</si>
  <si>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</si>
  <si>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</si>
  <si>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</si>
  <si>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</si>
  <si>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</si>
  <si>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</si>
  <si>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</si>
  <si>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</si>
  <si>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</si>
  <si>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</si>
  <si>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</si>
  <si>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</si>
  <si>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</si>
  <si>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</si>
  <si>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</si>
  <si>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</si>
  <si>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</si>
  <si>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</si>
  <si>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</si>
  <si>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</si>
  <si>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</si>
  <si>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</si>
  <si>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</si>
  <si>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</si>
  <si>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</si>
  <si>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</si>
  <si>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</si>
  <si>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</si>
  <si>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</si>
  <si>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</si>
  <si>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</si>
  <si>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</si>
  <si>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</si>
  <si>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</si>
  <si>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</si>
  <si>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</si>
  <si>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</si>
  <si>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</si>
  <si>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</si>
  <si>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</si>
  <si>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</si>
  <si>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</si>
  <si>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</si>
  <si>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</si>
  <si>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</si>
  <si>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</si>
  <si>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</si>
  <si>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</si>
  <si>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</si>
  <si>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</si>
  <si>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</si>
  <si>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</si>
  <si>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</si>
  <si>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</si>
  <si>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</si>
  <si>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</si>
  <si>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</si>
  <si>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</si>
  <si>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</si>
  <si>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</si>
  <si>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</si>
  <si>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</si>
  <si>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</si>
  <si>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</si>
  <si>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</si>
  <si>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</si>
  <si>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</si>
  <si>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</si>
  <si>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</si>
  <si>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</si>
  <si>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</si>
  <si>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</si>
  <si>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</si>
  <si>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</si>
  <si>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</si>
  <si>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</si>
  <si>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</si>
  <si>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</si>
  <si>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</si>
  <si>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</si>
  <si>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</si>
  <si>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</si>
  <si>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</si>
  <si>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</si>
  <si>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</si>
  <si>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</si>
  <si>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</si>
  <si>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</si>
  <si>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</si>
  <si>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</si>
  <si>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</si>
  <si>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</si>
  <si>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</si>
  <si>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</si>
  <si>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</si>
  <si>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</si>
  <si>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</si>
  <si>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</si>
  <si>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</si>
  <si>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</si>
  <si>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</si>
  <si>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</si>
  <si>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</si>
  <si>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</si>
  <si>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</si>
  <si>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</si>
  <si>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</si>
  <si>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</si>
  <si>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</si>
  <si>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</si>
  <si>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</si>
  <si>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</si>
  <si>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</si>
  <si>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</si>
  <si>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</si>
  <si>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</si>
  <si>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</si>
  <si>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</si>
  <si>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</si>
  <si>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</si>
  <si>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</si>
  <si>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</si>
  <si>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</si>
  <si>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</si>
  <si>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</si>
  <si>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</si>
  <si>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</si>
  <si>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</si>
  <si>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</si>
  <si>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</si>
  <si>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</si>
  <si>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</si>
  <si>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</si>
  <si>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</si>
  <si>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</si>
  <si>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</si>
  <si>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</si>
  <si>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</si>
  <si>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</si>
  <si>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</si>
  <si>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</si>
  <si>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</si>
  <si>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</si>
  <si>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</si>
  <si>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</si>
  <si>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</si>
  <si>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</si>
  <si>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</si>
  <si>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</si>
  <si>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</si>
  <si>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</si>
  <si>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</si>
  <si>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</si>
  <si>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</si>
  <si>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</si>
  <si>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</si>
  <si>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</si>
  <si>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</si>
  <si>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</si>
  <si>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</si>
  <si>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</si>
  <si>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</si>
  <si>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</si>
  <si>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</si>
  <si>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</si>
  <si>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</si>
  <si>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</si>
  <si>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</si>
  <si>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</si>
  <si>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</si>
  <si>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</si>
  <si>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</si>
  <si>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</si>
  <si>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</si>
  <si>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</si>
  <si>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</si>
  <si>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</si>
  <si>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</si>
  <si>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</si>
  <si>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</si>
  <si>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</si>
  <si>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</si>
  <si>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</si>
  <si>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</si>
  <si>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</si>
  <si>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</si>
  <si>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</si>
  <si>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</si>
  <si>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</si>
  <si>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</si>
  <si>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</si>
  <si>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</si>
  <si>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</si>
  <si>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</si>
  <si>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</si>
  <si>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</si>
  <si>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</si>
  <si>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</si>
  <si>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</si>
  <si>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</si>
  <si>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</si>
  <si>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</si>
  <si>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</si>
  <si>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</si>
  <si>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</si>
  <si>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</si>
  <si>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</si>
  <si>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</si>
  <si>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</si>
  <si>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</si>
  <si>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</si>
  <si>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</si>
  <si>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</si>
  <si>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</si>
  <si>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</si>
  <si>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</si>
  <si>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</si>
  <si>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</si>
  <si>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</si>
  <si>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</si>
  <si>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</si>
  <si>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</si>
  <si>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</si>
  <si>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</si>
  <si>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</si>
  <si>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</si>
  <si>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</si>
  <si>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</si>
  <si>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</si>
  <si>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</si>
  <si>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</si>
  <si>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</si>
  <si>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</si>
  <si>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</si>
  <si>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</si>
  <si>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</si>
  <si>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</si>
  <si>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</si>
  <si>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</si>
  <si>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</si>
  <si>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</si>
  <si>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</si>
  <si>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</si>
  <si>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</si>
  <si>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</si>
  <si>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</si>
  <si>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</si>
  <si>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</si>
  <si>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</si>
  <si>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</si>
  <si>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</si>
  <si>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</si>
  <si>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</si>
  <si>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</si>
  <si>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</si>
  <si>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</si>
  <si>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</si>
  <si>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</si>
  <si>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</si>
  <si>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</si>
  <si>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</si>
  <si>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</si>
  <si>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</si>
  <si>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</si>
  <si>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</si>
  <si>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</si>
  <si>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</si>
  <si>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</si>
  <si>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</si>
  <si>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</si>
  <si>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</si>
  <si>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</si>
  <si>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</si>
  <si>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</si>
  <si>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</si>
  <si>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</si>
  <si>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</si>
  <si>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</si>
  <si>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</si>
  <si>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</si>
  <si>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</si>
  <si>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</si>
  <si>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</si>
  <si>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</si>
  <si>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</si>
  <si>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</si>
  <si>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</si>
  <si>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</si>
  <si>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</si>
  <si>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</si>
  <si>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</si>
  <si>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</si>
  <si>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</si>
  <si>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</si>
  <si>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</si>
  <si>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</si>
  <si>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</si>
  <si>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</si>
  <si>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</si>
  <si>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</si>
  <si>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</si>
  <si>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</si>
  <si>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</si>
  <si>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</si>
  <si>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</si>
  <si>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</si>
  <si>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</si>
  <si>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</si>
  <si>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</si>
  <si>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</si>
  <si>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</si>
  <si>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</si>
  <si>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</si>
  <si>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</si>
  <si>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</si>
  <si>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</si>
  <si>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</si>
  <si>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</si>
  <si>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</si>
  <si>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</si>
  <si>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</si>
  <si>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</si>
  <si>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</si>
  <si>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</si>
  <si>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</si>
  <si>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</si>
  <si>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</si>
  <si>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</si>
  <si>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</si>
  <si>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</si>
  <si>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</si>
  <si>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</si>
  <si>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</si>
  <si>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</si>
  <si>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</si>
  <si>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</si>
  <si>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</si>
  <si>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</si>
  <si>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</si>
  <si>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</si>
  <si>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</si>
  <si>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</si>
  <si>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</si>
  <si>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</si>
  <si>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</si>
  <si>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</si>
  <si>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</si>
  <si>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</si>
  <si>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</si>
  <si>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</si>
  <si>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</si>
  <si>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</si>
  <si>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</si>
  <si>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</si>
  <si>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</si>
  <si>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</si>
  <si>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</si>
  <si>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</si>
  <si>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</si>
  <si>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</si>
  <si>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</si>
  <si>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</si>
  <si>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</si>
  <si>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</si>
  <si>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</si>
  <si>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</si>
  <si>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</si>
  <si>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</si>
  <si>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</si>
  <si>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</si>
  <si>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</si>
  <si>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</si>
  <si>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</si>
  <si>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</si>
  <si>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</si>
  <si>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</si>
  <si>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</si>
  <si>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</si>
  <si>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</si>
  <si>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</si>
  <si>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</si>
  <si>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</si>
  <si>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</si>
  <si>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</si>
  <si>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</si>
  <si>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</si>
  <si>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</si>
  <si>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</si>
  <si>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</si>
  <si>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</si>
  <si>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</si>
  <si>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</si>
  <si>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</si>
  <si>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</si>
  <si>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</si>
  <si>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</si>
  <si>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</si>
  <si>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</si>
  <si>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</si>
  <si>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</si>
  <si>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</si>
  <si>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</si>
  <si>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</si>
  <si>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</si>
  <si>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</si>
  <si>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</si>
  <si>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</si>
  <si>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</si>
  <si>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</si>
  <si>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</si>
  <si>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</si>
  <si>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</si>
  <si>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</si>
  <si>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</si>
  <si>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</si>
  <si>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</si>
  <si>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</si>
  <si>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</si>
  <si>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</si>
  <si>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</si>
  <si>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</si>
  <si>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</si>
  <si>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</si>
  <si>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</si>
  <si>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</si>
  <si>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</si>
  <si>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</si>
  <si>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</si>
  <si>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</si>
  <si>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</si>
  <si>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</si>
  <si>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</si>
  <si>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</si>
  <si>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</si>
  <si>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</si>
  <si>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</si>
  <si>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</si>
  <si>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</si>
  <si>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</si>
  <si>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</si>
  <si>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</si>
  <si>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</si>
  <si>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</si>
  <si>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</si>
  <si>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</si>
  <si>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</si>
  <si>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</si>
  <si>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</si>
  <si>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</si>
  <si>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</si>
  <si>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</si>
  <si>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</si>
  <si>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</si>
  <si>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</si>
  <si>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</si>
  <si>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</si>
  <si>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</si>
  <si>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</si>
  <si>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</si>
  <si>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</si>
  <si>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</si>
  <si>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</si>
  <si>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</si>
  <si>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</si>
  <si>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</si>
  <si>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</si>
  <si>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</si>
  <si>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</si>
  <si>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</si>
  <si>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</si>
  <si>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</si>
  <si>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</si>
  <si>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</si>
  <si>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</si>
  <si>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</si>
  <si>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</si>
  <si>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</si>
  <si>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</si>
  <si>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</si>
  <si>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</si>
  <si>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</si>
  <si>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</si>
  <si>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</si>
  <si>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</si>
  <si>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</si>
  <si>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</si>
  <si>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</si>
  <si>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</si>
  <si>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</si>
  <si>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</si>
  <si>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</si>
  <si>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</si>
  <si>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</si>
  <si>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</si>
  <si>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</si>
  <si>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</si>
  <si>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</si>
  <si>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</si>
  <si>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</si>
  <si>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</si>
  <si>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</si>
  <si>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</si>
  <si>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</si>
  <si>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</si>
  <si>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</si>
  <si>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</si>
  <si>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</si>
  <si>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</si>
  <si>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</si>
  <si>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</si>
  <si>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</si>
  <si>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</si>
  <si>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</si>
  <si>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</si>
  <si>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</si>
  <si>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</si>
  <si>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</si>
  <si>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</si>
  <si>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</si>
  <si>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</si>
  <si>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</si>
  <si>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</si>
  <si>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</si>
  <si>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</si>
  <si>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</si>
  <si>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</si>
  <si>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</si>
  <si>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</si>
  <si>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</si>
  <si>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</si>
  <si>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</si>
  <si>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</si>
  <si>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</si>
  <si>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</si>
  <si>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</si>
  <si>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</si>
  <si>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</si>
  <si>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</si>
  <si>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</si>
  <si>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</si>
  <si>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</si>
  <si>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</si>
  <si>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</si>
  <si>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</si>
  <si>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</si>
  <si>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</si>
  <si>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</si>
  <si>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</si>
  <si>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</si>
  <si>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</si>
  <si>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</si>
  <si>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</si>
  <si>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</si>
  <si>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</si>
  <si>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</si>
  <si>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</si>
  <si>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</si>
  <si>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</si>
  <si>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</si>
  <si>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</si>
  <si>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</si>
  <si>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</si>
  <si>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</si>
  <si>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</si>
  <si>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</si>
  <si>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</si>
  <si>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</si>
  <si>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</si>
  <si>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</si>
  <si>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</si>
  <si>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</si>
  <si>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</si>
  <si>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</si>
  <si>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</si>
  <si>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</si>
  <si>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</si>
  <si>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</si>
  <si>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</si>
  <si>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</si>
  <si>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</si>
  <si>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</si>
  <si>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</si>
  <si>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</si>
  <si>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</si>
  <si>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</si>
  <si>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</si>
  <si>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</si>
  <si>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</si>
  <si>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</si>
  <si>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</si>
  <si>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</si>
  <si>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</si>
  <si>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</si>
  <si>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</si>
  <si>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</si>
  <si>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</si>
  <si>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</si>
  <si>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</si>
  <si>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</si>
  <si>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</si>
  <si>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</si>
  <si>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</si>
  <si>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</si>
  <si>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</si>
  <si>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</si>
  <si>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</si>
  <si>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</si>
  <si>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</si>
  <si>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</si>
  <si>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</si>
  <si>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</si>
  <si>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</si>
  <si>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</si>
  <si>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</si>
  <si>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</si>
  <si>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</si>
  <si>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</si>
  <si>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</si>
  <si>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</si>
  <si>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</si>
  <si>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</si>
  <si>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</si>
  <si>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</si>
  <si>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</si>
  <si>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</si>
  <si>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</si>
  <si>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</si>
  <si>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</si>
  <si>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</si>
  <si>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</si>
  <si>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</si>
  <si>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</si>
  <si>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</si>
  <si>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</si>
  <si>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</si>
  <si>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</si>
  <si>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</si>
  <si>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</si>
  <si>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</si>
  <si>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</si>
  <si>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</si>
  <si>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</si>
  <si>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</si>
  <si>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</si>
  <si>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</si>
  <si>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</si>
  <si>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</si>
  <si>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</si>
  <si>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</si>
  <si>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</si>
  <si>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</si>
  <si>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</si>
  <si>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</si>
  <si>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</si>
  <si>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</si>
  <si>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</si>
  <si>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</si>
  <si>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</si>
  <si>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</si>
  <si>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</si>
  <si>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</si>
  <si>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</si>
  <si>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</si>
  <si>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</si>
  <si>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</si>
  <si>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</si>
  <si>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</si>
  <si>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</si>
  <si>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</si>
  <si>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</si>
  <si>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</si>
  <si>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</si>
  <si>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</si>
  <si>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</si>
  <si>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</si>
  <si>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</si>
  <si>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</si>
  <si>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</si>
  <si>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</si>
  <si>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</si>
  <si>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</si>
  <si>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</si>
  <si>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</si>
  <si>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</si>
  <si>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</si>
  <si>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</si>
  <si>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</si>
  <si>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</si>
  <si>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</si>
  <si>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</si>
  <si>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</si>
  <si>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</si>
  <si>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</si>
  <si>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</si>
  <si>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</si>
  <si>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</si>
  <si>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</si>
  <si>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</si>
  <si>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</si>
  <si>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</si>
  <si>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</si>
  <si>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</si>
  <si>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</si>
  <si>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</si>
  <si>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</si>
  <si>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</si>
  <si>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</si>
  <si>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</si>
  <si>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</si>
  <si>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</si>
  <si>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</si>
  <si>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</si>
  <si>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</si>
  <si>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</si>
  <si>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</si>
  <si>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</si>
  <si>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</si>
  <si>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</si>
  <si>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</si>
  <si>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</si>
  <si>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</si>
  <si>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</si>
  <si>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</si>
  <si>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</si>
  <si>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</si>
  <si>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</si>
  <si>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</si>
  <si>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</si>
  <si>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</si>
  <si>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</si>
  <si>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</si>
  <si>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</si>
  <si>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</si>
  <si>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</si>
  <si>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</si>
  <si>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</si>
  <si>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</si>
  <si>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</si>
  <si>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</si>
  <si>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</si>
  <si>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</si>
  <si>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</si>
  <si>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</si>
  <si>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</si>
  <si>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</si>
  <si>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</si>
  <si>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</si>
  <si>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</si>
  <si>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</si>
  <si>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</si>
  <si>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</si>
  <si>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</si>
  <si>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</si>
  <si>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</si>
  <si>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</si>
  <si>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</si>
  <si>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</si>
  <si>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</si>
  <si>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</si>
  <si>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</si>
  <si>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</si>
  <si>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</si>
  <si>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</si>
  <si>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</si>
  <si>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</si>
  <si>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</si>
  <si>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</si>
  <si>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</si>
  <si>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</si>
  <si>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</si>
  <si>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</si>
  <si>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</si>
  <si>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</si>
  <si>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</si>
  <si>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</si>
  <si>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</si>
  <si>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</si>
  <si>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</si>
  <si>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</si>
  <si>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</si>
  <si>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</si>
  <si>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</si>
  <si>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</si>
  <si>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</si>
  <si>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</si>
  <si>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</si>
  <si>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</si>
  <si>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</si>
  <si>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</si>
  <si>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</si>
  <si>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</si>
  <si>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</si>
  <si>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</si>
  <si>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</si>
  <si>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</si>
  <si>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</si>
  <si>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</si>
  <si>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</si>
  <si>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</si>
  <si>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</si>
  <si>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</si>
  <si>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</si>
  <si>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</si>
  <si>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</si>
  <si>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</si>
  <si>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</si>
  <si>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</si>
  <si>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</si>
  <si>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</si>
  <si>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</si>
  <si>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</si>
  <si>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</si>
  <si>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</si>
  <si>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</si>
  <si>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</si>
  <si>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</si>
  <si>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</si>
  <si>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</si>
  <si>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</si>
  <si>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</si>
  <si>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</si>
  <si>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</si>
  <si>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</si>
  <si>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</si>
  <si>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</si>
  <si>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</si>
  <si>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</si>
  <si>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</si>
  <si>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</si>
  <si>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</si>
  <si>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</si>
  <si>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</si>
  <si>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</si>
  <si>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</si>
  <si>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</si>
  <si>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</si>
  <si>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</si>
  <si>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</si>
  <si>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</si>
  <si>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</si>
  <si>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</si>
  <si>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</si>
  <si>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</si>
  <si>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</si>
  <si>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</si>
  <si>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</si>
  <si>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</si>
  <si>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</si>
  <si>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</si>
  <si>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</si>
  <si>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</si>
  <si>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</si>
  <si>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</si>
  <si>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</si>
  <si>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</si>
  <si>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</si>
  <si>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</si>
  <si>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</si>
  <si>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</si>
  <si>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</si>
  <si>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</si>
  <si>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</si>
  <si>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</si>
  <si>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</si>
  <si>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</si>
  <si>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</si>
  <si>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</si>
  <si>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</si>
  <si>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</si>
  <si>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</si>
  <si>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</si>
  <si>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</si>
  <si>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</si>
  <si>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</si>
  <si>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</si>
  <si>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</si>
  <si>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</si>
  <si>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</si>
  <si>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</si>
  <si>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</si>
  <si>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</si>
  <si>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</si>
  <si>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</si>
  <si>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</si>
  <si>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</si>
  <si>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</si>
  <si>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</si>
  <si>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</si>
  <si>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</si>
  <si>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</si>
  <si>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</si>
  <si>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</si>
  <si>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</si>
  <si>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</si>
  <si>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</si>
  <si>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</si>
  <si>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</si>
  <si>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</si>
  <si>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</si>
  <si>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</si>
  <si>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</si>
  <si>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</si>
  <si>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</si>
  <si>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</si>
  <si>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</si>
  <si>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</si>
  <si>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</si>
  <si>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</si>
  <si>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</si>
  <si>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</si>
  <si>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</si>
  <si>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</si>
  <si>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</si>
  <si>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</si>
  <si>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</si>
  <si>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</si>
  <si>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</si>
  <si>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</si>
  <si>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</si>
  <si>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</si>
  <si>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</si>
  <si>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</si>
  <si>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</si>
  <si>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</si>
  <si>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</si>
  <si>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</si>
  <si>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</si>
  <si>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</si>
  <si>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</si>
  <si>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</si>
  <si>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</si>
  <si>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</si>
  <si>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</si>
  <si>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</si>
  <si>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</si>
  <si>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</si>
  <si>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</si>
  <si>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</si>
  <si>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</si>
  <si>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</si>
  <si>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</si>
  <si>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</si>
  <si>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</si>
  <si>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</si>
  <si>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</si>
  <si>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</si>
  <si>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</si>
  <si>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</si>
  <si>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</si>
  <si>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</si>
  <si>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</si>
  <si>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</si>
  <si>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</si>
  <si>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</si>
  <si>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</si>
  <si>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</si>
  <si>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</si>
  <si>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</si>
  <si>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</si>
  <si>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</si>
  <si>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</si>
  <si>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</si>
  <si>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</si>
  <si>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</si>
  <si>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</si>
  <si>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</si>
  <si>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</si>
  <si>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</si>
  <si>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</si>
  <si>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</si>
  <si>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</si>
  <si>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</si>
  <si>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</si>
  <si>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</si>
  <si>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</si>
  <si>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</si>
  <si>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</si>
  <si>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</si>
  <si>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</si>
  <si>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</si>
  <si>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</si>
  <si>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</si>
  <si>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</si>
  <si>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</si>
  <si>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</si>
  <si>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</si>
  <si>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</si>
  <si>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</si>
  <si>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</si>
  <si>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</si>
  <si>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</si>
  <si>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</si>
  <si>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</si>
  <si>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</si>
  <si>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</si>
  <si>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</si>
  <si>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</si>
  <si>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</si>
  <si>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</si>
  <si>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</si>
  <si>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</si>
  <si>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</si>
  <si>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</si>
  <si>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</si>
  <si>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</si>
  <si>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</si>
  <si>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</si>
  <si>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</si>
  <si>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</si>
  <si>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</si>
  <si>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</si>
  <si>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</si>
  <si>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</si>
  <si>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</si>
  <si>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</si>
  <si>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</si>
  <si>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</si>
  <si>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</si>
  <si>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</si>
  <si>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</si>
  <si>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</si>
  <si>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</si>
  <si>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</si>
  <si>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</si>
  <si>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</si>
  <si>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</si>
  <si>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</si>
  <si>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</si>
  <si>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</si>
  <si>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</si>
  <si>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</si>
  <si>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</si>
  <si>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</si>
  <si>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</si>
  <si>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</si>
  <si>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</si>
  <si>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</si>
  <si>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</si>
  <si>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</si>
  <si>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</si>
  <si>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</si>
  <si>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</si>
  <si>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</si>
  <si>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</si>
  <si>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</si>
  <si>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</si>
  <si>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</si>
  <si>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</si>
  <si>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</si>
  <si>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</si>
  <si>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</si>
  <si>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</si>
  <si>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</si>
  <si>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</si>
  <si>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</si>
  <si>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</si>
  <si>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</si>
  <si>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</si>
  <si>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</si>
  <si>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</si>
  <si>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</si>
  <si>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</si>
  <si>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</si>
  <si>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</si>
  <si>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</si>
  <si>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</si>
  <si>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</si>
  <si>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</si>
  <si>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</si>
  <si>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</si>
  <si>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</si>
  <si>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</si>
  <si>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</si>
  <si>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</si>
  <si>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</si>
  <si>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</si>
  <si>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</si>
  <si>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</si>
  <si>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</si>
  <si>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</si>
  <si>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</si>
  <si>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</si>
  <si>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</si>
  <si>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</si>
  <si>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</si>
  <si>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</si>
  <si>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</si>
  <si>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</si>
  <si>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</si>
  <si>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</si>
  <si>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</si>
  <si>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</si>
  <si>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</si>
  <si>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</si>
  <si>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</si>
  <si>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</si>
  <si>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</si>
  <si>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</si>
  <si>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</si>
  <si>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</si>
  <si>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</si>
  <si>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</si>
  <si>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</si>
  <si>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</si>
  <si>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</si>
  <si>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</si>
  <si>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</si>
  <si>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</si>
  <si>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</si>
  <si>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</si>
  <si>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</si>
  <si>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</si>
  <si>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</si>
  <si>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</si>
  <si>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</si>
  <si>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</si>
  <si>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</si>
  <si>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</si>
  <si>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</si>
  <si>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</si>
  <si>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</si>
  <si>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</si>
  <si>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</si>
  <si>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</si>
  <si>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</si>
  <si>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</si>
  <si>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</si>
  <si>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</si>
  <si>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</si>
  <si>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</si>
  <si>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</si>
  <si>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</si>
  <si>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</si>
  <si>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</si>
  <si>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</si>
  <si>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</si>
  <si>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</si>
  <si>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</si>
  <si>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</si>
  <si>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</si>
  <si>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</si>
  <si>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</si>
  <si>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</si>
  <si>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</si>
  <si>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</si>
  <si>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</si>
  <si>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</si>
  <si>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</si>
  <si>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</si>
  <si>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</si>
  <si>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</si>
  <si>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</si>
  <si>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</si>
  <si>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</si>
  <si>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</si>
  <si>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</si>
  <si>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</si>
  <si>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</si>
  <si>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</si>
  <si>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</si>
  <si>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</si>
  <si>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</si>
  <si>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</si>
  <si>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</si>
  <si>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</si>
  <si>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</si>
  <si>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</si>
  <si>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</si>
  <si>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</si>
  <si>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</si>
  <si>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</si>
  <si>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</si>
  <si>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</si>
  <si>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</si>
  <si>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</si>
  <si>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</si>
  <si>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</si>
  <si>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</si>
  <si>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</si>
  <si>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</si>
  <si>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</si>
  <si>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</si>
  <si>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</si>
  <si>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</si>
  <si>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</si>
  <si>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</si>
  <si>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</si>
  <si>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</si>
  <si>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</si>
  <si>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</si>
  <si>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</si>
  <si>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</si>
  <si>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</si>
  <si>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</si>
  <si>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</si>
  <si>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</si>
  <si>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</si>
  <si>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</si>
  <si>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</si>
  <si>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</si>
  <si>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</si>
  <si>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</si>
  <si>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</si>
  <si>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</si>
  <si>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</si>
  <si>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</si>
  <si>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</si>
  <si>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</si>
  <si>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</si>
  <si>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</si>
  <si>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</si>
  <si>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</si>
  <si>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</si>
  <si>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</si>
  <si>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</si>
  <si>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</si>
  <si>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</si>
  <si>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</si>
  <si>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</si>
  <si>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</si>
  <si>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</si>
  <si>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</si>
  <si>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</si>
  <si>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</si>
  <si>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</si>
  <si>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</si>
  <si>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</si>
  <si>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</si>
  <si>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</si>
  <si>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</si>
  <si>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</si>
  <si>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</si>
  <si>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</si>
  <si>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</si>
  <si>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</si>
  <si>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</si>
  <si>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</si>
  <si>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</si>
  <si>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</si>
  <si>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</si>
  <si>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</si>
  <si>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</si>
  <si>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</si>
  <si>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</si>
  <si>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</si>
  <si>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</si>
  <si>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</si>
  <si>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</si>
  <si>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</si>
  <si>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</si>
  <si>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</si>
  <si>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</si>
  <si>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</si>
  <si>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</si>
  <si>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</si>
  <si>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</si>
  <si>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</si>
  <si>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</si>
  <si>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</si>
  <si>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</si>
  <si>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</si>
  <si>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</si>
  <si>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</si>
  <si>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</si>
  <si>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</si>
  <si>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</si>
  <si>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</si>
  <si>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</si>
  <si>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</si>
  <si>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</si>
  <si>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</si>
  <si>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</si>
  <si>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</si>
  <si>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</si>
  <si>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</si>
  <si>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</si>
  <si>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</si>
  <si>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</si>
  <si>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</si>
  <si>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</si>
  <si>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</si>
  <si>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</si>
  <si>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</si>
  <si>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</si>
  <si>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</si>
  <si>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</si>
  <si>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</si>
  <si>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</si>
  <si>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</si>
  <si>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</si>
  <si>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</si>
  <si>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</si>
  <si>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</si>
  <si>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</si>
  <si>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</si>
  <si>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</si>
  <si>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</si>
  <si>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</si>
  <si>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</si>
  <si>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</si>
  <si>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</si>
  <si>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</si>
  <si>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</si>
  <si>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</si>
  <si>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</si>
  <si>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</si>
  <si>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</si>
  <si>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</si>
  <si>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</si>
  <si>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</si>
  <si>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</si>
  <si>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</si>
  <si>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</si>
  <si>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</si>
  <si>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</si>
  <si>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</si>
  <si>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</si>
  <si>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</si>
  <si>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</si>
  <si>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</si>
  <si>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</si>
  <si>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</si>
  <si>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</si>
  <si>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</si>
  <si>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</si>
  <si>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</si>
  <si>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</si>
  <si>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</si>
  <si>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</si>
  <si>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</si>
  <si>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</si>
  <si>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</si>
  <si>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</si>
  <si>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</si>
  <si>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</si>
  <si>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</si>
  <si>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</si>
  <si>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</si>
  <si>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</si>
  <si>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</si>
  <si>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</si>
  <si>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</si>
  <si>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</si>
  <si>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</si>
  <si>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</si>
  <si>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</si>
  <si>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</si>
  <si>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</si>
  <si>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</si>
  <si>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</si>
  <si>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</si>
  <si>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</si>
  <si>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</si>
  <si>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</si>
  <si>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</si>
  <si>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</si>
  <si>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</si>
  <si>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</si>
  <si>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</si>
  <si>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</si>
  <si>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</si>
  <si>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</si>
  <si>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</si>
  <si>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</si>
  <si>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</si>
  <si>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</si>
  <si>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</si>
  <si>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</si>
  <si>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</si>
  <si>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</si>
  <si>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</si>
  <si>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</si>
  <si>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</si>
  <si>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</si>
  <si>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</si>
  <si>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</si>
  <si>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</si>
  <si>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</si>
  <si>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</si>
  <si>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</si>
  <si>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</si>
  <si>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</si>
  <si>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</si>
  <si>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</si>
  <si>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</si>
  <si>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</si>
  <si>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</si>
  <si>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</si>
  <si>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</si>
  <si>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</si>
  <si>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</si>
  <si>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</si>
  <si>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</si>
  <si>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</si>
  <si>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</si>
  <si>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</si>
  <si>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</si>
  <si>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</si>
  <si>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</si>
  <si>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</si>
  <si>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</si>
  <si>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</si>
  <si>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</si>
  <si>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</si>
  <si>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</si>
  <si>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</si>
  <si>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</si>
  <si>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</si>
  <si>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</si>
  <si>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</si>
  <si>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</si>
  <si>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</si>
  <si>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</si>
  <si>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</si>
  <si>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</si>
  <si>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</si>
  <si>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</si>
  <si>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</si>
  <si>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</si>
  <si>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</si>
  <si>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</si>
  <si>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</si>
  <si>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</si>
  <si>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</si>
  <si>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</si>
  <si>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BTG</t>
  </si>
  <si>
    <t>CM2-12</t>
  </si>
  <si>
    <t xml:space="preserve">Jumper Wire : </t>
  </si>
  <si>
    <t>NFA2X-T 3 x 70 + N 50 mm²</t>
  </si>
  <si>
    <t>APP 3P 66KVA</t>
  </si>
  <si>
    <t>CE1-3</t>
  </si>
  <si>
    <t>F1-3</t>
  </si>
  <si>
    <t>LVTC 3X70+70</t>
  </si>
  <si>
    <t>MTR</t>
  </si>
  <si>
    <t>Daya 66.000 VA</t>
  </si>
  <si>
    <t>C12-200</t>
  </si>
  <si>
    <t>CJ6-T</t>
  </si>
  <si>
    <t>G313 160KVA</t>
  </si>
  <si>
    <t>CM2-12A</t>
  </si>
  <si>
    <t>-7.009738, 110.798655</t>
  </si>
  <si>
    <t>PB TRI CAHYO UTAMI 66KVA</t>
  </si>
  <si>
    <t>DS KLAMBU</t>
  </si>
  <si>
    <t>Trafo 3 Fasa 160 KVA 2 Tiang (G313)</t>
  </si>
  <si>
    <t>K2-339</t>
  </si>
  <si>
    <t>PWI05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</si>
</sst>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30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4" fillId="33" borderId="0" xfId="2677" applyFont="1" applyFill="1" applyAlignment="1">
      <alignment horizontal="center"/>
    </xf>
    <xf numFmtId="0" fontId="114" fillId="33" borderId="26" xfId="2677" applyFont="1" applyFill="1" applyBorder="1" applyAlignment="1">
      <alignment horizontal="center"/>
    </xf>
    <xf numFmtId="0" fontId="114" fillId="33" borderId="36" xfId="2677" applyFont="1" applyFill="1" applyBorder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quotePrefix="1" applyFont="1" applyFill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4" fillId="33" borderId="37" xfId="2677" applyFont="1" applyFill="1" applyBorder="1" applyAlignment="1">
      <alignment horizont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0" fontId="134" fillId="33" borderId="0" xfId="2677" applyFont="1" applyFill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0" fontId="114" fillId="33" borderId="38" xfId="2677" applyFont="1" applyFill="1" applyBorder="1" applyAlignment="1">
      <alignment horizontal="center"/>
    </xf>
    <xf numFmtId="0" fontId="115" fillId="33" borderId="0" xfId="2677" applyFont="1" applyFill="1" applyAlignment="1">
      <alignment horizontal="left"/>
    </xf>
    <xf numFmtId="0" fontId="115" fillId="33" borderId="0" xfId="2677" applyFont="1" applyFill="1" applyAlignment="1">
      <alignment horizontal="center"/>
    </xf>
    <xf numFmtId="0" fontId="91" fillId="33" borderId="40" xfId="2677" applyFont="1" applyFill="1" applyBorder="1" applyAlignment="1">
      <alignment horizontal="center" vertical="center"/>
    </xf>
    <xf numFmtId="0" fontId="91" fillId="33" borderId="47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 vertical="center"/>
    </xf>
    <xf numFmtId="0" fontId="114" fillId="33" borderId="39" xfId="2677" applyFont="1" applyFill="1" applyBorder="1" applyAlignment="1">
      <alignment horizontal="center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117" fillId="33" borderId="0" xfId="2677" applyFont="1" applyFill="1" applyAlignment="1">
      <alignment horizontal="center"/>
    </xf>
    <xf numFmtId="0" fontId="91" fillId="33" borderId="69" xfId="2677" applyFont="1" applyFill="1" applyBorder="1" applyAlignment="1">
      <alignment horizontal="left" vertical="center"/>
    </xf>
    <xf numFmtId="0" fontId="114" fillId="33" borderId="39" xfId="2677" applyFont="1" applyFill="1" applyBorder="1" applyAlignment="1">
      <alignment horizontal="center" vertical="top" wrapText="1"/>
    </xf>
    <xf numFmtId="0" fontId="172" fillId="33" borderId="59" xfId="2677" applyFont="1" applyFill="1" applyBorder="1" applyAlignment="1">
      <alignment horizontal="left" vertical="center"/>
    </xf>
    <xf numFmtId="0" fontId="172" fillId="33" borderId="69" xfId="2677" applyFont="1" applyFill="1" applyBorder="1" applyAlignment="1">
      <alignment horizontal="left" vertical="center"/>
    </xf>
    <xf numFmtId="0" fontId="91" fillId="33" borderId="98" xfId="2677" applyFont="1" applyFill="1" applyBorder="1" applyAlignment="1">
      <alignment horizontal="center" vertical="center"/>
    </xf>
    <xf numFmtId="0" fontId="172" fillId="33" borderId="101" xfId="2677" applyFont="1" applyFill="1" applyBorder="1" applyAlignment="1">
      <alignment horizontal="left" vertical="center"/>
    </xf>
    <xf numFmtId="0" fontId="172" fillId="33" borderId="100" xfId="2677" applyFont="1" applyFill="1" applyBorder="1" applyAlignment="1">
      <alignment horizontal="left" vertical="center"/>
    </xf>
    <xf numFmtId="0" fontId="172" fillId="33" borderId="99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4" fillId="33" borderId="3" xfId="2677" applyFont="1" applyFill="1" applyBorder="1" applyAlignment="1">
      <alignment vertical="top" wrapText="1"/>
    </xf>
    <xf numFmtId="0" fontId="114" fillId="33" borderId="39" xfId="2677" applyFont="1" applyFill="1" applyBorder="1" applyAlignment="1">
      <alignment vertical="top" wrapText="1"/>
    </xf>
    <xf numFmtId="0" fontId="118" fillId="33" borderId="95" xfId="2677" applyFont="1" applyFill="1" applyBorder="1" applyAlignment="1">
      <alignment horizontal="center" vertical="top" wrapText="1"/>
    </xf>
    <xf numFmtId="0" fontId="118" fillId="33" borderId="94" xfId="2677" applyFont="1" applyFill="1" applyBorder="1" applyAlignment="1">
      <alignment horizontal="center" vertical="top" wrapText="1"/>
    </xf>
    <xf numFmtId="0" fontId="114" fillId="33" borderId="42" xfId="2677" applyFont="1" applyFill="1" applyBorder="1" applyAlignment="1">
      <alignment horizontal="center"/>
    </xf>
    <xf numFmtId="0" fontId="118" fillId="33" borderId="28" xfId="2677" applyFont="1" applyFill="1" applyBorder="1" applyAlignment="1">
      <alignment horizontal="center"/>
    </xf>
    <xf numFmtId="0" fontId="118" fillId="33" borderId="0" xfId="2677" applyFont="1" applyFill="1" applyAlignment="1">
      <alignment horizontal="center"/>
    </xf>
    <xf numFmtId="20" fontId="114" fillId="33" borderId="39" xfId="2677" applyNumberFormat="1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42" xfId="2677" applyFont="1" applyFill="1" applyBorder="1" applyAlignment="1">
      <alignment horizontal="center" vertical="center" wrapText="1"/>
    </xf>
    <xf numFmtId="0" fontId="114" fillId="33" borderId="0" xfId="2677" applyFont="1" applyFill="1" applyAlignment="1">
      <alignment horizontal="center" vertical="center"/>
    </xf>
    <xf numFmtId="0" fontId="118" fillId="33" borderId="0" xfId="2677" applyFont="1" applyFill="1" applyAlignment="1">
      <alignment horizontal="center" vertical="center"/>
    </xf>
    <xf numFmtId="0" fontId="118" fillId="33" borderId="34" xfId="2677" applyFont="1" applyFill="1" applyBorder="1" applyAlignment="1">
      <alignment horizontal="center"/>
    </xf>
    <xf numFmtId="0" fontId="118" fillId="33" borderId="19" xfId="2677" applyFont="1" applyFill="1" applyBorder="1" applyAlignment="1">
      <alignment horizontal="center"/>
    </xf>
    <xf numFmtId="0" fontId="114" fillId="33" borderId="19" xfId="2677" applyFont="1" applyFill="1" applyBorder="1" applyAlignment="1">
      <alignment horizontal="center"/>
    </xf>
    <xf numFmtId="0" fontId="114" fillId="33" borderId="46" xfId="2677" applyFont="1" applyFill="1" applyBorder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0" fontId="113" fillId="0" borderId="21" xfId="1652" applyFont="1" applyBorder="1" applyAlignment="1">
      <alignment vertical="center"/>
    </xf>
    <xf numFmtId="0" fontId="43" fillId="0" borderId="21" xfId="1450" applyFont="1" applyBorder="1" applyAlignment="1">
      <alignment vertical="center" wrapText="1"/>
    </xf>
    <xf numFmtId="0" fontId="43" fillId="0" borderId="21" xfId="1450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0" fontId="43" fillId="0" borderId="20" xfId="1652" applyFont="1" applyBorder="1" applyAlignment="1">
      <alignment horizontal="center" vertical="center"/>
    </xf>
    <xf numFmtId="0" fontId="43" fillId="0" borderId="21" xfId="1652" applyFont="1" applyBorder="1" applyAlignment="1">
      <alignment vertical="center"/>
    </xf>
    <xf numFmtId="0" fontId="2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51" fillId="0" borderId="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1" fillId="0" borderId="44" xfId="1538" applyFont="1" applyBorder="1" applyAlignment="1">
      <alignment horizontal="left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52" fillId="35" borderId="3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29" fillId="35" borderId="55" xfId="2677" applyFont="1" applyFill="1" applyBorder="1" applyAlignment="1">
      <alignment horizontal="center" vertical="center"/>
    </xf>
    <xf numFmtId="0" fontId="129" fillId="35" borderId="36" xfId="2677" applyFont="1" applyFill="1" applyBorder="1" applyAlignment="1">
      <alignment horizontal="center" vertical="center"/>
    </xf>
    <xf numFmtId="0" fontId="129" fillId="35" borderId="48" xfId="2677" applyFont="1" applyFill="1" applyBorder="1" applyAlignment="1">
      <alignment horizontal="center" vertical="center"/>
    </xf>
    <xf numFmtId="0" fontId="129" fillId="35" borderId="43" xfId="2677" applyFont="1" applyFill="1" applyBorder="1" applyAlignment="1">
      <alignment horizontal="center" vertical="center"/>
    </xf>
    <xf numFmtId="0" fontId="129" fillId="35" borderId="44" xfId="2677" applyFont="1" applyFill="1" applyBorder="1" applyAlignment="1">
      <alignment horizontal="center" vertical="center"/>
    </xf>
    <xf numFmtId="0" fontId="129" fillId="35" borderId="45" xfId="2677" applyFont="1" applyFill="1" applyBorder="1" applyAlignment="1">
      <alignment horizontal="center" vertical="center"/>
    </xf>
    <xf numFmtId="0" fontId="114" fillId="33" borderId="3" xfId="2677" applyFont="1" applyFill="1" applyBorder="1" applyAlignment="1">
      <alignment horizontal="center"/>
    </xf>
    <xf numFmtId="0" fontId="114" fillId="33" borderId="39" xfId="2677" applyFont="1" applyFill="1" applyBorder="1" applyAlignment="1">
      <alignment horizontal="center"/>
    </xf>
    <xf numFmtId="49" fontId="91" fillId="33" borderId="102" xfId="2677" applyNumberFormat="1" applyFont="1" applyFill="1" applyBorder="1" applyAlignment="1">
      <alignment horizontal="left" vertical="center"/>
    </xf>
    <xf numFmtId="49" fontId="91" fillId="33" borderId="40" xfId="2677" applyNumberFormat="1" applyFont="1" applyFill="1" applyBorder="1" applyAlignment="1">
      <alignment horizontal="left" vertical="center"/>
    </xf>
    <xf numFmtId="49" fontId="173" fillId="33" borderId="102" xfId="2677" applyNumberFormat="1" applyFont="1" applyFill="1" applyBorder="1" applyAlignment="1">
      <alignment horizontal="left" vertical="center"/>
    </xf>
    <xf numFmtId="49" fontId="173" fillId="33" borderId="40" xfId="2677" applyNumberFormat="1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horizontal="left" vertical="center"/>
    </xf>
    <xf numFmtId="49" fontId="114" fillId="33" borderId="41" xfId="2677" applyNumberFormat="1" applyFont="1" applyFill="1" applyBorder="1" applyAlignment="1">
      <alignment horizontal="left" vertical="center"/>
    </xf>
    <xf numFmtId="0" fontId="173" fillId="33" borderId="59" xfId="2677" applyFont="1" applyFill="1" applyBorder="1" applyAlignment="1">
      <alignment horizontal="left" vertical="center"/>
    </xf>
    <xf numFmtId="0" fontId="173" fillId="33" borderId="60" xfId="2677" applyFont="1" applyFill="1" applyBorder="1" applyAlignment="1">
      <alignment horizontal="left" vertical="center"/>
    </xf>
    <xf numFmtId="0" fontId="114" fillId="33" borderId="56" xfId="2677" applyFont="1" applyFill="1" applyBorder="1" applyAlignment="1">
      <alignment horizontal="center"/>
    </xf>
    <xf numFmtId="0" fontId="114" fillId="33" borderId="57" xfId="2677" applyFont="1" applyFill="1" applyBorder="1" applyAlignment="1">
      <alignment horizontal="center"/>
    </xf>
    <xf numFmtId="0" fontId="115" fillId="33" borderId="18" xfId="2677" applyFont="1" applyFill="1" applyBorder="1" applyAlignment="1">
      <alignment horizontal="left"/>
    </xf>
    <xf numFmtId="0" fontId="115" fillId="33" borderId="0" xfId="2677" applyFont="1" applyFill="1" applyAlignment="1">
      <alignment horizontal="left"/>
    </xf>
    <xf numFmtId="0" fontId="115" fillId="33" borderId="37" xfId="2677" applyFont="1" applyFill="1" applyBorder="1" applyAlignment="1">
      <alignment horizontal="left"/>
    </xf>
    <xf numFmtId="0" fontId="130" fillId="33" borderId="50" xfId="2677" applyFont="1" applyFill="1" applyBorder="1" applyAlignment="1">
      <alignment horizontal="center" vertical="center"/>
    </xf>
    <xf numFmtId="0" fontId="130" fillId="33" borderId="7" xfId="2677" applyFont="1" applyFill="1" applyBorder="1" applyAlignment="1">
      <alignment horizontal="center" vertical="center"/>
    </xf>
    <xf numFmtId="0" fontId="130" fillId="33" borderId="41" xfId="2677" applyFont="1" applyFill="1" applyBorder="1" applyAlignment="1">
      <alignment horizontal="center" vertical="center"/>
    </xf>
    <xf numFmtId="0" fontId="115" fillId="33" borderId="50" xfId="2677" applyFont="1" applyFill="1" applyBorder="1" applyAlignment="1">
      <alignment horizontal="center" vertical="center"/>
    </xf>
    <xf numFmtId="0" fontId="115" fillId="33" borderId="7" xfId="2677" applyFont="1" applyFill="1" applyBorder="1" applyAlignment="1">
      <alignment horizontal="center" vertical="center"/>
    </xf>
    <xf numFmtId="0" fontId="115" fillId="33" borderId="58" xfId="2677" applyFont="1" applyFill="1" applyBorder="1" applyAlignment="1">
      <alignment horizontal="center" vertical="center"/>
    </xf>
    <xf numFmtId="0" fontId="91" fillId="33" borderId="59" xfId="2677" applyFont="1" applyFill="1" applyBorder="1" applyAlignment="1">
      <alignment horizontal="left" vertical="center"/>
    </xf>
    <xf numFmtId="0" fontId="91" fillId="33" borderId="60" xfId="2677" applyFont="1" applyFill="1" applyBorder="1" applyAlignment="1">
      <alignment horizontal="left" vertical="center"/>
    </xf>
    <xf numFmtId="0" fontId="91" fillId="33" borderId="102" xfId="2677" applyFont="1" applyFill="1" applyBorder="1" applyAlignment="1">
      <alignment horizontal="left" vertical="center"/>
    </xf>
    <xf numFmtId="0" fontId="91" fillId="33" borderId="40" xfId="2677" applyFont="1" applyFill="1" applyBorder="1" applyAlignment="1">
      <alignment horizontal="left" vertical="center"/>
    </xf>
    <xf numFmtId="49" fontId="114" fillId="33" borderId="50" xfId="2677" applyNumberFormat="1" applyFont="1" applyFill="1" applyBorder="1" applyAlignment="1">
      <alignment vertical="center"/>
    </xf>
    <xf numFmtId="49" fontId="114" fillId="33" borderId="41" xfId="2677" applyNumberFormat="1" applyFont="1" applyFill="1" applyBorder="1" applyAlignment="1">
      <alignment vertical="center"/>
    </xf>
    <xf numFmtId="49" fontId="114" fillId="33" borderId="50" xfId="2677" applyNumberFormat="1" applyFont="1" applyFill="1" applyBorder="1" applyAlignment="1">
      <alignment vertical="top" wrapText="1"/>
    </xf>
    <xf numFmtId="49" fontId="114" fillId="33" borderId="41" xfId="2677" applyNumberFormat="1" applyFont="1" applyFill="1" applyBorder="1" applyAlignment="1">
      <alignment vertical="top" wrapText="1"/>
    </xf>
    <xf numFmtId="0" fontId="114" fillId="33" borderId="7" xfId="2677" applyFont="1" applyFill="1" applyBorder="1" applyAlignment="1">
      <alignment horizontal="center"/>
    </xf>
    <xf numFmtId="0" fontId="114" fillId="33" borderId="41" xfId="2677" applyFont="1" applyFill="1" applyBorder="1" applyAlignment="1">
      <alignment horizontal="center"/>
    </xf>
    <xf numFmtId="15" fontId="114" fillId="33" borderId="3" xfId="2677" applyNumberFormat="1" applyFont="1" applyFill="1" applyBorder="1" applyAlignment="1">
      <alignment horizontal="center"/>
    </xf>
    <xf numFmtId="0" fontId="114" fillId="33" borderId="7" xfId="2677" applyFont="1" applyFill="1" applyBorder="1" applyAlignment="1">
      <alignment vertical="top" wrapText="1"/>
    </xf>
    <xf numFmtId="0" fontId="114" fillId="33" borderId="41" xfId="2677" applyFont="1" applyFill="1" applyBorder="1" applyAlignment="1">
      <alignment vertical="top" wrapText="1"/>
    </xf>
    <xf numFmtId="0" fontId="118" fillId="33" borderId="97" xfId="2677" applyFont="1" applyFill="1" applyBorder="1" applyAlignment="1">
      <alignment horizontal="center" vertical="center" wrapText="1"/>
    </xf>
    <xf numFmtId="0" fontId="118" fillId="33" borderId="96" xfId="2677" applyFont="1" applyFill="1" applyBorder="1" applyAlignment="1">
      <alignment horizontal="center" vertical="center" wrapText="1"/>
    </xf>
    <xf numFmtId="0" fontId="114" fillId="33" borderId="7" xfId="2677" applyFont="1" applyFill="1" applyBorder="1" applyAlignment="1">
      <alignment horizontal="center" vertical="top" wrapText="1"/>
    </xf>
    <xf numFmtId="0" fontId="114" fillId="33" borderId="41" xfId="2677" applyFont="1" applyFill="1" applyBorder="1" applyAlignment="1">
      <alignment horizontal="center" vertical="top" wrapText="1"/>
    </xf>
    <xf numFmtId="0" fontId="115" fillId="33" borderId="38" xfId="2677" applyFont="1" applyFill="1" applyBorder="1" applyAlignment="1">
      <alignment horizontal="left" vertical="top" wrapText="1"/>
    </xf>
    <xf numFmtId="0" fontId="115" fillId="33" borderId="56" xfId="2677" applyFont="1" applyFill="1" applyBorder="1" applyAlignment="1">
      <alignment horizontal="left" vertical="top" wrapText="1"/>
    </xf>
    <xf numFmtId="0" fontId="115" fillId="33" borderId="57" xfId="2677" applyFont="1" applyFill="1" applyBorder="1" applyAlignment="1">
      <alignment horizontal="left" vertical="top" wrapText="1"/>
    </xf>
    <xf numFmtId="0" fontId="115" fillId="33" borderId="43" xfId="2677" applyFont="1" applyFill="1" applyBorder="1" applyAlignment="1">
      <alignment horizontal="left" vertical="top" wrapText="1"/>
    </xf>
    <xf numFmtId="0" fontId="115" fillId="33" borderId="44" xfId="2677" applyFont="1" applyFill="1" applyBorder="1" applyAlignment="1">
      <alignment horizontal="left" vertical="top" wrapText="1"/>
    </xf>
    <xf numFmtId="0" fontId="115" fillId="33" borderId="45" xfId="2677" applyFont="1" applyFill="1" applyBorder="1" applyAlignment="1">
      <alignment horizontal="left" vertical="top" wrapText="1"/>
    </xf>
    <xf numFmtId="0" fontId="114" fillId="33" borderId="50" xfId="2677" applyFont="1" applyFill="1" applyBorder="1" applyAlignment="1">
      <alignment horizontal="center"/>
    </xf>
    <xf numFmtId="0" fontId="114" fillId="33" borderId="87" xfId="2677" applyFont="1" applyFill="1" applyBorder="1" applyAlignment="1">
      <alignment horizontal="center"/>
    </xf>
    <xf numFmtId="0" fontId="114" fillId="33" borderId="62" xfId="2677" applyFont="1" applyFill="1" applyBorder="1" applyAlignment="1">
      <alignment horizontal="center"/>
    </xf>
    <xf numFmtId="0" fontId="114" fillId="33" borderId="63" xfId="2677" applyFont="1" applyFill="1" applyBorder="1" applyAlignment="1">
      <alignment horizontal="center"/>
    </xf>
    <xf numFmtId="0" fontId="114" fillId="33" borderId="64" xfId="2677" applyFont="1" applyFill="1" applyBorder="1" applyAlignment="1">
      <alignment horizontal="center"/>
    </xf>
    <xf numFmtId="0" fontId="114" fillId="33" borderId="56" xfId="2677" applyFont="1" applyFill="1" applyBorder="1" applyAlignment="1">
      <alignment horizontal="center" vertical="center"/>
    </xf>
    <xf numFmtId="0" fontId="114" fillId="33" borderId="57" xfId="2677" applyFont="1" applyFill="1" applyBorder="1" applyAlignment="1">
      <alignment horizontal="center" vertical="center"/>
    </xf>
    <xf numFmtId="0" fontId="119" fillId="33" borderId="0" xfId="2677" applyFont="1" applyFill="1" applyAlignment="1">
      <alignment horizontal="center" vertical="center" wrapText="1"/>
    </xf>
    <xf numFmtId="0" fontId="119" fillId="33" borderId="37" xfId="2677" applyFont="1" applyFill="1" applyBorder="1" applyAlignment="1">
      <alignment horizontal="center" vertical="center" wrapText="1"/>
    </xf>
    <xf numFmtId="0" fontId="119" fillId="33" borderId="44" xfId="2677" applyFont="1" applyFill="1" applyBorder="1" applyAlignment="1">
      <alignment horizontal="center" vertical="center" wrapText="1"/>
    </xf>
    <xf numFmtId="0" fontId="119" fillId="33" borderId="45" xfId="2677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0.41250000000000003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0.84246951280150173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5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5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6428" y="838059"/>
          <a:ext cx="78668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6034" y="840891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8511" y="2080799"/>
          <a:ext cx="197006" cy="122930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91135" y="2081382"/>
          <a:ext cx="198434" cy="122929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3581" y="2251595"/>
          <a:ext cx="321021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21887" y="2251595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2130" y="1938748"/>
          <a:ext cx="117265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5910" y="1939454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6184" y="9106949"/>
          <a:ext cx="83822" cy="85252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92304" y="2339000"/>
          <a:ext cx="107252" cy="67569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8776" y="2486348"/>
          <a:ext cx="139135" cy="69139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4483" y="2938525"/>
          <a:ext cx="206054" cy="122931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8535" y="2939108"/>
          <a:ext cx="206054" cy="122930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7173" y="3109322"/>
          <a:ext cx="322449" cy="86295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6907" y="3109322"/>
          <a:ext cx="322449" cy="86295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8102" y="2800760"/>
          <a:ext cx="126313" cy="64431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3310" y="2801466"/>
          <a:ext cx="126313" cy="64431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189381</xdr:colOff>
      <xdr:row>13</xdr:row>
      <xdr:rowOff>127000</xdr:rowOff>
    </xdr:from>
    <xdr:to>
      <xdr:col>12</xdr:col>
      <xdr:colOff>74082</xdr:colOff>
      <xdr:row>37</xdr:row>
      <xdr:rowOff>21170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 rot="5400000">
          <a:off x="2327772" y="3682443"/>
          <a:ext cx="3460753" cy="26570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6563" y="8834438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0423" y="8811102"/>
          <a:ext cx="158386" cy="143555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5728" y="8851582"/>
          <a:ext cx="157278" cy="143556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213679</xdr:colOff>
      <xdr:row>33</xdr:row>
      <xdr:rowOff>90172</xdr:rowOff>
    </xdr:from>
    <xdr:to>
      <xdr:col>10</xdr:col>
      <xdr:colOff>358231</xdr:colOff>
      <xdr:row>34</xdr:row>
      <xdr:rowOff>86604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3571242" y="5221766"/>
          <a:ext cx="144552" cy="151213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3453" y="8845867"/>
          <a:ext cx="125502" cy="143999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1608" y="8805386"/>
          <a:ext cx="125502" cy="151216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2148" y="8868728"/>
          <a:ext cx="144423" cy="157309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1733" y="8776811"/>
          <a:ext cx="231003" cy="97097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3578" y="9012080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9033" y="9120665"/>
          <a:ext cx="83822" cy="85252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0013" y="9123522"/>
          <a:ext cx="139135" cy="69139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3373" y="9108281"/>
          <a:ext cx="139135" cy="69139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207221</xdr:colOff>
      <xdr:row>15</xdr:row>
      <xdr:rowOff>61172</xdr:rowOff>
    </xdr:from>
    <xdr:to>
      <xdr:col>10</xdr:col>
      <xdr:colOff>351773</xdr:colOff>
      <xdr:row>16</xdr:row>
      <xdr:rowOff>57604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564784" y="2418610"/>
          <a:ext cx="144552" cy="151213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72750</xdr:colOff>
      <xdr:row>21</xdr:row>
      <xdr:rowOff>35</xdr:rowOff>
    </xdr:from>
    <xdr:to>
      <xdr:col>16</xdr:col>
      <xdr:colOff>142092</xdr:colOff>
      <xdr:row>26</xdr:row>
      <xdr:rowOff>111645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927226" y="3313247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191823</xdr:colOff>
      <xdr:row>11</xdr:row>
      <xdr:rowOff>38365</xdr:rowOff>
    </xdr:from>
    <xdr:to>
      <xdr:col>10</xdr:col>
      <xdr:colOff>202407</xdr:colOff>
      <xdr:row>37</xdr:row>
      <xdr:rowOff>101865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3549386" y="1764771"/>
          <a:ext cx="10584" cy="409971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245714</xdr:colOff>
      <xdr:row>24</xdr:row>
      <xdr:rowOff>35138</xdr:rowOff>
    </xdr:from>
    <xdr:to>
      <xdr:col>15</xdr:col>
      <xdr:colOff>30449</xdr:colOff>
      <xdr:row>25</xdr:row>
      <xdr:rowOff>35137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5117071" y="3668245"/>
          <a:ext cx="165735" cy="149678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9</xdr:col>
      <xdr:colOff>263634</xdr:colOff>
      <xdr:row>26</xdr:row>
      <xdr:rowOff>78688</xdr:rowOff>
    </xdr:from>
    <xdr:to>
      <xdr:col>10</xdr:col>
      <xdr:colOff>202406</xdr:colOff>
      <xdr:row>27</xdr:row>
      <xdr:rowOff>35718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3240197" y="4138719"/>
          <a:ext cx="319772" cy="11181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215026</xdr:colOff>
      <xdr:row>24</xdr:row>
      <xdr:rowOff>71437</xdr:rowOff>
    </xdr:from>
    <xdr:to>
      <xdr:col>10</xdr:col>
      <xdr:colOff>234436</xdr:colOff>
      <xdr:row>25</xdr:row>
      <xdr:rowOff>119062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2810589" y="3821906"/>
          <a:ext cx="781410" cy="2024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100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222992</xdr:colOff>
      <xdr:row>24</xdr:row>
      <xdr:rowOff>34448</xdr:rowOff>
    </xdr:from>
    <xdr:to>
      <xdr:col>18</xdr:col>
      <xdr:colOff>346605</xdr:colOff>
      <xdr:row>27</xdr:row>
      <xdr:rowOff>23812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5485555" y="3784917"/>
          <a:ext cx="1266613" cy="4537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66KVA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40M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200025</xdr:colOff>
      <xdr:row>25</xdr:row>
      <xdr:rowOff>87311</xdr:rowOff>
    </xdr:from>
    <xdr:to>
      <xdr:col>10</xdr:col>
      <xdr:colOff>344577</xdr:colOff>
      <xdr:row>26</xdr:row>
      <xdr:rowOff>83745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3557588" y="3992561"/>
          <a:ext cx="144552" cy="151215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305592</xdr:colOff>
      <xdr:row>22</xdr:row>
      <xdr:rowOff>66147</xdr:rowOff>
    </xdr:from>
    <xdr:to>
      <xdr:col>8</xdr:col>
      <xdr:colOff>115093</xdr:colOff>
      <xdr:row>28</xdr:row>
      <xdr:rowOff>119062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F4E30960-589C-4110-B76D-3E686ADA01F6}"/>
            </a:ext>
          </a:extLst>
        </xdr:cNvPr>
        <xdr:cNvSpPr txBox="1"/>
      </xdr:nvSpPr>
      <xdr:spPr>
        <a:xfrm>
          <a:off x="1377155" y="3507053"/>
          <a:ext cx="1333501" cy="98160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K2-339</a:t>
          </a:r>
        </a:p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G312-A 100KVA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G313 160KVA</a:t>
          </a:r>
        </a:p>
        <a:p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359832</xdr:colOff>
      <xdr:row>24</xdr:row>
      <xdr:rowOff>63500</xdr:rowOff>
    </xdr:from>
    <xdr:to>
      <xdr:col>13</xdr:col>
      <xdr:colOff>123384</xdr:colOff>
      <xdr:row>25</xdr:row>
      <xdr:rowOff>59932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2082ED50-C770-4CE2-8331-4221BC02AC1A}"/>
            </a:ext>
          </a:extLst>
        </xdr:cNvPr>
        <xdr:cNvGrpSpPr/>
      </xdr:nvGrpSpPr>
      <xdr:grpSpPr>
        <a:xfrm>
          <a:off x="4479395" y="3813969"/>
          <a:ext cx="144552" cy="151213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7D547B66-FE30-ECFC-B1CD-9529C7E2812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07729CED-806C-D9DC-31E4-01854491BC8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D207DC6B-7D0E-1E51-F8F2-DCF1B5E5EDC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305594</xdr:colOff>
      <xdr:row>27</xdr:row>
      <xdr:rowOff>14553</xdr:rowOff>
    </xdr:from>
    <xdr:to>
      <xdr:col>13</xdr:col>
      <xdr:colOff>69146</xdr:colOff>
      <xdr:row>28</xdr:row>
      <xdr:rowOff>10986</xdr:rowOff>
    </xdr:to>
    <xdr:grpSp>
      <xdr:nvGrpSpPr>
        <xdr:cNvPr id="201" name="Group 13">
          <a:extLst>
            <a:ext uri="{FF2B5EF4-FFF2-40B4-BE49-F238E27FC236}">
              <a16:creationId xmlns:a16="http://schemas.microsoft.com/office/drawing/2014/main" id="{5CBFCA27-46F7-4CDB-88DF-F1834D5EA36B}"/>
            </a:ext>
          </a:extLst>
        </xdr:cNvPr>
        <xdr:cNvGrpSpPr/>
      </xdr:nvGrpSpPr>
      <xdr:grpSpPr>
        <a:xfrm>
          <a:off x="4425157" y="4229366"/>
          <a:ext cx="144552" cy="151214"/>
          <a:chOff x="9937028" y="802652"/>
          <a:chExt cx="83991" cy="77961"/>
        </a:xfrm>
      </xdr:grpSpPr>
      <xdr:sp macro="" textlink="">
        <xdr:nvSpPr>
          <xdr:cNvPr id="203" name="Oval 1">
            <a:extLst>
              <a:ext uri="{FF2B5EF4-FFF2-40B4-BE49-F238E27FC236}">
                <a16:creationId xmlns:a16="http://schemas.microsoft.com/office/drawing/2014/main" id="{F44BAFF0-ABBD-AC7C-8F56-5BF3F33A03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9" name="Straight Connector 3">
            <a:extLst>
              <a:ext uri="{FF2B5EF4-FFF2-40B4-BE49-F238E27FC236}">
                <a16:creationId xmlns:a16="http://schemas.microsoft.com/office/drawing/2014/main" id="{4F9C5643-3E44-BD5D-2C78-047EF63C055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7">
            <a:extLst>
              <a:ext uri="{FF2B5EF4-FFF2-40B4-BE49-F238E27FC236}">
                <a16:creationId xmlns:a16="http://schemas.microsoft.com/office/drawing/2014/main" id="{887922B1-76FC-2276-F14D-0E7A2767AE1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312208</xdr:colOff>
      <xdr:row>26</xdr:row>
      <xdr:rowOff>18722</xdr:rowOff>
    </xdr:from>
    <xdr:to>
      <xdr:col>12</xdr:col>
      <xdr:colOff>305594</xdr:colOff>
      <xdr:row>27</xdr:row>
      <xdr:rowOff>90160</xdr:rowOff>
    </xdr:to>
    <xdr:cxnSp macro="">
      <xdr:nvCxnSpPr>
        <xdr:cNvPr id="216" name="Straight Connector 215">
          <a:extLst>
            <a:ext uri="{FF2B5EF4-FFF2-40B4-BE49-F238E27FC236}">
              <a16:creationId xmlns:a16="http://schemas.microsoft.com/office/drawing/2014/main" id="{5B27C526-A008-443C-ABC3-8C3A9C58CFF6}"/>
            </a:ext>
          </a:extLst>
        </xdr:cNvPr>
        <xdr:cNvCxnSpPr>
          <a:endCxn id="203" idx="2"/>
        </xdr:cNvCxnSpPr>
      </xdr:nvCxnSpPr>
      <xdr:spPr>
        <a:xfrm>
          <a:off x="3669771" y="4078753"/>
          <a:ext cx="755386" cy="2262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214312</xdr:colOff>
      <xdr:row>15</xdr:row>
      <xdr:rowOff>120777</xdr:rowOff>
    </xdr:from>
    <xdr:to>
      <xdr:col>10</xdr:col>
      <xdr:colOff>238127</xdr:colOff>
      <xdr:row>15</xdr:row>
      <xdr:rowOff>142874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16C74AA8-023F-46A3-8B1F-8E643F06AFBE}"/>
            </a:ext>
          </a:extLst>
        </xdr:cNvPr>
        <xdr:cNvCxnSpPr/>
      </xdr:nvCxnSpPr>
      <xdr:spPr>
        <a:xfrm flipV="1">
          <a:off x="2809875" y="2478215"/>
          <a:ext cx="785815" cy="220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322791</xdr:colOff>
      <xdr:row>25</xdr:row>
      <xdr:rowOff>72760</xdr:rowOff>
    </xdr:from>
    <xdr:to>
      <xdr:col>10</xdr:col>
      <xdr:colOff>191844</xdr:colOff>
      <xdr:row>26</xdr:row>
      <xdr:rowOff>9785</xdr:rowOff>
    </xdr:to>
    <xdr:grpSp>
      <xdr:nvGrpSpPr>
        <xdr:cNvPr id="2" name="Group 134">
          <a:extLst>
            <a:ext uri="{FF2B5EF4-FFF2-40B4-BE49-F238E27FC236}">
              <a16:creationId xmlns:a16="http://schemas.microsoft.com/office/drawing/2014/main" id="{041BEF08-F548-466B-B8DA-D1CC487E897E}"/>
            </a:ext>
          </a:extLst>
        </xdr:cNvPr>
        <xdr:cNvGrpSpPr/>
      </xdr:nvGrpSpPr>
      <xdr:grpSpPr>
        <a:xfrm>
          <a:off x="3299354" y="3978010"/>
          <a:ext cx="250053" cy="91806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90" name="Isosceles Triangle 118">
            <a:extLst>
              <a:ext uri="{FF2B5EF4-FFF2-40B4-BE49-F238E27FC236}">
                <a16:creationId xmlns:a16="http://schemas.microsoft.com/office/drawing/2014/main" id="{4CAFE16E-3DB4-F0FE-FA2B-4B6C8F777D6F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96" name="Isosceles Triangle 119">
            <a:extLst>
              <a:ext uri="{FF2B5EF4-FFF2-40B4-BE49-F238E27FC236}">
                <a16:creationId xmlns:a16="http://schemas.microsoft.com/office/drawing/2014/main" id="{62B26286-1275-9FFE-5B92-EECDD8AFA1E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7" name="Isosceles Triangle 120">
            <a:extLst>
              <a:ext uri="{FF2B5EF4-FFF2-40B4-BE49-F238E27FC236}">
                <a16:creationId xmlns:a16="http://schemas.microsoft.com/office/drawing/2014/main" id="{133710AC-5FAC-B9CE-9EED-DA18380D4CC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6615</xdr:colOff>
      <xdr:row>26</xdr:row>
      <xdr:rowOff>55562</xdr:rowOff>
    </xdr:from>
    <xdr:to>
      <xdr:col>10</xdr:col>
      <xdr:colOff>26025</xdr:colOff>
      <xdr:row>27</xdr:row>
      <xdr:rowOff>97628</xdr:rowOff>
    </xdr:to>
    <xdr:sp macro="" textlink="">
      <xdr:nvSpPr>
        <xdr:cNvPr id="223" name="TextBox 160">
          <a:extLst>
            <a:ext uri="{FF2B5EF4-FFF2-40B4-BE49-F238E27FC236}">
              <a16:creationId xmlns:a16="http://schemas.microsoft.com/office/drawing/2014/main" id="{CBE9D55D-4E9A-4C95-AC92-244018735BF3}"/>
            </a:ext>
          </a:extLst>
        </xdr:cNvPr>
        <xdr:cNvSpPr txBox="1"/>
      </xdr:nvSpPr>
      <xdr:spPr>
        <a:xfrm>
          <a:off x="2602178" y="4115593"/>
          <a:ext cx="781410" cy="196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63500</xdr:colOff>
      <xdr:row>25</xdr:row>
      <xdr:rowOff>47625</xdr:rowOff>
    </xdr:from>
    <xdr:to>
      <xdr:col>13</xdr:col>
      <xdr:colOff>250031</xdr:colOff>
      <xdr:row>25</xdr:row>
      <xdr:rowOff>53763</xdr:rowOff>
    </xdr:to>
    <xdr:cxnSp macro="">
      <xdr:nvCxnSpPr>
        <xdr:cNvPr id="224" name="Straight Arrow Connector 166">
          <a:extLst>
            <a:ext uri="{FF2B5EF4-FFF2-40B4-BE49-F238E27FC236}">
              <a16:creationId xmlns:a16="http://schemas.microsoft.com/office/drawing/2014/main" id="{8258EC20-9FD6-4E93-B30B-CE65422E195E}"/>
            </a:ext>
          </a:extLst>
        </xdr:cNvPr>
        <xdr:cNvCxnSpPr>
          <a:cxnSpLocks/>
        </xdr:cNvCxnSpPr>
      </xdr:nvCxnSpPr>
      <xdr:spPr>
        <a:xfrm flipV="1">
          <a:off x="4564063" y="3952875"/>
          <a:ext cx="186531" cy="613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323408</xdr:colOff>
      <xdr:row>24</xdr:row>
      <xdr:rowOff>85645</xdr:rowOff>
    </xdr:from>
    <xdr:to>
      <xdr:col>13</xdr:col>
      <xdr:colOff>1</xdr:colOff>
      <xdr:row>25</xdr:row>
      <xdr:rowOff>109456</xdr:rowOff>
    </xdr:to>
    <xdr:cxnSp macro="">
      <xdr:nvCxnSpPr>
        <xdr:cNvPr id="226" name="Straight Connector 225">
          <a:extLst>
            <a:ext uri="{FF2B5EF4-FFF2-40B4-BE49-F238E27FC236}">
              <a16:creationId xmlns:a16="http://schemas.microsoft.com/office/drawing/2014/main" id="{78CFED2B-F659-4280-ACED-CFF4193F4EE6}"/>
            </a:ext>
          </a:extLst>
        </xdr:cNvPr>
        <xdr:cNvCxnSpPr>
          <a:stCxn id="193" idx="1"/>
          <a:endCxn id="213" idx="7"/>
        </xdr:cNvCxnSpPr>
      </xdr:nvCxnSpPr>
      <xdr:spPr>
        <a:xfrm flipH="1">
          <a:off x="3680971" y="3836114"/>
          <a:ext cx="819593" cy="17859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107157</xdr:colOff>
      <xdr:row>24</xdr:row>
      <xdr:rowOff>112528</xdr:rowOff>
    </xdr:from>
    <xdr:to>
      <xdr:col>14</xdr:col>
      <xdr:colOff>245714</xdr:colOff>
      <xdr:row>24</xdr:row>
      <xdr:rowOff>119062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476A7CBF-DE85-40A7-8716-9E4EC060387A}"/>
            </a:ext>
          </a:extLst>
        </xdr:cNvPr>
        <xdr:cNvCxnSpPr>
          <a:stCxn id="202" idx="1"/>
        </xdr:cNvCxnSpPr>
      </xdr:nvCxnSpPr>
      <xdr:spPr>
        <a:xfrm flipH="1">
          <a:off x="4607720" y="3862997"/>
          <a:ext cx="519557" cy="653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321469</xdr:colOff>
      <xdr:row>24</xdr:row>
      <xdr:rowOff>71438</xdr:rowOff>
    </xdr:from>
    <xdr:to>
      <xdr:col>14</xdr:col>
      <xdr:colOff>79604</xdr:colOff>
      <xdr:row>24</xdr:row>
      <xdr:rowOff>140577</xdr:rowOff>
    </xdr:to>
    <xdr:grpSp>
      <xdr:nvGrpSpPr>
        <xdr:cNvPr id="233" name="Grup 244">
          <a:extLst>
            <a:ext uri="{FF2B5EF4-FFF2-40B4-BE49-F238E27FC236}">
              <a16:creationId xmlns:a16="http://schemas.microsoft.com/office/drawing/2014/main" id="{31F016D6-EB49-40C8-944E-A8FFBDF707AA}"/>
            </a:ext>
          </a:extLst>
        </xdr:cNvPr>
        <xdr:cNvGrpSpPr/>
      </xdr:nvGrpSpPr>
      <xdr:grpSpPr>
        <a:xfrm>
          <a:off x="4822032" y="3821907"/>
          <a:ext cx="139135" cy="69139"/>
          <a:chOff x="13302191" y="2320613"/>
          <a:chExt cx="139135" cy="57233"/>
        </a:xfrm>
      </xdr:grpSpPr>
      <xdr:cxnSp macro="">
        <xdr:nvCxnSpPr>
          <xdr:cNvPr id="234" name="Straight Connector 81">
            <a:extLst>
              <a:ext uri="{FF2B5EF4-FFF2-40B4-BE49-F238E27FC236}">
                <a16:creationId xmlns:a16="http://schemas.microsoft.com/office/drawing/2014/main" id="{F59C75FA-F3F9-C47B-7E6F-2670E9403F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82">
            <a:extLst>
              <a:ext uri="{FF2B5EF4-FFF2-40B4-BE49-F238E27FC236}">
                <a16:creationId xmlns:a16="http://schemas.microsoft.com/office/drawing/2014/main" id="{40E80082-3B91-D100-5456-244C39AEC96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3">
            <a:extLst>
              <a:ext uri="{FF2B5EF4-FFF2-40B4-BE49-F238E27FC236}">
                <a16:creationId xmlns:a16="http://schemas.microsoft.com/office/drawing/2014/main" id="{BDAE88DA-56B6-81E8-90F3-6A776E8E87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4">
            <a:extLst>
              <a:ext uri="{FF2B5EF4-FFF2-40B4-BE49-F238E27FC236}">
                <a16:creationId xmlns:a16="http://schemas.microsoft.com/office/drawing/2014/main" id="{AA3EDBA4-E847-A6D0-DCB5-4B19F73D27A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226218</xdr:colOff>
      <xdr:row>16</xdr:row>
      <xdr:rowOff>47625</xdr:rowOff>
    </xdr:from>
    <xdr:to>
      <xdr:col>14</xdr:col>
      <xdr:colOff>349831</xdr:colOff>
      <xdr:row>21</xdr:row>
      <xdr:rowOff>83345</xdr:rowOff>
    </xdr:to>
    <xdr:sp macro="" textlink="">
      <xdr:nvSpPr>
        <xdr:cNvPr id="238" name="TextBox 157">
          <a:extLst>
            <a:ext uri="{FF2B5EF4-FFF2-40B4-BE49-F238E27FC236}">
              <a16:creationId xmlns:a16="http://schemas.microsoft.com/office/drawing/2014/main" id="{8FB31505-DB75-4C94-9D9E-8F44DF42CAFD}"/>
            </a:ext>
          </a:extLst>
        </xdr:cNvPr>
        <xdr:cNvSpPr txBox="1"/>
      </xdr:nvSpPr>
      <xdr:spPr>
        <a:xfrm>
          <a:off x="3964781" y="2559844"/>
          <a:ext cx="1266613" cy="80962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ctr"/>
          <a:r>
            <a:rPr lang="en-US" sz="800" u="none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CM2-12A</a:t>
          </a:r>
        </a:p>
        <a:p>
          <a:pPr algn="ctr"/>
          <a:r>
            <a:rPr lang="en-US" sz="80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  <a:endParaRPr lang="en-ID" sz="800" u="none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351773</xdr:colOff>
      <xdr:row>15</xdr:row>
      <xdr:rowOff>136779</xdr:rowOff>
    </xdr:from>
    <xdr:to>
      <xdr:col>10</xdr:col>
      <xdr:colOff>358231</xdr:colOff>
      <xdr:row>34</xdr:row>
      <xdr:rowOff>10998</xdr:rowOff>
    </xdr:to>
    <xdr:cxnSp macro="">
      <xdr:nvCxnSpPr>
        <xdr:cNvPr id="228" name="Straight Connector 139">
          <a:extLst>
            <a:ext uri="{FF2B5EF4-FFF2-40B4-BE49-F238E27FC236}">
              <a16:creationId xmlns:a16="http://schemas.microsoft.com/office/drawing/2014/main" id="{074C773D-73DA-4CEB-A3EB-47E8A39DCB83}"/>
            </a:ext>
          </a:extLst>
        </xdr:cNvPr>
        <xdr:cNvCxnSpPr>
          <a:cxnSpLocks/>
          <a:stCxn id="139" idx="6"/>
          <a:endCxn id="186" idx="6"/>
        </xdr:cNvCxnSpPr>
      </xdr:nvCxnSpPr>
      <xdr:spPr bwMode="auto">
        <a:xfrm flipH="1" flipV="1">
          <a:off x="3709336" y="2494217"/>
          <a:ext cx="6458" cy="28031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226219</xdr:colOff>
      <xdr:row>11</xdr:row>
      <xdr:rowOff>95250</xdr:rowOff>
    </xdr:from>
    <xdr:to>
      <xdr:col>8</xdr:col>
      <xdr:colOff>295561</xdr:colOff>
      <xdr:row>17</xdr:row>
      <xdr:rowOff>40172</xdr:rowOff>
    </xdr:to>
    <xdr:sp macro="" textlink="">
      <xdr:nvSpPr>
        <xdr:cNvPr id="232" name="Rectangle 1">
          <a:extLst>
            <a:ext uri="{FF2B5EF4-FFF2-40B4-BE49-F238E27FC236}">
              <a16:creationId xmlns:a16="http://schemas.microsoft.com/office/drawing/2014/main" id="{DB9CF03D-042C-4645-923A-7C5EAD0AA5F7}"/>
            </a:ext>
          </a:extLst>
        </xdr:cNvPr>
        <xdr:cNvSpPr/>
      </xdr:nvSpPr>
      <xdr:spPr>
        <a:xfrm rot="16200000">
          <a:off x="2032695" y="1848743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369094</xdr:colOff>
      <xdr:row>32</xdr:row>
      <xdr:rowOff>59531</xdr:rowOff>
    </xdr:from>
    <xdr:to>
      <xdr:col>9</xdr:col>
      <xdr:colOff>57436</xdr:colOff>
      <xdr:row>37</xdr:row>
      <xdr:rowOff>159235</xdr:rowOff>
    </xdr:to>
    <xdr:sp macro="" textlink="">
      <xdr:nvSpPr>
        <xdr:cNvPr id="240" name="Rectangle 1">
          <a:extLst>
            <a:ext uri="{FF2B5EF4-FFF2-40B4-BE49-F238E27FC236}">
              <a16:creationId xmlns:a16="http://schemas.microsoft.com/office/drawing/2014/main" id="{C59101D6-AB07-4E0D-8FC3-55F0B9F70879}"/>
            </a:ext>
          </a:extLst>
        </xdr:cNvPr>
        <xdr:cNvSpPr/>
      </xdr:nvSpPr>
      <xdr:spPr>
        <a:xfrm rot="16200000">
          <a:off x="2175570" y="5063431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273844</xdr:colOff>
      <xdr:row>34</xdr:row>
      <xdr:rowOff>47625</xdr:rowOff>
    </xdr:from>
    <xdr:to>
      <xdr:col>10</xdr:col>
      <xdr:colOff>297659</xdr:colOff>
      <xdr:row>34</xdr:row>
      <xdr:rowOff>69722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3B480091-A6CC-467E-9B9D-FCABF3592C1D}"/>
            </a:ext>
          </a:extLst>
        </xdr:cNvPr>
        <xdr:cNvCxnSpPr/>
      </xdr:nvCxnSpPr>
      <xdr:spPr>
        <a:xfrm flipV="1">
          <a:off x="2869407" y="5334000"/>
          <a:ext cx="785815" cy="220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15</xdr:row>
      <xdr:rowOff>33337</xdr:rowOff>
    </xdr:from>
    <xdr:to>
      <xdr:col>8</xdr:col>
      <xdr:colOff>270510</xdr:colOff>
      <xdr:row>16</xdr:row>
      <xdr:rowOff>33336</xdr:rowOff>
    </xdr:to>
    <xdr:sp macro="" textlink="">
      <xdr:nvSpPr>
        <xdr:cNvPr id="243" name="Rectangle 146">
          <a:extLst>
            <a:ext uri="{FF2B5EF4-FFF2-40B4-BE49-F238E27FC236}">
              <a16:creationId xmlns:a16="http://schemas.microsoft.com/office/drawing/2014/main" id="{393593AB-AC5B-4F97-8643-99C9B16D2B56}"/>
            </a:ext>
          </a:extLst>
        </xdr:cNvPr>
        <xdr:cNvSpPr/>
      </xdr:nvSpPr>
      <xdr:spPr>
        <a:xfrm>
          <a:off x="2700338" y="2390775"/>
          <a:ext cx="165735" cy="15478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8</xdr:col>
      <xdr:colOff>250031</xdr:colOff>
      <xdr:row>33</xdr:row>
      <xdr:rowOff>119062</xdr:rowOff>
    </xdr:from>
    <xdr:to>
      <xdr:col>9</xdr:col>
      <xdr:colOff>34766</xdr:colOff>
      <xdr:row>34</xdr:row>
      <xdr:rowOff>119061</xdr:rowOff>
    </xdr:to>
    <xdr:sp macro="" textlink="">
      <xdr:nvSpPr>
        <xdr:cNvPr id="244" name="Rectangle 146">
          <a:extLst>
            <a:ext uri="{FF2B5EF4-FFF2-40B4-BE49-F238E27FC236}">
              <a16:creationId xmlns:a16="http://schemas.microsoft.com/office/drawing/2014/main" id="{0D2390C5-BA8D-4F15-A644-2A843002C372}"/>
            </a:ext>
          </a:extLst>
        </xdr:cNvPr>
        <xdr:cNvSpPr/>
      </xdr:nvSpPr>
      <xdr:spPr>
        <a:xfrm>
          <a:off x="2845594" y="5250656"/>
          <a:ext cx="165735" cy="15478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13</xdr:col>
      <xdr:colOff>297656</xdr:colOff>
      <xdr:row>29</xdr:row>
      <xdr:rowOff>119062</xdr:rowOff>
    </xdr:from>
    <xdr:to>
      <xdr:col>15</xdr:col>
      <xdr:colOff>366998</xdr:colOff>
      <xdr:row>35</xdr:row>
      <xdr:rowOff>87797</xdr:rowOff>
    </xdr:to>
    <xdr:sp macro="" textlink="">
      <xdr:nvSpPr>
        <xdr:cNvPr id="245" name="Rectangle 1">
          <a:extLst>
            <a:ext uri="{FF2B5EF4-FFF2-40B4-BE49-F238E27FC236}">
              <a16:creationId xmlns:a16="http://schemas.microsoft.com/office/drawing/2014/main" id="{148A1B5C-C49F-44BB-AA10-41FE25F2EEFF}"/>
            </a:ext>
          </a:extLst>
        </xdr:cNvPr>
        <xdr:cNvSpPr/>
      </xdr:nvSpPr>
      <xdr:spPr>
        <a:xfrm rot="16200000">
          <a:off x="4771132" y="4670524"/>
          <a:ext cx="885516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23812</xdr:colOff>
      <xdr:row>27</xdr:row>
      <xdr:rowOff>142875</xdr:rowOff>
    </xdr:from>
    <xdr:to>
      <xdr:col>13</xdr:col>
      <xdr:colOff>285749</xdr:colOff>
      <xdr:row>31</xdr:row>
      <xdr:rowOff>59531</xdr:rowOff>
    </xdr:to>
    <xdr:cxnSp macro="">
      <xdr:nvCxnSpPr>
        <xdr:cNvPr id="246" name="Straight Connector 245">
          <a:extLst>
            <a:ext uri="{FF2B5EF4-FFF2-40B4-BE49-F238E27FC236}">
              <a16:creationId xmlns:a16="http://schemas.microsoft.com/office/drawing/2014/main" id="{ADA0B067-DDC7-4783-B954-95B959B107B3}"/>
            </a:ext>
          </a:extLst>
        </xdr:cNvPr>
        <xdr:cNvCxnSpPr/>
      </xdr:nvCxnSpPr>
      <xdr:spPr>
        <a:xfrm>
          <a:off x="4524375" y="4357688"/>
          <a:ext cx="261937" cy="52387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31</xdr:row>
      <xdr:rowOff>0</xdr:rowOff>
    </xdr:from>
    <xdr:to>
      <xdr:col>14</xdr:col>
      <xdr:colOff>70485</xdr:colOff>
      <xdr:row>31</xdr:row>
      <xdr:rowOff>154780</xdr:rowOff>
    </xdr:to>
    <xdr:sp macro="" textlink="">
      <xdr:nvSpPr>
        <xdr:cNvPr id="248" name="Rectangle 146">
          <a:extLst>
            <a:ext uri="{FF2B5EF4-FFF2-40B4-BE49-F238E27FC236}">
              <a16:creationId xmlns:a16="http://schemas.microsoft.com/office/drawing/2014/main" id="{527CA9D9-49CC-4D69-B629-2908503536C9}"/>
            </a:ext>
          </a:extLst>
        </xdr:cNvPr>
        <xdr:cNvSpPr/>
      </xdr:nvSpPr>
      <xdr:spPr>
        <a:xfrm>
          <a:off x="4786313" y="4822031"/>
          <a:ext cx="165735" cy="15478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178594</xdr:colOff>
      <xdr:row>25</xdr:row>
      <xdr:rowOff>0</xdr:rowOff>
    </xdr:from>
    <xdr:to>
      <xdr:col>11</xdr:col>
      <xdr:colOff>317729</xdr:colOff>
      <xdr:row>25</xdr:row>
      <xdr:rowOff>69139</xdr:rowOff>
    </xdr:to>
    <xdr:grpSp>
      <xdr:nvGrpSpPr>
        <xdr:cNvPr id="251" name="Grup 244">
          <a:extLst>
            <a:ext uri="{FF2B5EF4-FFF2-40B4-BE49-F238E27FC236}">
              <a16:creationId xmlns:a16="http://schemas.microsoft.com/office/drawing/2014/main" id="{84956F68-7079-473D-89AD-6CD416991DB4}"/>
            </a:ext>
          </a:extLst>
        </xdr:cNvPr>
        <xdr:cNvGrpSpPr/>
      </xdr:nvGrpSpPr>
      <xdr:grpSpPr>
        <a:xfrm>
          <a:off x="3917157" y="3905250"/>
          <a:ext cx="139135" cy="69139"/>
          <a:chOff x="13302191" y="2320613"/>
          <a:chExt cx="139135" cy="57233"/>
        </a:xfrm>
      </xdr:grpSpPr>
      <xdr:cxnSp macro="">
        <xdr:nvCxnSpPr>
          <xdr:cNvPr id="252" name="Straight Connector 81">
            <a:extLst>
              <a:ext uri="{FF2B5EF4-FFF2-40B4-BE49-F238E27FC236}">
                <a16:creationId xmlns:a16="http://schemas.microsoft.com/office/drawing/2014/main" id="{5CE8F2BC-CD85-040C-1D47-688820D9808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82">
            <a:extLst>
              <a:ext uri="{FF2B5EF4-FFF2-40B4-BE49-F238E27FC236}">
                <a16:creationId xmlns:a16="http://schemas.microsoft.com/office/drawing/2014/main" id="{CB0E17AC-0C01-CC01-49C1-3F96041F277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83">
            <a:extLst>
              <a:ext uri="{FF2B5EF4-FFF2-40B4-BE49-F238E27FC236}">
                <a16:creationId xmlns:a16="http://schemas.microsoft.com/office/drawing/2014/main" id="{87D84B54-34B1-9DD0-5CA0-33E0DB0953D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84">
            <a:extLst>
              <a:ext uri="{FF2B5EF4-FFF2-40B4-BE49-F238E27FC236}">
                <a16:creationId xmlns:a16="http://schemas.microsoft.com/office/drawing/2014/main" id="{39BE9577-B6B0-C25A-28A7-AD1C96B4A4F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309563</xdr:colOff>
      <xdr:row>30</xdr:row>
      <xdr:rowOff>11906</xdr:rowOff>
    </xdr:from>
    <xdr:to>
      <xdr:col>11</xdr:col>
      <xdr:colOff>67698</xdr:colOff>
      <xdr:row>30</xdr:row>
      <xdr:rowOff>81045</xdr:rowOff>
    </xdr:to>
    <xdr:grpSp>
      <xdr:nvGrpSpPr>
        <xdr:cNvPr id="256" name="Grup 239">
          <a:extLst>
            <a:ext uri="{FF2B5EF4-FFF2-40B4-BE49-F238E27FC236}">
              <a16:creationId xmlns:a16="http://schemas.microsoft.com/office/drawing/2014/main" id="{354364CC-7ABD-4FD1-8D65-8717B5AAD2AA}"/>
            </a:ext>
          </a:extLst>
        </xdr:cNvPr>
        <xdr:cNvGrpSpPr/>
      </xdr:nvGrpSpPr>
      <xdr:grpSpPr>
        <a:xfrm>
          <a:off x="3667126" y="4679156"/>
          <a:ext cx="139135" cy="69139"/>
          <a:chOff x="13302191" y="2320613"/>
          <a:chExt cx="139135" cy="57233"/>
        </a:xfrm>
      </xdr:grpSpPr>
      <xdr:cxnSp macro="">
        <xdr:nvCxnSpPr>
          <xdr:cNvPr id="257" name="Straight Connector 81">
            <a:extLst>
              <a:ext uri="{FF2B5EF4-FFF2-40B4-BE49-F238E27FC236}">
                <a16:creationId xmlns:a16="http://schemas.microsoft.com/office/drawing/2014/main" id="{FE0D6F87-E370-AA9D-FE69-68DDD2F9557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82">
            <a:extLst>
              <a:ext uri="{FF2B5EF4-FFF2-40B4-BE49-F238E27FC236}">
                <a16:creationId xmlns:a16="http://schemas.microsoft.com/office/drawing/2014/main" id="{9F9B4429-2B53-8F1A-5DB9-D22BED931C6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83">
            <a:extLst>
              <a:ext uri="{FF2B5EF4-FFF2-40B4-BE49-F238E27FC236}">
                <a16:creationId xmlns:a16="http://schemas.microsoft.com/office/drawing/2014/main" id="{BEC90D3D-4624-8F22-4926-BFE9AA45996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" name="Straight Connector 84">
            <a:extLst>
              <a:ext uri="{FF2B5EF4-FFF2-40B4-BE49-F238E27FC236}">
                <a16:creationId xmlns:a16="http://schemas.microsoft.com/office/drawing/2014/main" id="{AECE4FA5-BD6D-05A5-D976-7FF7C36583AF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259556</xdr:colOff>
      <xdr:row>21</xdr:row>
      <xdr:rowOff>140494</xdr:rowOff>
    </xdr:from>
    <xdr:to>
      <xdr:col>11</xdr:col>
      <xdr:colOff>17691</xdr:colOff>
      <xdr:row>22</xdr:row>
      <xdr:rowOff>54852</xdr:rowOff>
    </xdr:to>
    <xdr:grpSp>
      <xdr:nvGrpSpPr>
        <xdr:cNvPr id="262" name="Grup 239">
          <a:extLst>
            <a:ext uri="{FF2B5EF4-FFF2-40B4-BE49-F238E27FC236}">
              <a16:creationId xmlns:a16="http://schemas.microsoft.com/office/drawing/2014/main" id="{D3E9AB8D-37C2-427A-9F1F-2E02AC753A5A}"/>
            </a:ext>
          </a:extLst>
        </xdr:cNvPr>
        <xdr:cNvGrpSpPr/>
      </xdr:nvGrpSpPr>
      <xdr:grpSpPr>
        <a:xfrm>
          <a:off x="3617119" y="3426619"/>
          <a:ext cx="139135" cy="69139"/>
          <a:chOff x="13302191" y="2320613"/>
          <a:chExt cx="139135" cy="57233"/>
        </a:xfrm>
      </xdr:grpSpPr>
      <xdr:cxnSp macro="">
        <xdr:nvCxnSpPr>
          <xdr:cNvPr id="263" name="Straight Connector 81">
            <a:extLst>
              <a:ext uri="{FF2B5EF4-FFF2-40B4-BE49-F238E27FC236}">
                <a16:creationId xmlns:a16="http://schemas.microsoft.com/office/drawing/2014/main" id="{722A2465-09E4-EFD7-9336-09922D233D8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82">
            <a:extLst>
              <a:ext uri="{FF2B5EF4-FFF2-40B4-BE49-F238E27FC236}">
                <a16:creationId xmlns:a16="http://schemas.microsoft.com/office/drawing/2014/main" id="{F5E2F6EC-20D2-EEFD-E73F-C170FC1EFC1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83">
            <a:extLst>
              <a:ext uri="{FF2B5EF4-FFF2-40B4-BE49-F238E27FC236}">
                <a16:creationId xmlns:a16="http://schemas.microsoft.com/office/drawing/2014/main" id="{A6C593AF-2220-846A-A74D-CE5FBEE92F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6" name="Straight Connector 84">
            <a:extLst>
              <a:ext uri="{FF2B5EF4-FFF2-40B4-BE49-F238E27FC236}">
                <a16:creationId xmlns:a16="http://schemas.microsoft.com/office/drawing/2014/main" id="{0284500E-955C-5C45-B144-BCE9AEB6B19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245269</xdr:colOff>
      <xdr:row>34</xdr:row>
      <xdr:rowOff>19050</xdr:rowOff>
    </xdr:from>
    <xdr:to>
      <xdr:col>10</xdr:col>
      <xdr:colOff>3404</xdr:colOff>
      <xdr:row>34</xdr:row>
      <xdr:rowOff>88189</xdr:rowOff>
    </xdr:to>
    <xdr:grpSp>
      <xdr:nvGrpSpPr>
        <xdr:cNvPr id="267" name="Grup 239">
          <a:extLst>
            <a:ext uri="{FF2B5EF4-FFF2-40B4-BE49-F238E27FC236}">
              <a16:creationId xmlns:a16="http://schemas.microsoft.com/office/drawing/2014/main" id="{49C26FFF-64F3-4500-9D11-64794B778E5C}"/>
            </a:ext>
          </a:extLst>
        </xdr:cNvPr>
        <xdr:cNvGrpSpPr/>
      </xdr:nvGrpSpPr>
      <xdr:grpSpPr>
        <a:xfrm>
          <a:off x="3221832" y="5305425"/>
          <a:ext cx="139135" cy="69139"/>
          <a:chOff x="13302191" y="2320613"/>
          <a:chExt cx="139135" cy="57233"/>
        </a:xfrm>
      </xdr:grpSpPr>
      <xdr:cxnSp macro="">
        <xdr:nvCxnSpPr>
          <xdr:cNvPr id="268" name="Straight Connector 81">
            <a:extLst>
              <a:ext uri="{FF2B5EF4-FFF2-40B4-BE49-F238E27FC236}">
                <a16:creationId xmlns:a16="http://schemas.microsoft.com/office/drawing/2014/main" id="{C1113E48-5204-1487-C6F8-6C40D977337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82">
            <a:extLst>
              <a:ext uri="{FF2B5EF4-FFF2-40B4-BE49-F238E27FC236}">
                <a16:creationId xmlns:a16="http://schemas.microsoft.com/office/drawing/2014/main" id="{17E43162-B8BD-4EA8-4D0D-01D058736CC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83">
            <a:extLst>
              <a:ext uri="{FF2B5EF4-FFF2-40B4-BE49-F238E27FC236}">
                <a16:creationId xmlns:a16="http://schemas.microsoft.com/office/drawing/2014/main" id="{B03580B5-1E35-C9A8-ACE4-DDFD6EBC6CA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84">
            <a:extLst>
              <a:ext uri="{FF2B5EF4-FFF2-40B4-BE49-F238E27FC236}">
                <a16:creationId xmlns:a16="http://schemas.microsoft.com/office/drawing/2014/main" id="{38CDA9BD-27F6-1C34-9247-E627387958E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159544</xdr:colOff>
      <xdr:row>15</xdr:row>
      <xdr:rowOff>100013</xdr:rowOff>
    </xdr:from>
    <xdr:to>
      <xdr:col>9</xdr:col>
      <xdr:colOff>298679</xdr:colOff>
      <xdr:row>16</xdr:row>
      <xdr:rowOff>14371</xdr:rowOff>
    </xdr:to>
    <xdr:grpSp>
      <xdr:nvGrpSpPr>
        <xdr:cNvPr id="272" name="Grup 239">
          <a:extLst>
            <a:ext uri="{FF2B5EF4-FFF2-40B4-BE49-F238E27FC236}">
              <a16:creationId xmlns:a16="http://schemas.microsoft.com/office/drawing/2014/main" id="{587EDD00-5B94-4169-8FC6-5952C5DF9D53}"/>
            </a:ext>
          </a:extLst>
        </xdr:cNvPr>
        <xdr:cNvGrpSpPr/>
      </xdr:nvGrpSpPr>
      <xdr:grpSpPr>
        <a:xfrm>
          <a:off x="3136107" y="2457451"/>
          <a:ext cx="139135" cy="69139"/>
          <a:chOff x="13302191" y="2320613"/>
          <a:chExt cx="139135" cy="57233"/>
        </a:xfrm>
      </xdr:grpSpPr>
      <xdr:cxnSp macro="">
        <xdr:nvCxnSpPr>
          <xdr:cNvPr id="273" name="Straight Connector 81">
            <a:extLst>
              <a:ext uri="{FF2B5EF4-FFF2-40B4-BE49-F238E27FC236}">
                <a16:creationId xmlns:a16="http://schemas.microsoft.com/office/drawing/2014/main" id="{C7BC00A0-701E-A2C2-6C0A-C1EA3AB2F64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82">
            <a:extLst>
              <a:ext uri="{FF2B5EF4-FFF2-40B4-BE49-F238E27FC236}">
                <a16:creationId xmlns:a16="http://schemas.microsoft.com/office/drawing/2014/main" id="{C3F2C9EB-80F5-3EA1-E7AB-7962C31B63C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83">
            <a:extLst>
              <a:ext uri="{FF2B5EF4-FFF2-40B4-BE49-F238E27FC236}">
                <a16:creationId xmlns:a16="http://schemas.microsoft.com/office/drawing/2014/main" id="{F196EE7E-5B68-9F3D-D550-D2BD06B33A6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84">
            <a:extLst>
              <a:ext uri="{FF2B5EF4-FFF2-40B4-BE49-F238E27FC236}">
                <a16:creationId xmlns:a16="http://schemas.microsoft.com/office/drawing/2014/main" id="{20AE37EE-041F-32C3-2A45-08C5AFB4D7F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47625</xdr:colOff>
      <xdr:row>29</xdr:row>
      <xdr:rowOff>59532</xdr:rowOff>
    </xdr:from>
    <xdr:to>
      <xdr:col>13</xdr:col>
      <xdr:colOff>186760</xdr:colOff>
      <xdr:row>29</xdr:row>
      <xdr:rowOff>128671</xdr:rowOff>
    </xdr:to>
    <xdr:grpSp>
      <xdr:nvGrpSpPr>
        <xdr:cNvPr id="277" name="Grup 239">
          <a:extLst>
            <a:ext uri="{FF2B5EF4-FFF2-40B4-BE49-F238E27FC236}">
              <a16:creationId xmlns:a16="http://schemas.microsoft.com/office/drawing/2014/main" id="{72FAF967-BF4F-47AD-B535-F223EE1B210C}"/>
            </a:ext>
          </a:extLst>
        </xdr:cNvPr>
        <xdr:cNvGrpSpPr/>
      </xdr:nvGrpSpPr>
      <xdr:grpSpPr>
        <a:xfrm>
          <a:off x="4548188" y="4583907"/>
          <a:ext cx="139135" cy="69139"/>
          <a:chOff x="13302191" y="2320613"/>
          <a:chExt cx="139135" cy="57233"/>
        </a:xfrm>
      </xdr:grpSpPr>
      <xdr:cxnSp macro="">
        <xdr:nvCxnSpPr>
          <xdr:cNvPr id="278" name="Straight Connector 81">
            <a:extLst>
              <a:ext uri="{FF2B5EF4-FFF2-40B4-BE49-F238E27FC236}">
                <a16:creationId xmlns:a16="http://schemas.microsoft.com/office/drawing/2014/main" id="{9D58A8FC-9F4A-9347-230C-6419C204184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82">
            <a:extLst>
              <a:ext uri="{FF2B5EF4-FFF2-40B4-BE49-F238E27FC236}">
                <a16:creationId xmlns:a16="http://schemas.microsoft.com/office/drawing/2014/main" id="{01B5E86D-9CF6-2BDB-A6FA-B04C82E30BA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83">
            <a:extLst>
              <a:ext uri="{FF2B5EF4-FFF2-40B4-BE49-F238E27FC236}">
                <a16:creationId xmlns:a16="http://schemas.microsoft.com/office/drawing/2014/main" id="{8C719BBC-E91F-3499-D729-8B287D28DD8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84">
            <a:extLst>
              <a:ext uri="{FF2B5EF4-FFF2-40B4-BE49-F238E27FC236}">
                <a16:creationId xmlns:a16="http://schemas.microsoft.com/office/drawing/2014/main" id="{B98FB30B-EA53-484E-C0FA-018E6AE9E32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247650</xdr:colOff>
      <xdr:row>26</xdr:row>
      <xdr:rowOff>116682</xdr:rowOff>
    </xdr:from>
    <xdr:to>
      <xdr:col>12</xdr:col>
      <xdr:colOff>5785</xdr:colOff>
      <xdr:row>27</xdr:row>
      <xdr:rowOff>31039</xdr:rowOff>
    </xdr:to>
    <xdr:grpSp>
      <xdr:nvGrpSpPr>
        <xdr:cNvPr id="282" name="Grup 239">
          <a:extLst>
            <a:ext uri="{FF2B5EF4-FFF2-40B4-BE49-F238E27FC236}">
              <a16:creationId xmlns:a16="http://schemas.microsoft.com/office/drawing/2014/main" id="{125E6340-4394-44C2-9F1F-6B4902D05FA7}"/>
            </a:ext>
          </a:extLst>
        </xdr:cNvPr>
        <xdr:cNvGrpSpPr/>
      </xdr:nvGrpSpPr>
      <xdr:grpSpPr>
        <a:xfrm>
          <a:off x="3986213" y="4176713"/>
          <a:ext cx="139135" cy="69139"/>
          <a:chOff x="13302191" y="2320613"/>
          <a:chExt cx="139135" cy="57233"/>
        </a:xfrm>
      </xdr:grpSpPr>
      <xdr:cxnSp macro="">
        <xdr:nvCxnSpPr>
          <xdr:cNvPr id="283" name="Straight Connector 81">
            <a:extLst>
              <a:ext uri="{FF2B5EF4-FFF2-40B4-BE49-F238E27FC236}">
                <a16:creationId xmlns:a16="http://schemas.microsoft.com/office/drawing/2014/main" id="{AEEC4F7C-E457-BDCE-1AA8-C0F0AAE09DD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82">
            <a:extLst>
              <a:ext uri="{FF2B5EF4-FFF2-40B4-BE49-F238E27FC236}">
                <a16:creationId xmlns:a16="http://schemas.microsoft.com/office/drawing/2014/main" id="{9851E6A9-5CC9-BA06-F450-78C15E429D2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83">
            <a:extLst>
              <a:ext uri="{FF2B5EF4-FFF2-40B4-BE49-F238E27FC236}">
                <a16:creationId xmlns:a16="http://schemas.microsoft.com/office/drawing/2014/main" id="{8F61C9ED-D2D9-FF25-D565-A71FC16818F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84">
            <a:extLst>
              <a:ext uri="{FF2B5EF4-FFF2-40B4-BE49-F238E27FC236}">
                <a16:creationId xmlns:a16="http://schemas.microsoft.com/office/drawing/2014/main" id="{B3F2D2C8-C5F7-705A-55F7-D2AD064F032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95249</xdr:colOff>
      <xdr:row>23</xdr:row>
      <xdr:rowOff>107156</xdr:rowOff>
    </xdr:from>
    <xdr:to>
      <xdr:col>10</xdr:col>
      <xdr:colOff>119062</xdr:colOff>
      <xdr:row>26</xdr:row>
      <xdr:rowOff>59531</xdr:rowOff>
    </xdr:to>
    <xdr:cxnSp macro="">
      <xdr:nvCxnSpPr>
        <xdr:cNvPr id="287" name="Straight Connector 286">
          <a:extLst>
            <a:ext uri="{FF2B5EF4-FFF2-40B4-BE49-F238E27FC236}">
              <a16:creationId xmlns:a16="http://schemas.microsoft.com/office/drawing/2014/main" id="{4FF241E2-4E7A-4F0C-A505-40F459066167}"/>
            </a:ext>
          </a:extLst>
        </xdr:cNvPr>
        <xdr:cNvCxnSpPr/>
      </xdr:nvCxnSpPr>
      <xdr:spPr>
        <a:xfrm>
          <a:off x="3071812" y="3702844"/>
          <a:ext cx="404813" cy="41671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</xdr:colOff>
      <xdr:row>24</xdr:row>
      <xdr:rowOff>23812</xdr:rowOff>
    </xdr:from>
    <xdr:to>
      <xdr:col>10</xdr:col>
      <xdr:colOff>119063</xdr:colOff>
      <xdr:row>26</xdr:row>
      <xdr:rowOff>47625</xdr:rowOff>
    </xdr:to>
    <xdr:cxnSp macro="">
      <xdr:nvCxnSpPr>
        <xdr:cNvPr id="289" name="Straight Connector 288">
          <a:extLst>
            <a:ext uri="{FF2B5EF4-FFF2-40B4-BE49-F238E27FC236}">
              <a16:creationId xmlns:a16="http://schemas.microsoft.com/office/drawing/2014/main" id="{B1A69E7B-3B6B-4B4E-8E89-9E1F74856F76}"/>
            </a:ext>
          </a:extLst>
        </xdr:cNvPr>
        <xdr:cNvCxnSpPr/>
      </xdr:nvCxnSpPr>
      <xdr:spPr>
        <a:xfrm flipH="1">
          <a:off x="3024188" y="3774281"/>
          <a:ext cx="452438" cy="3333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297656</xdr:colOff>
      <xdr:row>23</xdr:row>
      <xdr:rowOff>107155</xdr:rowOff>
    </xdr:from>
    <xdr:to>
      <xdr:col>12</xdr:col>
      <xdr:colOff>317066</xdr:colOff>
      <xdr:row>24</xdr:row>
      <xdr:rowOff>149222</xdr:rowOff>
    </xdr:to>
    <xdr:sp macro="" textlink="">
      <xdr:nvSpPr>
        <xdr:cNvPr id="291" name="TextBox 160">
          <a:extLst>
            <a:ext uri="{FF2B5EF4-FFF2-40B4-BE49-F238E27FC236}">
              <a16:creationId xmlns:a16="http://schemas.microsoft.com/office/drawing/2014/main" id="{40CBF530-0B1D-4F6B-BFA8-E8190445719A}"/>
            </a:ext>
          </a:extLst>
        </xdr:cNvPr>
        <xdr:cNvSpPr txBox="1"/>
      </xdr:nvSpPr>
      <xdr:spPr>
        <a:xfrm>
          <a:off x="3655219" y="3702843"/>
          <a:ext cx="781410" cy="1968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0</xdr:colOff>
      <xdr:row>48</xdr:row>
      <xdr:rowOff>60798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DA599D3-F667-BCD7-6CBA-61D06DCD2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125372" cy="687016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-1</xdr:colOff>
      <xdr:row>8</xdr:row>
      <xdr:rowOff>-1</xdr:rowOff>
    </xdr:from>
    <xdr:to>
      <xdr:col>26</xdr:col>
      <xdr:colOff>465173</xdr:colOff>
      <xdr:row>58</xdr:row>
      <xdr:rowOff>44301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216942-ACD5-DD27-522A-70611522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7" y="1218313"/>
          <a:ext cx="14043837" cy="77972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4" t="s">
        <v>1133</v>
      </c>
      <c r="C4" s="534"/>
      <c r="D4" s="534"/>
      <c r="E4" s="534"/>
      <c r="F4" s="534"/>
      <c r="G4" s="534"/>
      <c r="H4" s="53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5" t="s">
        <v>0</v>
      </c>
      <c r="C7" s="535" t="s">
        <v>1</v>
      </c>
      <c r="D7" s="536" t="s">
        <v>42</v>
      </c>
      <c r="E7" s="536" t="s">
        <v>43</v>
      </c>
      <c r="F7" s="536" t="s">
        <v>1134</v>
      </c>
      <c r="G7" s="537" t="s">
        <v>41</v>
      </c>
      <c r="H7" s="533" t="s">
        <v>1042</v>
      </c>
      <c r="I7" s="533" t="s">
        <v>1136</v>
      </c>
      <c r="J7" s="533" t="s">
        <v>1026</v>
      </c>
      <c r="K7" s="527" t="s">
        <v>1024</v>
      </c>
      <c r="L7" s="528"/>
    </row>
    <row r="8" spans="1:12" ht="15" customHeight="1">
      <c r="B8" s="535"/>
      <c r="C8" s="535"/>
      <c r="D8" s="536"/>
      <c r="E8" s="536"/>
      <c r="F8" s="536"/>
      <c r="G8" s="537"/>
      <c r="H8" s="533"/>
      <c r="I8" s="533"/>
      <c r="J8" s="533"/>
      <c r="K8" s="529"/>
      <c r="L8" s="530"/>
    </row>
    <row r="9" spans="1:12" ht="15" customHeight="1">
      <c r="B9" s="535"/>
      <c r="C9" s="535"/>
      <c r="D9" s="536"/>
      <c r="E9" s="536"/>
      <c r="F9" s="536"/>
      <c r="G9" s="537"/>
      <c r="H9" s="533"/>
      <c r="I9" s="533"/>
      <c r="J9" s="533"/>
      <c r="K9" s="531"/>
      <c r="L9" s="53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100</v>
      </c>
      <c r="G17" s="41">
        <f ca="1">IF(ISERROR(OFFSET('HARGA SATUAN'!$I$6,MATCH(C17,'HARGA SATUAN'!$C$7:$C$1495,0),0)),"",OFFSET('HARGA SATUAN'!$I$6,MATCH(C17,'HARGA SATUAN'!$C$7:$C$1495,0),0))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Modem 3G/4G</v>
      </c>
      <c r="D18" s="101" t="str">
        <f ca="1">IF(ISERROR(OFFSET('HARGA SATUAN'!$D$6,MATCH(C18,'HARGA SATUAN'!$C$7:$C$1495,0),0)),"",OFFSET('HARGA SATUAN'!$D$6,MATCH(C18,'HARGA SATUAN'!$C$7:$C$1495,0),0))</f>
        <v>HDW</v>
      </c>
      <c r="E18" s="101" t="str">
        <f ca="1">IF(B18="+","Unit",IF(ISERROR(OFFSET('HARGA SATUAN'!$E$6,MATCH(C18,'HARGA SATUAN'!$C$7:$C$1495,0),0)),"",OFFSET('HARGA SATUAN'!$E$6,MATCH(C18,'HARGA SATUAN'!$C$7:$C$1495,0),0)))</f>
        <v>Unit</v>
      </c>
      <c r="F18" s="138">
        <f t="shared" ca="1" si="2"/>
        <v>1</v>
      </c>
      <c r="G18" s="41">
        <f ca="1">IF(ISERROR(OFFSET('HARGA SATUAN'!$I$6,MATCH(C18,'HARGA SATUAN'!$C$7:$C$1495,0),0)),"",OFFSET('HARGA SATUAN'!$I$6,MATCH(C18,'HARGA SATUAN'!$C$7:$C$1495,0),0))</f>
        <v>1113900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SUMIFS(RAB!$F$14:$F$116,RAB!$C$14:$C$116,C714)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SUMIFS(RAB!$F$14:$F$116,RAB!$C$14:$C$116,C715)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SUMIFS(RAB!$F$14:$F$116,RAB!$C$14:$C$116,C716)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SUMIFS(RAB!$F$14:$F$116,RAB!$C$14:$C$116,C717)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SUMIFS(RAB!$F$14:$F$116,RAB!$C$14:$C$116,C718)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SUMIFS(RAB!$F$14:$F$116,RAB!$C$14:$C$116,C719)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SUMIFS(RAB!$F$14:$F$116,RAB!$C$14:$C$116,C720)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SUMIFS(RAB!$F$14:$F$116,RAB!$C$14:$C$116,C721)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SUMIFS(RAB!$F$14:$F$116,RAB!$C$14:$C$116,C722)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SUMIFS(RAB!$F$14:$F$116,RAB!$C$14:$C$116,C723)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SUMIFS(RAB!$F$14:$F$116,RAB!$C$14:$C$116,C724)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SUMIFS(RAB!$F$14:$F$116,RAB!$C$14:$C$116,C725)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SUMIFS(RAB!$F$14:$F$116,RAB!$C$14:$C$116,C726)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SUMIFS(RAB!$F$14:$F$116,RAB!$C$14:$C$116,C727)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SUMIFS(RAB!$F$14:$F$116,RAB!$C$14:$C$116,C728)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SUMIFS(RAB!$F$14:$F$116,RAB!$C$14:$C$116,C729)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SUMIFS(RAB!$F$14:$F$116,RAB!$C$14:$C$116,C730)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SUMIFS(RAB!$F$14:$F$116,RAB!$C$14:$C$116,C731)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SUMIFS(RAB!$F$14:$F$116,RAB!$C$14:$C$116,C732)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SUMIFS(RAB!$F$14:$F$116,RAB!$C$14:$C$116,C733)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SUMIFS(RAB!$F$14:$F$116,RAB!$C$14:$C$116,C734)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SUMIFS(RAB!$F$14:$F$116,RAB!$C$14:$C$116,C735)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SUMIFS(RAB!$F$14:$F$116,RAB!$C$14:$C$116,C736)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SUMIFS(RAB!$F$14:$F$116,RAB!$C$14:$C$116,C737)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SUMIFS(RAB!$F$14:$F$116,RAB!$C$14:$C$116,C738)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SUMIFS(RAB!$F$14:$F$116,RAB!$C$14:$C$116,C739)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SUMIFS(RAB!$F$14:$F$116,RAB!$C$14:$C$116,C740)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SUMIFS(RAB!$F$14:$F$116,RAB!$C$14:$C$116,C741)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SUMIFS(RAB!$F$14:$F$116,RAB!$C$14:$C$116,C742)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SUMIFS(RAB!$F$14:$F$116,RAB!$C$14:$C$116,C743)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SUMIFS(RAB!$F$14:$F$116,RAB!$C$14:$C$116,C744)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SUMIFS(RAB!$F$14:$F$116,RAB!$C$14:$C$116,C745)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SUMIFS(RAB!$F$14:$F$116,RAB!$C$14:$C$116,C746)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SUMIFS(RAB!$F$14:$F$116,RAB!$C$14:$C$116,C747)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SUMIFS(RAB!$F$14:$F$116,RAB!$C$14:$C$116,C748)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SUMIFS(RAB!$F$14:$F$116,RAB!$C$14:$C$116,C749)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SUMIFS(RAB!$F$14:$F$116,RAB!$C$14:$C$116,C750)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SUMIFS(RAB!$F$14:$F$116,RAB!$C$14:$C$116,C751)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SUMIFS(RAB!$F$14:$F$116,RAB!$C$14:$C$116,C752)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SUMIFS(RAB!$F$14:$F$116,RAB!$C$14:$C$116,C753)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SUMIFS(RAB!$F$14:$F$116,RAB!$C$14:$C$116,C754)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SUMIFS(RAB!$F$14:$F$116,RAB!$C$14:$C$116,C755)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SUMIFS(RAB!$F$14:$F$116,RAB!$C$14:$C$116,C756)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SUMIFS(RAB!$F$14:$F$116,RAB!$C$14:$C$116,C757)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SUMIFS(RAB!$F$14:$F$116,RAB!$C$14:$C$116,C758)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SUMIFS(RAB!$F$14:$F$116,RAB!$C$14:$C$116,C759)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SUMIFS(RAB!$F$14:$F$116,RAB!$C$14:$C$116,C760)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SUMIFS(RAB!$F$14:$F$116,RAB!$C$14:$C$116,C761)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SUMIFS(RAB!$F$14:$F$116,RAB!$C$14:$C$116,C762)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SUMIFS(RAB!$F$14:$F$116,RAB!$C$14:$C$116,C763)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SUMIFS(RAB!$F$14:$F$116,RAB!$C$14:$C$116,C764)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SUMIFS(RAB!$F$14:$F$116,RAB!$C$14:$C$116,C765)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SUMIFS(RAB!$F$14:$F$116,RAB!$C$14:$C$116,C766)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SUMIFS(RAB!$F$14:$F$116,RAB!$C$14:$C$116,C767)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SUMIFS(RAB!$F$14:$F$116,RAB!$C$14:$C$116,C768)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SUMIFS(RAB!$F$14:$F$116,RAB!$C$14:$C$116,C769)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SUMIFS(RAB!$F$14:$F$116,RAB!$C$14:$C$116,C770)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SUMIFS(RAB!$F$14:$F$116,RAB!$C$14:$C$116,C771)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SUMIFS(RAB!$F$14:$F$116,RAB!$C$14:$C$116,C772)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SUMIFS(RAB!$F$14:$F$116,RAB!$C$14:$C$116,C773)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SUMIFS(RAB!$F$14:$F$116,RAB!$C$14:$C$116,C774)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SUMIFS(RAB!$F$14:$F$116,RAB!$C$14:$C$116,C775)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SUMIFS(RAB!$F$14:$F$116,RAB!$C$14:$C$116,C776)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SUMIFS(RAB!$F$14:$F$116,RAB!$C$14:$C$116,C777)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SUMIFS(RAB!$F$14:$F$116,RAB!$C$14:$C$116,C778)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SUMIFS(RAB!$F$14:$F$116,RAB!$C$14:$C$116,C779)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SUMIFS(RAB!$F$14:$F$116,RAB!$C$14:$C$116,C780)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SUMIFS(RAB!$F$14:$F$116,RAB!$C$14:$C$116,C781)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SUMIFS(RAB!$F$14:$F$116,RAB!$C$14:$C$116,C782)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SUMIFS(RAB!$F$14:$F$116,RAB!$C$14:$C$116,C783)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SUMIFS(RAB!$F$14:$F$116,RAB!$C$14:$C$116,C784)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SUMIFS(RAB!$F$14:$F$116,RAB!$C$14:$C$116,C785)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SUMIFS(RAB!$F$14:$F$116,RAB!$C$14:$C$116,C786)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SUMIFS(RAB!$F$14:$F$116,RAB!$C$14:$C$116,C787)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SUMIFS(RAB!$F$14:$F$116,RAB!$C$14:$C$116,C788)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SUMIFS(RAB!$F$14:$F$116,RAB!$C$14:$C$116,C789)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SUMIFS(RAB!$F$14:$F$116,RAB!$C$14:$C$116,C790)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SUMIFS(RAB!$F$14:$F$116,RAB!$C$14:$C$116,C791)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SUMIFS(RAB!$F$14:$F$116,RAB!$C$14:$C$116,C792)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SUMIFS(RAB!$F$14:$F$116,RAB!$C$14:$C$116,C793)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SUMIFS(RAB!$F$14:$F$116,RAB!$C$14:$C$116,C794)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SUMIFS(RAB!$F$14:$F$116,RAB!$C$14:$C$116,C795)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SUMIFS(RAB!$F$14:$F$116,RAB!$C$14:$C$116,C796)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SUMIFS(RAB!$F$14:$F$116,RAB!$C$14:$C$116,C797)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SUMIFS(RAB!$F$14:$F$116,RAB!$C$14:$C$116,C798)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SUMIFS(RAB!$F$14:$F$116,RAB!$C$14:$C$116,C799)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SUMIFS(RAB!$F$14:$F$116,RAB!$C$14:$C$116,C800)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SUMIFS(RAB!$F$14:$F$116,RAB!$C$14:$C$116,C801)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SUMIFS(RAB!$F$14:$F$116,RAB!$C$14:$C$116,C802)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SUMIFS(RAB!$F$14:$F$116,RAB!$C$14:$C$116,C803)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SUMIFS(RAB!$F$14:$F$116,RAB!$C$14:$C$116,C804)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SUMIFS(RAB!$F$14:$F$116,RAB!$C$14:$C$116,C805)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SUMIFS(RAB!$F$14:$F$116,RAB!$C$14:$C$116,C806)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SUMIFS(RAB!$F$14:$F$116,RAB!$C$14:$C$116,C807)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SUMIFS(RAB!$F$14:$F$116,RAB!$C$14:$C$116,C808)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SUMIFS(RAB!$F$14:$F$116,RAB!$C$14:$C$116,C809)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SUMIFS(RAB!$F$14:$F$116,RAB!$C$14:$C$116,C810)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SUMIFS(RAB!$F$14:$F$116,RAB!$C$14:$C$116,C811)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SUMIFS(RAB!$F$14:$F$116,RAB!$C$14:$C$116,C812)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SUMIFS(RAB!$F$14:$F$116,RAB!$C$14:$C$116,C813)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SUMIFS(RAB!$F$14:$F$116,RAB!$C$14:$C$116,C814)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SUMIFS(RAB!$F$14:$F$116,RAB!$C$14:$C$116,C815)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SUMIFS(RAB!$F$14:$F$116,RAB!$C$14:$C$116,C816)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SUMIFS(RAB!$F$14:$F$116,RAB!$C$14:$C$116,C817)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SUMIFS(RAB!$F$14:$F$116,RAB!$C$14:$C$116,C818)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SUMIFS(RAB!$F$14:$F$116,RAB!$C$14:$C$116,C819)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SUMIFS(RAB!$F$14:$F$116,RAB!$C$14:$C$116,C820)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SUMIFS(RAB!$F$14:$F$116,RAB!$C$14:$C$116,C821)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SUMIFS(RAB!$F$14:$F$116,RAB!$C$14:$C$116,C822)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SUMIFS(RAB!$F$14:$F$116,RAB!$C$14:$C$116,C823)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SUMIFS(RAB!$F$14:$F$116,RAB!$C$14:$C$116,C824)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SUMIFS(RAB!$F$14:$F$116,RAB!$C$14:$C$116,C825)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SUMIFS(RAB!$F$14:$F$116,RAB!$C$14:$C$116,C826)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SUMIFS(RAB!$F$14:$F$116,RAB!$C$14:$C$116,C827)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SUMIFS(RAB!$F$14:$F$116,RAB!$C$14:$C$116,C828)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SUMIFS(RAB!$F$14:$F$116,RAB!$C$14:$C$116,C829)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SUMIFS(RAB!$F$14:$F$116,RAB!$C$14:$C$116,C830)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SUMIFS(RAB!$F$14:$F$116,RAB!$C$14:$C$116,C831)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SUMIFS(RAB!$F$14:$F$116,RAB!$C$14:$C$116,C832)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SUMIFS(RAB!$F$14:$F$116,RAB!$C$14:$C$116,C833)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SUMIFS(RAB!$F$14:$F$116,RAB!$C$14:$C$116,C834)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SUMIFS(RAB!$F$14:$F$116,RAB!$C$14:$C$116,C835)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SUMIFS(RAB!$F$14:$F$116,RAB!$C$14:$C$116,C836)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SUMIFS(RAB!$F$14:$F$116,RAB!$C$14:$C$116,C837)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SUMIFS(RAB!$F$14:$F$116,RAB!$C$14:$C$116,C838)</f>
        <v>100</v>
      </c>
      <c r="E838" s="26">
        <f t="shared" ca="1" si="34"/>
        <v>1</v>
      </c>
      <c r="F838" s="26">
        <f ca="1">IF(D838=0,0,SUM($E$713:E838))</f>
        <v>6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SUMIFS(RAB!$F$14:$F$116,RAB!$C$14:$C$116,C839)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SUMIFS(RAB!$F$14:$F$116,RAB!$C$14:$C$116,C840)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SUMIFS(RAB!$F$14:$F$116,RAB!$C$14:$C$116,C841)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SUMIFS(RAB!$F$14:$F$116,RAB!$C$14:$C$116,C842)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SUMIFS(RAB!$F$14:$F$116,RAB!$C$14:$C$116,C843)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SUMIFS(RAB!$F$14:$F$116,RAB!$C$14:$C$116,C844)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SUMIFS(RAB!$F$14:$F$116,RAB!$C$14:$C$116,C845)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SUMIFS(RAB!$F$14:$F$116,RAB!$C$14:$C$116,C846)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SUMIFS(RAB!$F$14:$F$116,RAB!$C$14:$C$116,C847)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SUMIFS(RAB!$F$14:$F$116,RAB!$C$14:$C$116,C848)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SUMIFS(RAB!$F$14:$F$116,RAB!$C$14:$C$116,C849)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SUMIFS(RAB!$F$14:$F$116,RAB!$C$14:$C$116,C850)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SUMIFS(RAB!$F$14:$F$116,RAB!$C$14:$C$116,C851)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SUMIFS(RAB!$F$14:$F$116,RAB!$C$14:$C$116,C852)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SUMIFS(RAB!$F$14:$F$116,RAB!$C$14:$C$116,C853)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SUMIFS(RAB!$F$14:$F$116,RAB!$C$14:$C$116,C854)</f>
        <v>1</v>
      </c>
      <c r="E854" s="26">
        <f t="shared" ca="1" si="35"/>
        <v>1</v>
      </c>
      <c r="F854" s="26">
        <f ca="1">IF(D854=0,0,SUM($E$713:E854))</f>
        <v>7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SUMIFS(RAB!$F$14:$F$116,RAB!$C$14:$C$116,C855)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SUMIFS(RAB!$F$14:$F$116,RAB!$C$14:$C$116,C856)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SUMIFS(RAB!$F$14:$F$116,RAB!$C$14:$C$116,C857)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SUMIFS(RAB!$F$14:$F$116,RAB!$C$14:$C$116,C858)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SUMIFS(RAB!$F$14:$F$116,RAB!$C$14:$C$116,C859)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SUMIFS(RAB!$F$14:$F$116,RAB!$C$14:$C$116,C860)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SUMIFS(RAB!$F$14:$F$116,RAB!$C$14:$C$116,C861)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SUMIFS(RAB!$F$14:$F$116,RAB!$C$14:$C$116,C862)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SUMIFS(RAB!$F$14:$F$116,RAB!$C$14:$C$116,C863)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SUMIFS(RAB!$F$14:$F$116,RAB!$C$14:$C$116,C864)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SUMIFS(RAB!$F$14:$F$116,RAB!$C$14:$C$116,C865)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SUMIFS(RAB!$F$14:$F$116,RAB!$C$14:$C$116,C866)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SUMIFS(RAB!$F$14:$F$116,RAB!$C$14:$C$116,C867)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SUMIFS(RAB!$F$14:$F$116,RAB!$C$14:$C$116,C868)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SUMIFS(RAB!$F$14:$F$116,RAB!$C$14:$C$116,C869)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SUMIFS(RAB!$F$14:$F$116,RAB!$C$14:$C$116,C870)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SUMIFS(RAB!$F$14:$F$116,RAB!$C$14:$C$116,C871)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SUMIFS(RAB!$F$14:$F$116,RAB!$C$14:$C$116,C872)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SUMIFS(RAB!$F$14:$F$116,RAB!$C$14:$C$116,C873)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SUMIFS(RAB!$F$14:$F$116,RAB!$C$14:$C$116,C874)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SUMIFS(RAB!$F$14:$F$116,RAB!$C$14:$C$116,C875)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SUMIFS(RAB!$F$14:$F$116,RAB!$C$14:$C$116,C876)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SUMIFS(RAB!$F$14:$F$116,RAB!$C$14:$C$116,C877)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SUMIFS(RAB!$F$14:$F$116,RAB!$C$14:$C$116,C878)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SUMIFS(RAB!$F$14:$F$116,RAB!$C$14:$C$116,C879)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SUMIFS(RAB!$F$14:$F$116,RAB!$C$14:$C$116,C880)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SUMIFS(RAB!$F$14:$F$116,RAB!$C$14:$C$116,C881)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SUMIFS(RAB!$F$14:$F$116,RAB!$C$14:$C$116,C882)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SUMIFS(RAB!$F$14:$F$116,RAB!$C$14:$C$116,C883)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SUMIFS(RAB!$F$14:$F$116,RAB!$C$14:$C$116,C884)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SUMIFS(RAB!$F$14:$F$116,RAB!$C$14:$C$116,C885)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SUMIFS(RAB!$F$14:$F$116,RAB!$C$14:$C$116,C886)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SUMIFS(RAB!$F$14:$F$116,RAB!$C$14:$C$116,C887)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SUMIFS(RAB!$F$14:$F$116,RAB!$C$14:$C$116,C888)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SUMIFS(RAB!$F$14:$F$116,RAB!$C$14:$C$116,C889)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SUMIFS(RAB!$F$14:$F$116,RAB!$C$14:$C$116,C890)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SUMIFS(RAB!$F$14:$F$116,RAB!$C$14:$C$116,C891)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SUMIFS(RAB!$F$14:$F$116,RAB!$C$14:$C$116,C892)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SUMIFS(RAB!$F$14:$F$116,RAB!$C$14:$C$116,C893)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SUMIFS(RAB!$F$14:$F$116,RAB!$C$14:$C$116,C894)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SUMIFS(RAB!$F$14:$F$116,RAB!$C$14:$C$116,C895)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SUMIFS(RAB!$F$14:$F$116,RAB!$C$14:$C$116,C896)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SUMIFS(RAB!$F$14:$F$116,RAB!$C$14:$C$116,C897)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SUMIFS(RAB!$F$14:$F$116,RAB!$C$14:$C$116,C898)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SUMIFS(RAB!$F$14:$F$116,RAB!$C$14:$C$116,C899)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SUMIFS(RAB!$F$14:$F$116,RAB!$C$14:$C$116,C900)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SUMIFS(RAB!$F$14:$F$116,RAB!$C$14:$C$116,C901)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SUMIFS(RAB!$F$14:$F$116,RAB!$C$14:$C$116,C902)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SUMIFS(RAB!$F$14:$F$116,RAB!$C$14:$C$116,C903)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SUMIFS(RAB!$F$14:$F$116,RAB!$C$14:$C$116,C904)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SUMIFS(RAB!$F$14:$F$116,RAB!$C$14:$C$116,C905)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SUMIFS(RAB!$F$14:$F$116,RAB!$C$14:$C$116,C906)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SUMIFS(RAB!$F$14:$F$116,RAB!$C$14:$C$116,C907)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SUMIFS(RAB!$F$14:$F$116,RAB!$C$14:$C$116,C908)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SUMIFS(RAB!$F$14:$F$116,RAB!$C$14:$C$116,C909)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SUMIFS(RAB!$F$14:$F$116,RAB!$C$14:$C$116,C910)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SUMIFS(RAB!$F$14:$F$116,RAB!$C$14:$C$116,C911)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SUMIFS(RAB!$F$14:$F$116,RAB!$C$14:$C$116,C912)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SUMIFS(RAB!$F$14:$F$116,RAB!$C$14:$C$116,C913)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SUMIFS(RAB!$F$14:$F$116,RAB!$C$14:$C$116,C914)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SUMIFS(RAB!$F$14:$F$116,RAB!$C$14:$C$116,C915)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SUMIFS(RAB!$F$14:$F$116,RAB!$C$14:$C$116,C916)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SUMIFS(RAB!$F$14:$F$116,RAB!$C$14:$C$116,C917)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SUMIFS(RAB!$F$14:$F$116,RAB!$C$14:$C$116,C918)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SUMIFS(RAB!$F$14:$F$116,RAB!$C$14:$C$116,C919)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SUMIFS(RAB!$F$14:$F$116,RAB!$C$14:$C$116,C920)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SUMIFS(RAB!$F$14:$F$116,RAB!$C$14:$C$116,C921)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SUMIFS(RAB!$F$14:$F$116,RAB!$C$14:$C$116,C922)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SUMIFS(RAB!$F$14:$F$116,RAB!$C$14:$C$116,C923)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SUMIFS(RAB!$F$14:$F$116,RAB!$C$14:$C$116,C924)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SUMIFS(RAB!$F$14:$F$116,RAB!$C$14:$C$116,C925)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SUMIFS(RAB!$F$14:$F$116,RAB!$C$14:$C$116,C926)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SUMIFS(RAB!$F$14:$F$116,RAB!$C$14:$C$116,C927)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SUMIFS(RAB!$F$14:$F$116,RAB!$C$14:$C$116,C928)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SUMIFS(RAB!$F$14:$F$116,RAB!$C$14:$C$116,C929)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SUMIFS(RAB!$F$14:$F$116,RAB!$C$14:$C$116,C930)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SUMIFS(RAB!$F$14:$F$116,RAB!$C$14:$C$116,C931)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SUMIFS(RAB!$F$14:$F$116,RAB!$C$14:$C$116,C932)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SUMIFS(RAB!$F$14:$F$116,RAB!$C$14:$C$116,C933)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SUMIFS(RAB!$F$14:$F$116,RAB!$C$14:$C$116,C934)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SUMIFS(RAB!$F$14:$F$116,RAB!$C$14:$C$116,C935)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SUMIFS(RAB!$F$14:$F$116,RAB!$C$14:$C$116,C936)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SUMIFS(RAB!$F$14:$F$116,RAB!$C$14:$C$116,C937)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SUMIFS(RAB!$F$14:$F$116,RAB!$C$14:$C$116,C938)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SUMIFS(RAB!$F$14:$F$116,RAB!$C$14:$C$116,C939)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SUMIFS(RAB!$F$14:$F$116,RAB!$C$14:$C$116,C940)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SUMIFS(RAB!$F$14:$F$116,RAB!$C$14:$C$116,C941)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SUMIFS(RAB!$F$14:$F$116,RAB!$C$14:$C$116,C942)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SUMIFS(RAB!$F$14:$F$116,RAB!$C$14:$C$116,C943)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SUMIFS(RAB!$F$14:$F$116,RAB!$C$14:$C$116,C944)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SUMIFS(RAB!$F$14:$F$116,RAB!$C$14:$C$116,C945)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SUMIFS(RAB!$F$14:$F$116,RAB!$C$14:$C$116,C946)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SUMIFS(RAB!$F$14:$F$116,RAB!$C$14:$C$116,C947)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SUMIFS(RAB!$F$14:$F$116,RAB!$C$14:$C$116,C948)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SUMIFS(RAB!$F$14:$F$116,RAB!$C$14:$C$116,C949)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SUMIFS(RAB!$F$14:$F$116,RAB!$C$14:$C$116,C950)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SUMIFS(RAB!$F$14:$F$116,RAB!$C$14:$C$116,C951)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SUMIFS(RAB!$F$14:$F$116,RAB!$C$14:$C$116,C952)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SUMIFS(RAB!$F$14:$F$116,RAB!$C$14:$C$116,C953)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SUMIFS(RAB!$F$14:$F$116,RAB!$C$14:$C$116,C954)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SUMIFS(RAB!$F$14:$F$116,RAB!$C$14:$C$116,C955)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SUMIFS(RAB!$F$14:$F$116,RAB!$C$14:$C$116,C956)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SUMIFS(RAB!$F$14:$F$116,RAB!$C$14:$C$116,C957)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SUMIFS(RAB!$F$14:$F$116,RAB!$C$14:$C$116,C958)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SUMIFS(RAB!$F$14:$F$116,RAB!$C$14:$C$116,C959)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SUMIFS(RAB!$F$14:$F$116,RAB!$C$14:$C$116,C960)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SUMIFS(RAB!$F$14:$F$116,RAB!$C$14:$C$116,C961)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SUMIFS(RAB!$F$14:$F$116,RAB!$C$14:$C$116,C962)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SUMIFS(RAB!$F$14:$F$116,RAB!$C$14:$C$116,C963)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SUMIFS(RAB!$F$14:$F$116,RAB!$C$14:$C$116,C964)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SUMIFS(RAB!$F$14:$F$116,RAB!$C$14:$C$116,C965)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SUMIFS(RAB!$F$14:$F$116,RAB!$C$14:$C$116,C966)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SUMIFS(RAB!$F$14:$F$116,RAB!$C$14:$C$116,C967)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SUMIFS(RAB!$F$14:$F$116,RAB!$C$14:$C$116,C968)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SUMIFS(RAB!$F$14:$F$116,RAB!$C$14:$C$116,C969)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SUMIFS(RAB!$F$14:$F$116,RAB!$C$14:$C$116,C970)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SUMIFS(RAB!$F$14:$F$116,RAB!$C$14:$C$116,C971)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SUMIFS(RAB!$F$14:$F$116,RAB!$C$14:$C$116,C972)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SUMIFS(RAB!$F$14:$F$116,RAB!$C$14:$C$116,C973)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SUMIFS(RAB!$F$14:$F$116,RAB!$C$14:$C$116,C974)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SUMIFS(RAB!$F$14:$F$116,RAB!$C$14:$C$116,C975)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SUMIFS(RAB!$F$14:$F$116,RAB!$C$14:$C$116,C976)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SUMIFS(RAB!$F$14:$F$116,RAB!$C$14:$C$116,C977)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SUMIFS(RAB!$F$14:$F$116,RAB!$C$14:$C$116,C978)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SUMIFS(RAB!$F$14:$F$116,RAB!$C$14:$C$116,C979)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SUMIFS(RAB!$F$14:$F$116,RAB!$C$14:$C$116,C980)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SUMIFS(RAB!$F$14:$F$116,RAB!$C$14:$C$116,C981)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SUMIFS(RAB!$F$14:$F$116,RAB!$C$14:$C$116,C982)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SUMIFS(RAB!$F$14:$F$116,RAB!$C$14:$C$116,C983)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SUMIFS(RAB!$F$14:$F$116,RAB!$C$14:$C$116,C984)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SUMIFS(RAB!$F$14:$F$116,RAB!$C$14:$C$116,C985)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SUMIFS(RAB!$F$14:$F$116,RAB!$C$14:$C$116,C986)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SUMIFS(RAB!$F$14:$F$116,RAB!$C$14:$C$116,C987)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SUMIFS(RAB!$F$14:$F$116,RAB!$C$14:$C$116,C988)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SUMIFS(RAB!$F$14:$F$116,RAB!$C$14:$C$116,C989)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SUMIFS(RAB!$F$14:$F$116,RAB!$C$14:$C$116,C990)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SUMIFS(RAB!$F$14:$F$116,RAB!$C$14:$C$116,C991)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SUMIFS(RAB!$F$14:$F$116,RAB!$C$14:$C$116,C992)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SUMIFS(RAB!$F$14:$F$116,RAB!$C$14:$C$116,C993)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SUMIFS(RAB!$F$14:$F$116,RAB!$C$14:$C$116,C994)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SUMIFS(RAB!$F$14:$F$116,RAB!$C$14:$C$116,C995)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SUMIFS(RAB!$F$14:$F$116,RAB!$C$14:$C$116,C996)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SUMIFS(RAB!$F$14:$F$116,RAB!$C$14:$C$116,C997)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SUMIFS(RAB!$F$14:$F$116,RAB!$C$14:$C$116,C998)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SUMIFS(RAB!$F$14:$F$116,RAB!$C$14:$C$116,C999)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SUMIFS(RAB!$F$14:$F$116,RAB!$C$14:$C$116,C1000)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SUMIFS(RAB!$F$14:$F$116,RAB!$C$14:$C$116,C1001)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SUMIFS(RAB!$F$14:$F$116,RAB!$C$14:$C$116,C1002)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SUMIFS(RAB!$F$14:$F$116,RAB!$C$14:$C$116,C1003)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SUMIFS(RAB!$F$14:$F$116,RAB!$C$14:$C$116,C1004)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SUMIFS(RAB!$F$14:$F$116,RAB!$C$14:$C$116,C1005)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SUMIFS(RAB!$F$14:$F$116,RAB!$C$14:$C$116,C1006)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SUMIFS(RAB!$F$14:$F$116,RAB!$C$14:$C$116,C1007)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SUMIFS(RAB!$F$14:$F$116,RAB!$C$14:$C$116,C1008)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SUMIFS(RAB!$F$14:$F$116,RAB!$C$14:$C$116,C1009)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SUMIFS(RAB!$F$14:$F$116,RAB!$C$14:$C$116,C1010)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SUMIFS(RAB!$F$14:$F$116,RAB!$C$14:$C$116,C1011)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SUMIFS(RAB!$F$14:$F$116,RAB!$C$14:$C$116,C1012)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SUMIFS(RAB!$F$14:$F$116,RAB!$C$14:$C$116,C1013)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SUMIFS(RAB!$F$14:$F$116,RAB!$C$14:$C$116,C1014)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SUMIFS(RAB!$F$14:$F$116,RAB!$C$14:$C$116,C1015)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SUMIFS(RAB!$F$14:$F$116,RAB!$C$14:$C$116,C1016)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SUMIFS(RAB!$F$14:$F$116,RAB!$C$14:$C$116,C1017)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SUMIFS(RAB!$F$14:$F$116,RAB!$C$14:$C$116,C1018)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SUMIFS(RAB!$F$14:$F$116,RAB!$C$14:$C$116,C1019)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SUMIFS(RAB!$F$14:$F$116,RAB!$C$14:$C$116,C1020)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SUMIFS(RAB!$F$14:$F$116,RAB!$C$14:$C$116,C1021)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SUMIFS(RAB!$F$14:$F$116,RAB!$C$14:$C$116,C1022)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SUMIFS(RAB!$F$14:$F$116,RAB!$C$14:$C$116,C1023)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SUMIFS(RAB!$F$14:$F$116,RAB!$C$14:$C$116,C1024)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SUMIFS(RAB!$F$14:$F$116,RAB!$C$14:$C$116,C1025)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SUMIFS(RAB!$F$14:$F$116,RAB!$C$14:$C$116,C1026)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SUMIFS(RAB!$F$14:$F$116,RAB!$C$14:$C$116,C1027)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SUMIFS(RAB!$F$14:$F$116,RAB!$C$14:$C$116,C1028)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SUMIFS(RAB!$F$14:$F$116,RAB!$C$14:$C$116,C1029)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SUMIFS(RAB!$F$14:$F$116,RAB!$C$14:$C$116,C1030)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SUMIFS(RAB!$F$14:$F$116,RAB!$C$14:$C$116,C1031)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SUMIFS(RAB!$F$14:$F$116,RAB!$C$14:$C$116,C1032)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SUMIFS(RAB!$F$14:$F$116,RAB!$C$14:$C$116,C1033)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SUMIFS(RAB!$F$14:$F$116,RAB!$C$14:$C$116,C1034)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SUMIFS(RAB!$F$14:$F$116,RAB!$C$14:$C$116,C1035)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SUMIFS(RAB!$F$14:$F$116,RAB!$C$14:$C$116,C1036)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SUMIFS(RAB!$F$14:$F$116,RAB!$C$14:$C$116,C1037)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SUMIFS(RAB!$F$14:$F$116,RAB!$C$14:$C$116,C1038)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SUMIFS(RAB!$F$14:$F$116,RAB!$C$14:$C$116,C1039)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SUMIFS(RAB!$F$14:$F$116,RAB!$C$14:$C$116,C1040)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SUMIFS(RAB!$F$14:$F$116,RAB!$C$14:$C$116,C1041)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SUMIFS(RAB!$F$14:$F$116,RAB!$C$14:$C$116,C1042)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SUMIFS(RAB!$F$14:$F$116,RAB!$C$14:$C$116,C1043)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SUMIFS(RAB!$F$14:$F$116,RAB!$C$14:$C$116,C1044)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SUMIFS(RAB!$F$14:$F$116,RAB!$C$14:$C$116,C1045)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SUMIFS(RAB!$F$14:$F$116,RAB!$C$14:$C$116,C1046)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SUMIFS(RAB!$F$14:$F$116,RAB!$C$14:$C$116,C1047)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SUMIFS(RAB!$F$14:$F$116,RAB!$C$14:$C$116,C1048)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SUMIFS(RAB!$F$14:$F$116,RAB!$C$14:$C$116,C1049)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SUMIFS(RAB!$F$14:$F$116,RAB!$C$14:$C$116,C1050)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SUMIFS(RAB!$F$14:$F$116,RAB!$C$14:$C$116,C1051)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SUMIFS(RAB!$F$14:$F$116,RAB!$C$14:$C$116,C1052)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SUMIFS(RAB!$F$14:$F$116,RAB!$C$14:$C$116,C1053)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SUMIFS(RAB!$F$14:$F$116,RAB!$C$14:$C$116,C1054)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SUMIFS(RAB!$F$14:$F$116,RAB!$C$14:$C$116,C1055)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SUMIFS(RAB!$F$14:$F$116,RAB!$C$14:$C$116,C1056)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SUMIFS(RAB!$F$14:$F$116,RAB!$C$14:$C$116,C1057)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SUMIFS(RAB!$F$14:$F$116,RAB!$C$14:$C$116,C1058)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SUMIFS(RAB!$F$14:$F$116,RAB!$C$14:$C$116,C1059)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SUMIFS(RAB!$F$14:$F$116,RAB!$C$14:$C$116,C1060)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SUMIFS(RAB!$F$14:$F$116,RAB!$C$14:$C$116,C1061)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SUMIFS(RAB!$F$14:$F$116,RAB!$C$14:$C$116,C1062)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SUMIFS(RAB!$F$14:$F$116,RAB!$C$14:$C$116,C1063)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SUMIFS(RAB!$F$14:$F$116,RAB!$C$14:$C$116,C1064)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SUMIFS(RAB!$F$14:$F$116,RAB!$C$14:$C$116,C1065)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SUMIFS(RAB!$F$14:$F$116,RAB!$C$14:$C$116,C1066)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SUMIFS(RAB!$F$14:$F$116,RAB!$C$14:$C$116,C1067)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SUMIFS(RAB!$F$14:$F$116,RAB!$C$14:$C$116,C1068)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SUMIFS(RAB!$F$14:$F$116,RAB!$C$14:$C$116,C1069)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SUMIFS(RAB!$F$14:$F$116,RAB!$C$14:$C$116,C1070)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SUMIFS(RAB!$F$14:$F$116,RAB!$C$14:$C$116,C1071)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SUMIFS(RAB!$F$14:$F$116,RAB!$C$14:$C$116,C1072)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SUMIFS(RAB!$F$14:$F$116,RAB!$C$14:$C$116,C1073)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SUMIFS(RAB!$F$14:$F$116,RAB!$C$14:$C$116,C1074)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SUMIFS(RAB!$F$14:$F$116,RAB!$C$14:$C$116,C1075)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SUMIFS(RAB!$F$14:$F$116,RAB!$C$14:$C$116,C1076)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SUMIFS(RAB!$F$14:$F$116,RAB!$C$14:$C$116,C1077)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SUMIFS(RAB!$F$14:$F$116,RAB!$C$14:$C$116,C1078)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SUMIFS(RAB!$F$14:$F$116,RAB!$C$14:$C$116,C1079)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SUMIFS(RAB!$F$14:$F$116,RAB!$C$14:$C$116,C1080)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SUMIFS(RAB!$F$14:$F$116,RAB!$C$14:$C$116,C1081)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SUMIFS(RAB!$F$14:$F$116,RAB!$C$14:$C$116,C1082)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SUMIFS(RAB!$F$14:$F$116,RAB!$C$14:$C$116,C1083)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SUMIFS(RAB!$F$14:$F$116,RAB!$C$14:$C$116,C1084)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SUMIFS(RAB!$F$14:$F$116,RAB!$C$14:$C$116,C1085)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SUMIFS(RAB!$F$14:$F$116,RAB!$C$14:$C$116,C1086)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SUMIFS(RAB!$F$14:$F$116,RAB!$C$14:$C$116,C1087)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SUMIFS(RAB!$F$14:$F$116,RAB!$C$14:$C$116,C1088)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SUMIFS(RAB!$F$14:$F$116,RAB!$C$14:$C$116,C1089)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SUMIFS(RAB!$F$14:$F$116,RAB!$C$14:$C$116,C1090)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SUMIFS(RAB!$F$14:$F$116,RAB!$C$14:$C$116,C1091)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SUMIFS(RAB!$F$14:$F$116,RAB!$C$14:$C$116,C1092)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SUMIFS(RAB!$F$14:$F$116,RAB!$C$14:$C$116,C1093)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SUMIFS(RAB!$F$14:$F$116,RAB!$C$14:$C$116,C1094)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SUMIFS(RAB!$F$14:$F$116,RAB!$C$14:$C$116,C1095)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SUMIFS(RAB!$F$14:$F$116,RAB!$C$14:$C$116,C1096)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SUMIFS(RAB!$F$14:$F$116,RAB!$C$14:$C$116,C1097)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SUMIFS(RAB!$F$14:$F$116,RAB!$C$14:$C$116,C1098)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SUMIFS(RAB!$F$14:$F$116,RAB!$C$14:$C$116,C1099)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SUMIFS(RAB!$F$14:$F$116,RAB!$C$14:$C$116,C1100)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SUMIFS(RAB!$F$14:$F$116,RAB!$C$14:$C$116,C1101)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SUMIFS(RAB!$F$14:$F$116,RAB!$C$14:$C$116,C1102)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SUMIFS(RAB!$F$14:$F$116,RAB!$C$14:$C$116,C1103)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SUMIFS(RAB!$F$14:$F$116,RAB!$C$14:$C$116,C1104)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SUMIFS(RAB!$F$14:$F$116,RAB!$C$14:$C$116,C1105)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SUMIFS(RAB!$F$14:$F$116,RAB!$C$14:$C$116,C1106)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SUMIFS(RAB!$F$14:$F$116,RAB!$C$14:$C$116,C1107)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SUMIFS(RAB!$F$14:$F$116,RAB!$C$14:$C$116,C1108)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SUMIFS(RAB!$F$14:$F$116,RAB!$C$14:$C$116,C1109)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SUMIFS(RAB!$F$14:$F$116,RAB!$C$14:$C$116,C1110)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SUMIFS(RAB!$F$14:$F$116,RAB!$C$14:$C$116,C1111)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SUMIFS(RAB!$F$14:$F$116,RAB!$C$14:$C$116,C1112)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SUMIFS(RAB!$F$14:$F$116,RAB!$C$14:$C$116,C1113)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SUMIFS(RAB!$F$14:$F$116,RAB!$C$14:$C$116,C1114)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SUMIFS(RAB!$F$14:$F$116,RAB!$C$14:$C$116,C1115)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SUMIFS(RAB!$F$14:$F$116,RAB!$C$14:$C$116,C1116)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SUMIFS(RAB!$F$14:$F$116,RAB!$C$14:$C$116,C1117)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SUMIFS(RAB!$F$14:$F$116,RAB!$C$14:$C$116,C1118)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SUMIFS(RAB!$F$14:$F$116,RAB!$C$14:$C$116,C1119)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SUMIFS(RAB!$F$14:$F$116,RAB!$C$14:$C$116,C1120)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SUMIFS(RAB!$F$14:$F$116,RAB!$C$14:$C$116,C1121)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SUMIFS(RAB!$F$14:$F$116,RAB!$C$14:$C$116,C1122)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SUMIFS(RAB!$F$14:$F$116,RAB!$C$14:$C$116,C1123)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SUMIFS(RAB!$F$14:$F$116,RAB!$C$14:$C$116,C1124)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SUMIFS(RAB!$F$14:$F$116,RAB!$C$14:$C$116,C1125)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SUMIFS(RAB!$F$14:$F$116,RAB!$C$14:$C$116,C1126)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SUMIFS(RAB!$F$14:$F$116,RAB!$C$14:$C$116,C1127)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SUMIFS(RAB!$F$14:$F$116,RAB!$C$14:$C$116,C1128)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SUMIFS(RAB!$F$14:$F$116,RAB!$C$14:$C$116,C1129)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SUMIFS(RAB!$F$14:$F$116,RAB!$C$14:$C$116,C1130)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SUMIFS(RAB!$F$14:$F$116,RAB!$C$14:$C$116,C1131)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SUMIFS(RAB!$F$14:$F$116,RAB!$C$14:$C$116,C1132)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SUMIFS(RAB!$F$14:$F$116,RAB!$C$14:$C$116,C1133)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SUMIFS(RAB!$F$14:$F$116,RAB!$C$14:$C$116,C1134)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SUMIFS(RAB!$F$14:$F$116,RAB!$C$14:$C$116,C1135)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SUMIFS(RAB!$F$14:$F$116,RAB!$C$14:$C$116,C1136)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SUMIFS(RAB!$F$14:$F$116,RAB!$C$14:$C$116,C1137)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SUMIFS(RAB!$F$14:$F$116,RAB!$C$14:$C$116,C1138)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SUMIFS(RAB!$F$14:$F$116,RAB!$C$14:$C$116,C1139)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SUMIFS(RAB!$F$14:$F$116,RAB!$C$14:$C$116,C1140)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SUMIFS(RAB!$F$14:$F$116,RAB!$C$14:$C$116,C1141)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SUMIFS(RAB!$F$14:$F$116,RAB!$C$14:$C$116,C1142)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SUMIFS(RAB!$F$14:$F$116,RAB!$C$14:$C$116,C1143)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SUMIFS(RAB!$F$14:$F$116,RAB!$C$14:$C$116,C1144)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SUMIFS(RAB!$F$14:$F$116,RAB!$C$14:$C$116,C1145)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SUMIFS(RAB!$F$14:$F$116,RAB!$C$14:$C$116,C1146)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SUMIFS(RAB!$F$14:$F$116,RAB!$C$14:$C$116,C1147)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SUMIFS(RAB!$F$14:$F$116,RAB!$C$14:$C$116,C1148)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SUMIFS(RAB!$F$14:$F$116,RAB!$C$14:$C$116,C1149)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SUMIFS(RAB!$F$14:$F$116,RAB!$C$14:$C$116,C1150)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SUMIFS(RAB!$F$14:$F$116,RAB!$C$14:$C$116,C1151)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SUMIFS(RAB!$F$14:$F$116,RAB!$C$14:$C$116,C1152)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SUMIFS(RAB!$F$14:$F$116,RAB!$C$14:$C$116,C1153)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SUMIFS(RAB!$F$14:$F$116,RAB!$C$14:$C$116,C1154)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SUMIFS(RAB!$F$14:$F$116,RAB!$C$14:$C$116,C1155)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SUMIFS(RAB!$F$14:$F$116,RAB!$C$14:$C$116,C1156)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SUMIFS(RAB!$F$14:$F$116,RAB!$C$14:$C$116,C1157)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SUMIFS(RAB!$F$14:$F$116,RAB!$C$14:$C$116,C1158)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SUMIFS(RAB!$F$14:$F$116,RAB!$C$14:$C$116,C1159)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SUMIFS(RAB!$F$14:$F$116,RAB!$C$14:$C$116,C1160)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SUMIFS(RAB!$F$14:$F$116,RAB!$C$14:$C$116,C1161)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SUMIFS(RAB!$F$14:$F$116,RAB!$C$14:$C$116,C1162)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SUMIFS(RAB!$F$14:$F$116,RAB!$C$14:$C$116,C1163)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SUMIFS(RAB!$F$14:$F$116,RAB!$C$14:$C$116,C1164)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SUMIFS(RAB!$F$14:$F$116,RAB!$C$14:$C$116,C1165)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SUMIFS(RAB!$F$14:$F$116,RAB!$C$14:$C$116,C1166)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SUMIFS(RAB!$F$14:$F$116,RAB!$C$14:$C$116,C1167)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SUMIFS(RAB!$F$14:$F$116,RAB!$C$14:$C$116,C1168)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SUMIFS(RAB!$F$14:$F$116,RAB!$C$14:$C$116,C1169)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SUMIFS(RAB!$F$14:$F$116,RAB!$C$14:$C$116,C1170)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SUMIFS(RAB!$F$14:$F$116,RAB!$C$14:$C$116,C1171)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SUMIFS(RAB!$F$14:$F$116,RAB!$C$14:$C$116,C1172)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SUMIFS(RAB!$F$14:$F$116,RAB!$C$14:$C$116,C1173)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SUMIFS(RAB!$F$14:$F$116,RAB!$C$14:$C$116,C1174)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SUMIFS(RAB!$F$14:$F$116,RAB!$C$14:$C$116,C1175)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SUMIFS(RAB!$F$14:$F$116,RAB!$C$14:$C$116,C1176)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SUMIFS(RAB!$F$14:$F$116,RAB!$C$14:$C$116,C1177)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SUMIFS(RAB!$F$14:$F$116,RAB!$C$14:$C$116,C1178)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SUMIFS(RAB!$F$14:$F$116,RAB!$C$14:$C$116,C1179)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SUMIFS(RAB!$F$14:$F$116,RAB!$C$14:$C$116,C1180)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SUMIFS(RAB!$F$14:$F$116,RAB!$C$14:$C$116,C1181)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SUMIFS(RAB!$F$14:$F$116,RAB!$C$14:$C$116,C1182)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SUMIFS(RAB!$F$14:$F$116,RAB!$C$14:$C$116,C1183)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SUMIFS(RAB!$F$14:$F$116,RAB!$C$14:$C$116,C1184)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SUMIFS(RAB!$F$14:$F$116,RAB!$C$14:$C$116,C1185)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SUMIFS(RAB!$F$14:$F$116,RAB!$C$14:$C$116,C1186)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SUMIFS(RAB!$F$14:$F$116,RAB!$C$14:$C$116,C1187)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SUMIFS(RAB!$F$14:$F$116,RAB!$C$14:$C$116,C1188)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SUMIFS(RAB!$F$14:$F$116,RAB!$C$14:$C$116,C1189)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SUMIFS(RAB!$F$14:$F$116,RAB!$C$14:$C$116,C1190)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SUMIFS(RAB!$F$14:$F$116,RAB!$C$14:$C$116,C1191)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SUMIFS(RAB!$F$14:$F$116,RAB!$C$14:$C$116,C1192)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SUMIFS(RAB!$F$14:$F$116,RAB!$C$14:$C$116,C1193)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SUMIFS(RAB!$F$14:$F$116,RAB!$C$14:$C$116,C1194)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SUMIFS(RAB!$F$14:$F$116,RAB!$C$14:$C$116,C1195)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SUMIFS(RAB!$F$14:$F$116,RAB!$C$14:$C$116,C1196)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SUMIFS(RAB!$F$14:$F$116,RAB!$C$14:$C$116,C1197)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SUMIFS(RAB!$F$14:$F$116,RAB!$C$14:$C$116,C1198)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SUMIFS(RAB!$F$14:$F$116,RAB!$C$14:$C$116,C1199)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SUMIFS(RAB!$F$14:$F$116,RAB!$C$14:$C$116,C1200)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SUMIFS(RAB!$F$14:$F$116,RAB!$C$14:$C$116,C1201)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SUMIFS(RAB!$F$14:$F$116,RAB!$C$14:$C$116,C1202)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SUMIFS(RAB!$F$14:$F$116,RAB!$C$14:$C$116,C1203)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SUMIFS(RAB!$F$14:$F$116,RAB!$C$14:$C$116,C1204)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SUMIFS(RAB!$F$14:$F$116,RAB!$C$14:$C$116,C1205)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SUMIFS(RAB!$F$14:$F$116,RAB!$C$14:$C$116,C1206)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SUMIFS(RAB!$F$14:$F$116,RAB!$C$14:$C$116,C1207)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SUMIFS(RAB!$F$14:$F$116,RAB!$C$14:$C$116,C1208)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SUMIFS(RAB!$F$14:$F$116,RAB!$C$14:$C$116,C1209)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SUMIFS(RAB!$F$14:$F$116,RAB!$C$14:$C$116,C1210)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SUMIFS(RAB!$F$14:$F$116,RAB!$C$14:$C$116,C1211)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SUMIFS(RAB!$F$14:$F$116,RAB!$C$14:$C$116,C1212)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SUMIFS(RAB!$F$14:$F$116,RAB!$C$14:$C$116,C1213)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SUMIFS(RAB!$F$14:$F$116,RAB!$C$14:$C$116,C1214)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SUMIFS(RAB!$F$14:$F$116,RAB!$C$14:$C$116,C1215)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SUMIFS(RAB!$F$14:$F$116,RAB!$C$14:$C$116,C1216)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SUMIFS(RAB!$F$14:$F$116,RAB!$C$14:$C$116,C1217)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SUMIFS(RAB!$F$14:$F$116,RAB!$C$14:$C$116,C1218)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SUMIFS(RAB!$F$14:$F$116,RAB!$C$14:$C$116,C1219)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SUMIFS(RAB!$F$14:$F$116,RAB!$C$14:$C$116,C1220)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SUMIFS(RAB!$F$14:$F$116,RAB!$C$14:$C$116,C1221)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SUMIFS(RAB!$F$14:$F$116,RAB!$C$14:$C$116,C1222)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SUMIFS(RAB!$F$14:$F$116,RAB!$C$14:$C$116,C1223)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SUMIFS(RAB!$F$14:$F$116,RAB!$C$14:$C$116,C1224)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SUMIFS(RAB!$F$14:$F$116,RAB!$C$14:$C$116,C1225)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SUMIFS(RAB!$F$14:$F$116,RAB!$C$14:$C$116,C1226)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SUMIFS(RAB!$F$14:$F$116,RAB!$C$14:$C$116,C1227)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SUMIFS(RAB!$F$14:$F$116,RAB!$C$14:$C$116,C1228)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SUMIFS(RAB!$F$14:$F$116,RAB!$C$14:$C$116,C1229)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SUMIFS(RAB!$F$14:$F$116,RAB!$C$14:$C$116,C1230)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SUMIFS(RAB!$F$14:$F$116,RAB!$C$14:$C$116,C1231)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SUMIFS(RAB!$F$14:$F$116,RAB!$C$14:$C$116,C1232)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SUMIFS(RAB!$F$14:$F$116,RAB!$C$14:$C$116,C1233)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SUMIFS(RAB!$F$14:$F$116,RAB!$C$14:$C$116,C1234)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SUMIFS(RAB!$F$14:$F$116,RAB!$C$14:$C$116,C1235)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SUMIFS(RAB!$F$14:$F$116,RAB!$C$14:$C$116,C1236)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SUMIFS(RAB!$F$14:$F$116,RAB!$C$14:$C$116,C1237)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SUMIFS(RAB!$F$14:$F$116,RAB!$C$14:$C$116,C1238)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SUMIFS(RAB!$F$14:$F$116,RAB!$C$14:$C$116,C1239)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SUMIFS(RAB!$F$14:$F$116,RAB!$C$14:$C$116,C1240)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SUMIFS(RAB!$F$14:$F$116,RAB!$C$14:$C$116,C1241)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SUMIFS(RAB!$F$14:$F$116,RAB!$C$14:$C$116,C1242)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SUMIFS(RAB!$F$14:$F$116,RAB!$C$14:$C$116,C1243)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SUMIFS(RAB!$F$14:$F$116,RAB!$C$14:$C$116,C1244)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SUMIFS(RAB!$F$14:$F$116,RAB!$C$14:$C$116,C1245)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SUMIFS(RAB!$F$14:$F$116,RAB!$C$14:$C$116,C1246)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SUMIFS(RAB!$F$14:$F$116,RAB!$C$14:$C$116,C1247)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SUMIFS(RAB!$F$14:$F$116,RAB!$C$14:$C$116,C1248)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SUMIFS(RAB!$F$14:$F$116,RAB!$C$14:$C$116,C1249)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SUMIFS(RAB!$F$14:$F$116,RAB!$C$14:$C$116,C1250)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SUMIFS(RAB!$F$14:$F$116,RAB!$C$14:$C$116,C1251)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SUMIFS(RAB!$F$14:$F$116,RAB!$C$14:$C$116,C1252)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SUMIFS(RAB!$F$14:$F$116,RAB!$C$14:$C$116,C1253)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SUMIFS(RAB!$F$14:$F$116,RAB!$C$14:$C$116,C1254)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SUMIFS(RAB!$F$14:$F$116,RAB!$C$14:$C$116,C1255)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SUMIFS(RAB!$F$14:$F$116,RAB!$C$14:$C$116,C1256)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SUMIFS(RAB!$F$14:$F$116,RAB!$C$14:$C$116,C1257)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SUMIFS(RAB!$F$14:$F$116,RAB!$C$14:$C$116,C1258)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SUMIFS(RAB!$F$14:$F$116,RAB!$C$14:$C$116,C1259)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SUMIFS(RAB!$F$14:$F$116,RAB!$C$14:$C$116,C1260)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SUMIFS(RAB!$F$14:$F$116,RAB!$C$14:$C$116,C1261)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SUMIFS(RAB!$F$14:$F$116,RAB!$C$14:$C$116,C1262)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SUMIFS(RAB!$F$14:$F$116,RAB!$C$14:$C$116,C1263)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SUMIFS(RAB!$F$14:$F$116,RAB!$C$14:$C$116,C1264)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SUMIFS(RAB!$F$14:$F$116,RAB!$C$14:$C$116,C1265)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SUMIFS(RAB!$F$14:$F$116,RAB!$C$14:$C$116,C1266)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SUMIFS(RAB!$F$14:$F$116,RAB!$C$14:$C$116,C1267)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SUMIFS(RAB!$F$14:$F$116,RAB!$C$14:$C$116,C1268)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SUMIFS(RAB!$F$14:$F$116,RAB!$C$14:$C$116,C1269)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SUMIFS(RAB!$F$14:$F$116,RAB!$C$14:$C$116,C1270)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SUMIFS(RAB!$F$14:$F$116,RAB!$C$14:$C$116,C1271)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SUMIFS(RAB!$F$14:$F$116,RAB!$C$14:$C$116,C1272)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SUMIFS(RAB!$F$14:$F$116,RAB!$C$14:$C$116,C1273)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SUMIFS(RAB!$F$14:$F$116,RAB!$C$14:$C$116,C1274)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SUMIFS(RAB!$F$14:$F$116,RAB!$C$14:$C$116,C1275)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SUMIFS(RAB!$F$14:$F$116,RAB!$C$14:$C$116,C1276)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SUMIFS(RAB!$F$14:$F$116,RAB!$C$14:$C$116,C1277)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SUMIFS(RAB!$F$14:$F$116,RAB!$C$14:$C$116,C1278)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SUMIFS(RAB!$F$14:$F$116,RAB!$C$14:$C$116,C1279)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SUMIFS(RAB!$F$14:$F$116,RAB!$C$14:$C$116,C1280)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SUMIFS(RAB!$F$14:$F$116,RAB!$C$14:$C$116,C1281)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SUMIFS(RAB!$F$14:$F$116,RAB!$C$14:$C$116,C1282)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SUMIFS(RAB!$F$14:$F$116,RAB!$C$14:$C$116,C1283)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SUMIFS(RAB!$F$14:$F$116,RAB!$C$14:$C$116,C1284)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SUMIFS(RAB!$F$14:$F$116,RAB!$C$14:$C$116,C1285)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SUMIFS(RAB!$F$14:$F$116,RAB!$C$14:$C$116,C1286)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SUMIFS(RAB!$F$14:$F$116,RAB!$C$14:$C$116,C1287)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SUMIFS(RAB!$F$14:$F$116,RAB!$C$14:$C$116,C1288)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SUMIFS(RAB!$F$14:$F$116,RAB!$C$14:$C$116,C1289)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SUMIFS(RAB!$F$14:$F$116,RAB!$C$14:$C$116,C1290)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SUMIFS(RAB!$F$14:$F$116,RAB!$C$14:$C$116,C1291)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SUMIFS(RAB!$F$14:$F$116,RAB!$C$14:$C$116,C1292)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SUMIFS(RAB!$F$14:$F$116,RAB!$C$14:$C$116,C1293)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SUMIFS(RAB!$F$14:$F$116,RAB!$C$14:$C$116,C1294)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SUMIFS(RAB!$F$14:$F$116,RAB!$C$14:$C$116,C1295)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SUMIFS(RAB!$F$14:$F$116,RAB!$C$14:$C$116,C1296)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SUMIFS(RAB!$F$14:$F$116,RAB!$C$14:$C$116,C1297)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SUMIFS(RAB!$F$14:$F$116,RAB!$C$14:$C$116,C1298)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SUMIFS(RAB!$F$14:$F$116,RAB!$C$14:$C$116,C1299)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SUMIFS(RAB!$F$14:$F$116,RAB!$C$14:$C$116,C1300)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SUMIFS(RAB!$F$14:$F$116,RAB!$C$14:$C$116,C1301)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SUMIFS(RAB!$F$14:$F$116,RAB!$C$14:$C$116,C1302)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SUMIFS(RAB!$F$14:$F$116,RAB!$C$14:$C$116,C1303)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SUMIFS(RAB!$F$14:$F$116,RAB!$C$14:$C$116,C1304)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SUMIFS(RAB!$F$14:$F$116,RAB!$C$14:$C$116,C1305)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SUMIFS(RAB!$F$14:$F$116,RAB!$C$14:$C$116,C1306)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SUMIFS(RAB!$F$14:$F$116,RAB!$C$14:$C$116,C1307)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SUMIFS(RAB!$F$14:$F$116,RAB!$C$14:$C$116,C1308)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SUMIFS(RAB!$F$14:$F$116,RAB!$C$14:$C$116,C1309)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SUMIFS(RAB!$F$14:$F$116,RAB!$C$14:$C$116,C1310)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SUMIFS(RAB!$F$14:$F$116,RAB!$C$14:$C$116,C1311)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SUMIFS(RAB!$F$14:$F$116,RAB!$C$14:$C$116,C1312)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SUMIFS(RAB!$F$14:$F$116,RAB!$C$14:$C$116,C1313)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SUMIFS(RAB!$F$14:$F$116,RAB!$C$14:$C$116,C1314)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SUMIFS(RAB!$F$14:$F$116,RAB!$C$14:$C$116,C1315)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SUMIFS(RAB!$F$14:$F$116,RAB!$C$14:$C$116,C1316)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SUMIFS(RAB!$F$14:$F$116,RAB!$C$14:$C$116,C1317)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SUMIFS(RAB!$F$14:$F$116,RAB!$C$14:$C$116,C1318)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SUMIFS(RAB!$F$14:$F$116,RAB!$C$14:$C$116,C1319)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SUMIFS(RAB!$F$14:$F$116,RAB!$C$14:$C$116,C1320)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2" priority="5" operator="equal">
      <formula>0</formula>
    </cfRule>
  </conditionalFormatting>
  <conditionalFormatting sqref="A10:L65536">
    <cfRule type="cellIs" dxfId="61" priority="1" operator="equal">
      <formula>0</formula>
    </cfRule>
  </conditionalFormatting>
  <conditionalFormatting sqref="C12:C711">
    <cfRule type="cellIs" dxfId="60" priority="66" stopIfTrue="1" operator="equal">
      <formula>0</formula>
    </cfRule>
  </conditionalFormatting>
  <conditionalFormatting sqref="E712:E65536">
    <cfRule type="cellIs" dxfId="59" priority="16" stopIfTrue="1" operator="equal">
      <formula>0</formula>
    </cfRule>
  </conditionalFormatting>
  <conditionalFormatting sqref="G1:G11 E6:E11 E1:E3 H7 H10:H11 F10:F711 G712:G65536">
    <cfRule type="cellIs" dxfId="58" priority="69" stopIfTrue="1" operator="equal">
      <formula>0</formula>
    </cfRule>
  </conditionalFormatting>
  <conditionalFormatting sqref="G12:H711">
    <cfRule type="cellIs" dxfId="57" priority="12" stopIfTrue="1" operator="equal">
      <formula>0</formula>
    </cfRule>
  </conditionalFormatting>
  <conditionalFormatting sqref="I7:K7">
    <cfRule type="cellIs" dxfId="56" priority="4" stopIfTrue="1" operator="equal">
      <formula>0</formula>
    </cfRule>
  </conditionalFormatting>
  <conditionalFormatting sqref="I10:L711">
    <cfRule type="cellIs" dxfId="55" priority="2" stopIfTrue="1" operator="equal">
      <formula>0</formula>
    </cfRule>
  </conditionalFormatting>
  <conditionalFormatting sqref="L1:L6">
    <cfRule type="cellIs" dxfId="54" priority="10" operator="equal">
      <formula>0</formula>
    </cfRule>
  </conditionalFormatting>
  <conditionalFormatting sqref="M1:IV1048576 A8:G9">
    <cfRule type="cellIs" dxfId="5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1127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PB TRI CAHYO UTAMI 66KVA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KLAMBU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6" t="s">
        <v>41</v>
      </c>
      <c r="H11" s="544" t="s">
        <v>3</v>
      </c>
      <c r="I11" s="544"/>
      <c r="J11" s="544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45"/>
      <c r="E12" s="545"/>
      <c r="F12" s="545"/>
      <c r="G12" s="547"/>
      <c r="H12" s="553" t="s">
        <v>46</v>
      </c>
      <c r="I12" s="553" t="s">
        <v>5</v>
      </c>
      <c r="J12" s="545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45"/>
      <c r="E13" s="545"/>
      <c r="F13" s="545"/>
      <c r="G13" s="548"/>
      <c r="H13" s="554"/>
      <c r="I13" s="554"/>
      <c r="J13" s="545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5800000</v>
      </c>
      <c r="H16" s="42">
        <f t="shared" ca="1" si="1"/>
        <v>0</v>
      </c>
      <c r="I16" s="42">
        <f t="shared" ca="1" si="2"/>
        <v>5800000</v>
      </c>
      <c r="J16" s="42">
        <f t="shared" ca="1" si="3"/>
        <v>0</v>
      </c>
      <c r="K16" s="43">
        <f t="shared" ca="1" si="0"/>
        <v>5800000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3" t="s">
        <v>1008</v>
      </c>
      <c r="D38" s="563"/>
      <c r="E38" s="563"/>
      <c r="F38" s="563"/>
      <c r="G38" s="77" t="s">
        <v>9</v>
      </c>
      <c r="H38" s="55">
        <f ca="1">SUM(H14:H37)</f>
        <v>0</v>
      </c>
      <c r="I38" s="55">
        <f ca="1">SUM(I14:I37)</f>
        <v>5800000</v>
      </c>
      <c r="J38" s="55">
        <f ca="1">SUM(J14:J37)</f>
        <v>0</v>
      </c>
      <c r="K38" s="55">
        <f ca="1">SUM(K14:K37)</f>
        <v>5800000</v>
      </c>
      <c r="L38" s="44"/>
      <c r="R38" s="99"/>
      <c r="S38" s="99"/>
      <c r="T38" s="99"/>
    </row>
    <row r="39" spans="1:20" s="36" customFormat="1">
      <c r="A39" s="30"/>
      <c r="B39" s="56"/>
      <c r="C39" s="564" t="s">
        <v>462</v>
      </c>
      <c r="D39" s="564"/>
      <c r="E39" s="564"/>
      <c r="F39" s="564"/>
      <c r="G39" s="59" t="s">
        <v>9</v>
      </c>
      <c r="H39" s="60">
        <f ca="1">H38*0.1</f>
        <v>0</v>
      </c>
      <c r="I39" s="60">
        <f ca="1">I38*0.1</f>
        <v>580000</v>
      </c>
      <c r="J39" s="60">
        <f ca="1">J38*0.1</f>
        <v>0</v>
      </c>
      <c r="K39" s="60">
        <f ca="1">K38*0.1</f>
        <v>580000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5" t="s">
        <v>463</v>
      </c>
      <c r="D40" s="555"/>
      <c r="E40" s="555"/>
      <c r="F40" s="555"/>
      <c r="G40" s="61" t="s">
        <v>9</v>
      </c>
      <c r="H40" s="78">
        <f ca="1">SUM(H38:H39)</f>
        <v>0</v>
      </c>
      <c r="I40" s="78">
        <f ca="1">SUM(I38:I39)</f>
        <v>6380000</v>
      </c>
      <c r="J40" s="61">
        <f ca="1">SUM(J38:J39)</f>
        <v>0</v>
      </c>
      <c r="K40" s="61">
        <f ca="1">SUM(K38:K39)</f>
        <v>6380000</v>
      </c>
      <c r="L40" s="44"/>
      <c r="R40" s="99"/>
      <c r="S40" s="99"/>
      <c r="T40" s="99"/>
    </row>
    <row r="41" spans="1:20" s="36" customFormat="1">
      <c r="A41" s="30"/>
      <c r="B41" s="556" t="e">
        <f ca="1">"Terbilang : ( "&amp;L42&amp;" Rupiah )"</f>
        <v>#NAME?</v>
      </c>
      <c r="C41" s="557"/>
      <c r="D41" s="557"/>
      <c r="E41" s="557"/>
      <c r="F41" s="557"/>
      <c r="G41" s="557"/>
      <c r="H41" s="557"/>
      <c r="I41" s="557"/>
      <c r="J41" s="557"/>
      <c r="K41" s="558"/>
      <c r="L41" s="44"/>
      <c r="R41" s="58"/>
      <c r="S41" s="58"/>
      <c r="T41" s="58"/>
    </row>
    <row r="42" spans="1:20" s="36" customFormat="1">
      <c r="A42" s="30"/>
      <c r="B42" s="559"/>
      <c r="C42" s="560"/>
      <c r="D42" s="560"/>
      <c r="E42" s="560"/>
      <c r="F42" s="560"/>
      <c r="G42" s="560"/>
      <c r="H42" s="560"/>
      <c r="I42" s="560"/>
      <c r="J42" s="560"/>
      <c r="K42" s="561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0"/>
      <c r="I45" s="550"/>
      <c r="J45" s="551"/>
      <c r="K45" s="55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0"/>
      <c r="I46" s="550"/>
      <c r="J46" s="551"/>
      <c r="K46" s="55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0"/>
      <c r="I47" s="550"/>
      <c r="J47" s="551"/>
      <c r="K47" s="55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0"/>
      <c r="I52" s="550"/>
      <c r="J52" s="551"/>
      <c r="K52" s="55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SUMIFS(RAB!$F$14:$F$116,RAB!$C$14:$C$116,'REKAP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SUMIFS(RAB!$F$14:$F$116,RAB!$C$14:$C$116,'REKAP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SUMIFS(RAB!$F$14:$F$116,RAB!$C$14:$C$116,'REKAP TIANG'!C59)</f>
        <v>1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SUMIFS(RAB!$F$14:$F$116,RAB!$C$14:$C$116,'REKAP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SUMIFS(RAB!$F$14:$F$116,RAB!$C$14:$C$116,'REKAP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SUMIFS(RAB!$F$14:$F$116,RAB!$C$14:$C$116,'REKAP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SUMIFS(RAB!$F$14:$F$116,RAB!$C$14:$C$116,'REKAP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SUMIFS(RAB!$F$14:$F$116,RAB!$C$14:$C$116,'REKAP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SUMIFS(RAB!$F$14:$F$116,RAB!$C$14:$C$116,'REKAP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SUMIFS(RAB!$F$14:$F$116,RAB!$C$14:$C$116,'REKAP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SUMIFS(RAB!$F$14:$F$116,RAB!$C$14:$C$116,'REKAP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SUMIFS(RAB!$F$14:$F$116,RAB!$C$14:$C$116,'REKAP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SUMIFS(RAB!$F$14:$F$116,RAB!$C$14:$C$116,'REKAP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SUMIFS(RAB!$F$14:$F$116,RAB!$C$14:$C$116,'REKAP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SUMIFS(RAB!$F$14:$F$116,RAB!$C$14:$C$116,'REKAP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SUMIFS(RAB!$F$14:$F$116,RAB!$C$14:$C$116,'REKAP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SUMIFS(RAB!$F$14:$F$116,RAB!$C$14:$C$116,'REKAP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SUMIFS(RAB!$F$14:$F$116,RAB!$C$14:$C$116,'REKAP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SUMIFS(RAB!$F$14:$F$116,RAB!$C$14:$C$116,'REKAP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SUMIFS(RAB!$F$14:$F$116,RAB!$C$14:$C$116,'REKAP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C22" sqref="C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8" t="s">
        <v>1034</v>
      </c>
      <c r="C4" s="538"/>
      <c r="D4" s="538"/>
      <c r="E4" s="538"/>
      <c r="F4" s="538"/>
      <c r="G4" s="538"/>
      <c r="H4" s="538"/>
      <c r="I4" s="538"/>
      <c r="J4" s="538"/>
      <c r="K4" s="53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62" t="str">
        <f>RAB!G6</f>
        <v>PB TRI CAHYO UTAMI 66KVA</v>
      </c>
      <c r="H6" s="562"/>
      <c r="I6" s="562"/>
      <c r="J6" s="562"/>
      <c r="K6" s="56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KLAMBU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9" t="s">
        <v>0</v>
      </c>
      <c r="C11" s="541" t="s">
        <v>1</v>
      </c>
      <c r="D11" s="544" t="s">
        <v>42</v>
      </c>
      <c r="E11" s="544" t="s">
        <v>43</v>
      </c>
      <c r="F11" s="544" t="s">
        <v>2</v>
      </c>
      <c r="G11" s="546" t="s">
        <v>41</v>
      </c>
      <c r="H11" s="544" t="s">
        <v>3</v>
      </c>
      <c r="I11" s="544"/>
      <c r="J11" s="544"/>
      <c r="K11" s="549"/>
      <c r="M11" s="33"/>
      <c r="N11" s="33"/>
      <c r="O11" s="33"/>
      <c r="P11" s="33"/>
      <c r="R11" s="34"/>
      <c r="S11" s="74"/>
      <c r="T11" s="74"/>
    </row>
    <row r="12" spans="1:21" ht="15" customHeight="1">
      <c r="B12" s="540"/>
      <c r="C12" s="542"/>
      <c r="D12" s="545"/>
      <c r="E12" s="545"/>
      <c r="F12" s="545"/>
      <c r="G12" s="547"/>
      <c r="H12" s="553" t="s">
        <v>46</v>
      </c>
      <c r="I12" s="553" t="s">
        <v>5</v>
      </c>
      <c r="J12" s="545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0"/>
      <c r="C13" s="543"/>
      <c r="D13" s="545"/>
      <c r="E13" s="545"/>
      <c r="F13" s="545"/>
      <c r="G13" s="548"/>
      <c r="H13" s="554"/>
      <c r="I13" s="554"/>
      <c r="J13" s="545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100</v>
      </c>
      <c r="G21" s="41">
        <f ca="1">IF(ISERROR(OFFSET('HARGA SATUAN'!$I$6,MATCH(C21,'HARGA SATUAN'!$C$7:$C$1495,0),0)),"",OFFSET('HARGA SATUAN'!$I$6,MATCH(C21,'HARGA SATUAN'!$C$7:$C$1495,0),0))</f>
        <v>54500</v>
      </c>
      <c r="H21" s="42">
        <f t="shared" ca="1" si="1"/>
        <v>5450000</v>
      </c>
      <c r="I21" s="42">
        <f t="shared" ca="1" si="2"/>
        <v>0</v>
      </c>
      <c r="J21" s="42">
        <f t="shared" ca="1" si="3"/>
        <v>0</v>
      </c>
      <c r="K21" s="43">
        <f t="shared" ca="1" si="0"/>
        <v>5450000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3" t="s">
        <v>1008</v>
      </c>
      <c r="D168" s="563"/>
      <c r="E168" s="563"/>
      <c r="F168" s="563"/>
      <c r="G168" s="77" t="s">
        <v>9</v>
      </c>
      <c r="H168" s="55">
        <f ca="1">SUM(H14:H167)</f>
        <v>102995850</v>
      </c>
      <c r="I168" s="55">
        <f ca="1">SUM(I14:I167)</f>
        <v>0</v>
      </c>
      <c r="J168" s="55">
        <f ca="1">SUM(J14:J167)</f>
        <v>0</v>
      </c>
      <c r="K168" s="55">
        <f ca="1">SUM(K14:K167)</f>
        <v>102995850</v>
      </c>
      <c r="L168" s="44"/>
      <c r="R168" s="99"/>
      <c r="S168" s="99"/>
      <c r="T168" s="99"/>
    </row>
    <row r="169" spans="1:20" s="36" customFormat="1">
      <c r="A169" s="30"/>
      <c r="B169" s="56"/>
      <c r="C169" s="564" t="s">
        <v>462</v>
      </c>
      <c r="D169" s="564"/>
      <c r="E169" s="564"/>
      <c r="F169" s="564"/>
      <c r="G169" s="59" t="s">
        <v>9</v>
      </c>
      <c r="H169" s="60">
        <f ca="1">H168*0.1</f>
        <v>10299585</v>
      </c>
      <c r="I169" s="60">
        <f ca="1">I168*0.1</f>
        <v>0</v>
      </c>
      <c r="J169" s="60">
        <f ca="1">J168*0.1</f>
        <v>0</v>
      </c>
      <c r="K169" s="60">
        <f ca="1">K168*0.1</f>
        <v>10299585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5" t="s">
        <v>463</v>
      </c>
      <c r="D170" s="555"/>
      <c r="E170" s="555"/>
      <c r="F170" s="555"/>
      <c r="G170" s="61" t="s">
        <v>9</v>
      </c>
      <c r="H170" s="78">
        <f ca="1">SUM(H168:H169)</f>
        <v>113295435</v>
      </c>
      <c r="I170" s="78">
        <f ca="1">SUM(I168:I169)</f>
        <v>0</v>
      </c>
      <c r="J170" s="61">
        <f ca="1">SUM(J168:J169)</f>
        <v>0</v>
      </c>
      <c r="K170" s="61">
        <f ca="1">SUM(K168:K169)</f>
        <v>113295435</v>
      </c>
      <c r="L170" s="44"/>
      <c r="R170" s="99"/>
      <c r="S170" s="99"/>
      <c r="T170" s="99"/>
    </row>
    <row r="171" spans="1:20" s="36" customFormat="1">
      <c r="A171" s="30"/>
      <c r="B171" s="556" t="e">
        <f ca="1">"Terbilang : ( "&amp;L172&amp;" Rupiah )"</f>
        <v>#NAME?</v>
      </c>
      <c r="C171" s="557"/>
      <c r="D171" s="557"/>
      <c r="E171" s="557"/>
      <c r="F171" s="557"/>
      <c r="G171" s="557"/>
      <c r="H171" s="557"/>
      <c r="I171" s="557"/>
      <c r="J171" s="557"/>
      <c r="K171" s="558"/>
      <c r="L171" s="44"/>
      <c r="R171" s="58"/>
      <c r="S171" s="58"/>
      <c r="T171" s="58"/>
    </row>
    <row r="172" spans="1:20" s="36" customFormat="1">
      <c r="A172" s="30"/>
      <c r="B172" s="559"/>
      <c r="C172" s="560"/>
      <c r="D172" s="560"/>
      <c r="E172" s="560"/>
      <c r="F172" s="560"/>
      <c r="G172" s="560"/>
      <c r="H172" s="560"/>
      <c r="I172" s="560"/>
      <c r="J172" s="560"/>
      <c r="K172" s="561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0"/>
      <c r="I175" s="550"/>
      <c r="J175" s="551"/>
      <c r="K175" s="55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0"/>
      <c r="I176" s="550"/>
      <c r="J176" s="551"/>
      <c r="K176" s="55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0"/>
      <c r="I177" s="550"/>
      <c r="J177" s="551"/>
      <c r="K177" s="55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0"/>
      <c r="I182" s="550"/>
      <c r="J182" s="551"/>
      <c r="K182" s="55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SUMIFS(RAB!$F$14:$F$116,RAB!$C$14:$C$116,C224)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SUMIFS(RAB!$F$14:$F$116,RAB!$C$14:$C$116,C225)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SUMIFS(RAB!$F$14:$F$116,RAB!$C$14:$C$116,C226)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SUMIFS(RAB!$F$14:$F$116,RAB!$C$14:$C$116,C227)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SUMIFS(RAB!$F$14:$F$116,RAB!$C$14:$C$116,C228)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SUMIFS(RAB!$F$14:$F$116,RAB!$C$14:$C$116,C229)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SUMIFS(RAB!$F$14:$F$116,RAB!$C$14:$C$116,C230)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SUMIFS(RAB!$F$14:$F$116,RAB!$C$14:$C$116,C231)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SUMIFS(RAB!$F$14:$F$116,RAB!$C$14:$C$116,C232)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SUMIFS(RAB!$F$14:$F$116,RAB!$C$14:$C$116,C233)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SUMIFS(RAB!$F$14:$F$116,RAB!$C$14:$C$116,C234)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SUMIFS(RAB!$F$14:$F$116,RAB!$C$14:$C$116,C235)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SUMIFS(RAB!$F$14:$F$116,RAB!$C$14:$C$116,C236)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SUMIFS(RAB!$F$14:$F$116,RAB!$C$14:$C$116,C237)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SUMIFS(RAB!$F$14:$F$116,RAB!$C$14:$C$116,C238)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SUMIFS(RAB!$F$14:$F$116,RAB!$C$14:$C$116,C239)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SUMIFS(RAB!$F$14:$F$116,RAB!$C$14:$C$116,C240)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SUMIFS(RAB!$F$14:$F$116,RAB!$C$14:$C$116,C241)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SUMIFS(RAB!$F$14:$F$116,RAB!$C$14:$C$116,C242)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SUMIFS(RAB!$F$14:$F$116,RAB!$C$14:$C$116,C243)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SUMIFS(RAB!$F$14:$F$116,RAB!$C$14:$C$116,C244)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SUMIFS(RAB!$F$14:$F$116,RAB!$C$14:$C$116,C245)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SUMIFS(RAB!$F$14:$F$116,RAB!$C$14:$C$116,C246)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SUMIFS(RAB!$F$14:$F$116,RAB!$C$14:$C$116,C247)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SUMIFS(RAB!$F$14:$F$116,RAB!$C$14:$C$116,C248)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SUMIFS(RAB!$F$14:$F$116,RAB!$C$14:$C$116,C249)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SUMIFS(RAB!$F$14:$F$116,RAB!$C$14:$C$116,C250)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SUMIFS(RAB!$F$14:$F$116,RAB!$C$14:$C$116,C251)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SUMIFS(RAB!$F$14:$F$116,RAB!$C$14:$C$116,C252)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SUMIFS(RAB!$F$14:$F$116,RAB!$C$14:$C$116,C253)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SUMIFS(RAB!$F$14:$F$116,RAB!$C$14:$C$116,C254)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SUMIFS(RAB!$F$14:$F$116,RAB!$C$14:$C$116,C255)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SUMIFS(RAB!$F$14:$F$116,RAB!$C$14:$C$116,C256)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SUMIFS(RAB!$F$14:$F$116,RAB!$C$14:$C$116,C257)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SUMIFS(RAB!$F$14:$F$116,RAB!$C$14:$C$116,C258)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SUMIFS(RAB!$F$14:$F$116,RAB!$C$14:$C$116,C259)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SUMIFS(RAB!$F$14:$F$116,RAB!$C$14:$C$116,C260)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SUMIFS(RAB!$F$14:$F$116,RAB!$C$14:$C$116,C261)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SUMIFS(RAB!$F$14:$F$116,RAB!$C$14:$C$116,C262)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SUMIFS(RAB!$F$14:$F$116,RAB!$C$14:$C$116,C263)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SUMIFS(RAB!$F$14:$F$116,RAB!$C$14:$C$116,C264)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SUMIFS(RAB!$F$14:$F$116,RAB!$C$14:$C$116,C265)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SUMIFS(RAB!$F$14:$F$116,RAB!$C$14:$C$116,C266)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SUMIFS(RAB!$F$14:$F$116,RAB!$C$14:$C$116,C267)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SUMIFS(RAB!$F$14:$F$116,RAB!$C$14:$C$116,C268)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SUMIFS(RAB!$F$14:$F$116,RAB!$C$14:$C$116,C269)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SUMIFS(RAB!$F$14:$F$116,RAB!$C$14:$C$116,C270)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SUMIFS(RAB!$F$14:$F$116,RAB!$C$14:$C$116,C271)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SUMIFS(RAB!$F$14:$F$116,RAB!$C$14:$C$116,C272)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SUMIFS(RAB!$F$14:$F$116,RAB!$C$14:$C$116,C273)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SUMIFS(RAB!$F$14:$F$116,RAB!$C$14:$C$116,C274)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SUMIFS(RAB!$F$14:$F$116,RAB!$C$14:$C$116,C275)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SUMIFS(RAB!$F$14:$F$116,RAB!$C$14:$C$116,C276)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SUMIFS(RAB!$F$14:$F$116,RAB!$C$14:$C$116,C277)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SUMIFS(RAB!$F$14:$F$116,RAB!$C$14:$C$116,C278)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SUMIFS(RAB!$F$14:$F$116,RAB!$C$14:$C$116,C279)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SUMIFS(RAB!$F$14:$F$116,RAB!$C$14:$C$116,C280)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SUMIFS(RAB!$F$14:$F$116,RAB!$C$14:$C$116,C281)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SUMIFS(RAB!$F$14:$F$116,RAB!$C$14:$C$116,C282)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SUMIFS(RAB!$F$14:$F$116,RAB!$C$14:$C$116,C283)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SUMIFS(RAB!$F$14:$F$116,RAB!$C$14:$C$116,C284)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SUMIFS(RAB!$F$14:$F$116,RAB!$C$14:$C$116,C285)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SUMIFS(RAB!$F$14:$F$116,RAB!$C$14:$C$116,C286)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SUMIFS(RAB!$F$14:$F$116,RAB!$C$14:$C$116,C287)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SUMIFS(RAB!$F$14:$F$116,RAB!$C$14:$C$116,C288)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SUMIFS(RAB!$F$14:$F$116,RAB!$C$14:$C$116,C289)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SUMIFS(RAB!$F$14:$F$116,RAB!$C$14:$C$116,C290)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SUMIFS(RAB!$F$14:$F$116,RAB!$C$14:$C$116,C291)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SUMIFS(RAB!$F$14:$F$116,RAB!$C$14:$C$116,C292)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SUMIFS(RAB!$F$14:$F$116,RAB!$C$14:$C$116,C293)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SUMIFS(RAB!$F$14:$F$116,RAB!$C$14:$C$116,C294)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SUMIFS(RAB!$F$14:$F$116,RAB!$C$14:$C$116,C295)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SUMIFS(RAB!$F$14:$F$116,RAB!$C$14:$C$116,C296)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SUMIFS(RAB!$F$14:$F$116,RAB!$C$14:$C$116,C297)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SUMIFS(RAB!$F$14:$F$116,RAB!$C$14:$C$116,C298)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SUMIFS(RAB!$F$14:$F$116,RAB!$C$14:$C$116,C299)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SUMIFS(RAB!$F$14:$F$116,RAB!$C$14:$C$116,C300)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SUMIFS(RAB!$F$14:$F$116,RAB!$C$14:$C$116,C301)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SUMIFS(RAB!$F$14:$F$116,RAB!$C$14:$C$116,C302)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SUMIFS(RAB!$F$14:$F$116,RAB!$C$14:$C$116,C303)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SUMIFS(RAB!$F$14:$F$116,RAB!$C$14:$C$116,C304)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SUMIFS(RAB!$F$14:$F$116,RAB!$C$14:$C$116,C305)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SUMIFS(RAB!$F$14:$F$116,RAB!$C$14:$C$116,C306)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SUMIFS(RAB!$F$14:$F$116,RAB!$C$14:$C$116,C307)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SUMIFS(RAB!$F$14:$F$116,RAB!$C$14:$C$116,C308)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SUMIFS(RAB!$F$14:$F$116,RAB!$C$14:$C$116,C309)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SUMIFS(RAB!$F$14:$F$116,RAB!$C$14:$C$116,C310)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SUMIFS(RAB!$F$14:$F$116,RAB!$C$14:$C$116,C311)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SUMIFS(RAB!$F$14:$F$116,RAB!$C$14:$C$116,C312)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SUMIFS(RAB!$F$14:$F$116,RAB!$C$14:$C$116,C313)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SUMIFS(RAB!$F$14:$F$116,RAB!$C$14:$C$116,C314)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SUMIFS(RAB!$F$14:$F$116,RAB!$C$14:$C$116,C315)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SUMIFS(RAB!$F$14:$F$116,RAB!$C$14:$C$116,C316)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SUMIFS(RAB!$F$14:$F$116,RAB!$C$14:$C$116,C317)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SUMIFS(RAB!$F$14:$F$116,RAB!$C$14:$C$116,C318)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SUMIFS(RAB!$F$14:$F$116,RAB!$C$14:$C$116,C319)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SUMIFS(RAB!$F$14:$F$116,RAB!$C$14:$C$116,C320)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SUMIFS(RAB!$F$14:$F$116,RAB!$C$14:$C$116,C321)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SUMIFS(RAB!$F$14:$F$116,RAB!$C$14:$C$116,C322)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SUMIFS(RAB!$F$14:$F$116,RAB!$C$14:$C$116,C323)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SUMIFS(RAB!$F$14:$F$116,RAB!$C$14:$C$116,C324)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SUMIFS(RAB!$F$14:$F$116,RAB!$C$14:$C$116,C325)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SUMIFS(RAB!$F$14:$F$116,RAB!$C$14:$C$116,C326)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SUMIFS(RAB!$F$14:$F$116,RAB!$C$14:$C$116,C327)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SUMIFS(RAB!$F$14:$F$116,RAB!$C$14:$C$116,C328)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SUMIFS(RAB!$F$14:$F$116,RAB!$C$14:$C$116,C329)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SUMIFS(RAB!$F$14:$F$116,RAB!$C$14:$C$116,C330)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SUMIFS(RAB!$F$14:$F$116,RAB!$C$14:$C$116,C331)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SUMIFS(RAB!$F$14:$F$116,RAB!$C$14:$C$116,C332)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SUMIFS(RAB!$F$14:$F$116,RAB!$C$14:$C$116,C333)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SUMIFS(RAB!$F$14:$F$116,RAB!$C$14:$C$116,C334)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SUMIFS(RAB!$F$14:$F$116,RAB!$C$14:$C$116,C335)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SUMIFS(RAB!$F$14:$F$116,RAB!$C$14:$C$116,C336)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SUMIFS(RAB!$F$14:$F$116,RAB!$C$14:$C$116,C337)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SUMIFS(RAB!$F$14:$F$116,RAB!$C$14:$C$116,C338)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SUMIFS(RAB!$F$14:$F$116,RAB!$C$14:$C$116,C339)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SUMIFS(RAB!$F$14:$F$116,RAB!$C$14:$C$116,C340)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SUMIFS(RAB!$F$14:$F$116,RAB!$C$14:$C$116,C341)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SUMIFS(RAB!$F$14:$F$116,RAB!$C$14:$C$116,C342)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SUMIFS(RAB!$F$14:$F$116,RAB!$C$14:$C$116,C343)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SUMIFS(RAB!$F$14:$F$116,RAB!$C$14:$C$116,C344)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SUMIFS(RAB!$F$14:$F$116,RAB!$C$14:$C$116,C345)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SUMIFS(RAB!$F$14:$F$116,RAB!$C$14:$C$116,C346)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SUMIFS(RAB!$F$14:$F$116,RAB!$C$14:$C$116,C347)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SUMIFS(RAB!$F$14:$F$116,RAB!$C$14:$C$116,C348)</f>
        <v>100</v>
      </c>
      <c r="E348" s="24">
        <f t="shared" ca="1" si="22"/>
        <v>1</v>
      </c>
      <c r="F348" s="24">
        <f ca="1">IF(D348=0,0,SUM($E$223:E348))</f>
        <v>6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SUMIFS(RAB!$F$14:$F$116,RAB!$C$14:$C$116,C349)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SUMIFS(RAB!$F$14:$F$116,RAB!$C$14:$C$116,C350)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SUMIFS(RAB!$F$14:$F$116,RAB!$C$14:$C$116,C351)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SUMIFS(RAB!$F$14:$F$116,RAB!$C$14:$C$116,C352)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SUMIFS(RAB!$F$14:$F$116,RAB!$C$14:$C$116,C353)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SUMIFS(RAB!$F$14:$F$116,RAB!$C$14:$C$116,C354)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SUMIFS(RAB!$F$14:$F$116,RAB!$C$14:$C$116,C355)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SUMIFS(RAB!$F$14:$F$116,RAB!$C$14:$C$116,C356)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SUMIFS(RAB!$F$14:$F$116,RAB!$C$14:$C$116,C357)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SUMIFS(RAB!$F$14:$F$116,RAB!$C$14:$C$116,C358)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SUMIFS(RAB!$F$14:$F$116,RAB!$C$14:$C$116,C359)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SUMIFS(RAB!$F$14:$F$116,RAB!$C$14:$C$116,C360)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SUMIFS(RAB!$F$14:$F$116,RAB!$C$14:$C$116,C361)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SUMIFS(RAB!$F$14:$F$116,RAB!$C$14:$C$116,C362)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SUMIFS(RAB!$F$14:$F$116,RAB!$C$14:$C$116,C363)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SUMIFS(RAB!$F$14:$F$116,RAB!$C$14:$C$116,C364)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SUMIFS(RAB!$F$14:$F$116,RAB!$C$14:$C$116,C365)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SUMIFS(RAB!$F$14:$F$116,RAB!$C$14:$C$116,C366)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SUMIFS(RAB!$F$14:$F$116,RAB!$C$14:$C$116,C367)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SUMIFS(RAB!$F$14:$F$116,RAB!$C$14:$C$116,C368)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SUMIFS(RAB!$F$14:$F$116,RAB!$C$14:$C$116,C369)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SUMIFS(RAB!$F$14:$F$116,RAB!$C$14:$C$116,C370)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SUMIFS(RAB!$F$14:$F$116,RAB!$C$14:$C$116,C371)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SUMIFS(RAB!$F$14:$F$116,RAB!$C$14:$C$116,C372)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SUMIFS(RAB!$F$14:$F$116,RAB!$C$14:$C$116,C373)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0" priority="5" operator="equal">
      <formula>0</formula>
    </cfRule>
  </conditionalFormatting>
  <conditionalFormatting sqref="C16:C165">
    <cfRule type="cellIs" dxfId="49" priority="4" stopIfTrue="1" operator="equal">
      <formula>0</formula>
    </cfRule>
  </conditionalFormatting>
  <conditionalFormatting sqref="C16:E165">
    <cfRule type="cellIs" dxfId="48" priority="1" operator="equal">
      <formula>0</formula>
    </cfRule>
  </conditionalFormatting>
  <conditionalFormatting sqref="D224:F373">
    <cfRule type="cellIs" dxfId="47" priority="8" operator="equal">
      <formula>0</formula>
    </cfRule>
  </conditionalFormatting>
  <conditionalFormatting sqref="E1:E3 G1:G115 E6:E15 H12:I12 N13 F14:F15 H14:K115 E166:K166 G166:G223 E167:F167 H167:K167">
    <cfRule type="cellIs" dxfId="46" priority="43" stopIfTrue="1" operator="equal">
      <formula>0</formula>
    </cfRule>
  </conditionalFormatting>
  <conditionalFormatting sqref="E171:E65536">
    <cfRule type="cellIs" dxfId="45" priority="9" stopIfTrue="1" operator="equal">
      <formula>0</formula>
    </cfRule>
  </conditionalFormatting>
  <conditionalFormatting sqref="G224">
    <cfRule type="cellIs" dxfId="44" priority="10" operator="equal">
      <formula>0</formula>
    </cfRule>
  </conditionalFormatting>
  <conditionalFormatting sqref="G225:G65536">
    <cfRule type="cellIs" dxfId="43" priority="14" stopIfTrue="1" operator="equal">
      <formula>0</formula>
    </cfRule>
  </conditionalFormatting>
  <conditionalFormatting sqref="R14:T166 G116:K165">
    <cfRule type="cellIs" dxfId="4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77" activePane="bottomRight" state="frozen"/>
      <selection activeCell="D209" sqref="D209"/>
      <selection pane="topRight" activeCell="D209" sqref="D209"/>
      <selection pane="bottomLeft" activeCell="D209" sqref="D209"/>
      <selection pane="bottomRight" activeCell="C1382" sqref="C138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6" t="s">
        <v>41</v>
      </c>
      <c r="C2" s="56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7" t="s">
        <v>23</v>
      </c>
      <c r="C4" s="568" t="s">
        <v>1012</v>
      </c>
      <c r="D4" s="568" t="s">
        <v>42</v>
      </c>
      <c r="E4" s="567" t="s">
        <v>43</v>
      </c>
      <c r="F4" s="108" t="s">
        <v>1599</v>
      </c>
      <c r="G4" s="108" t="s">
        <v>1598</v>
      </c>
      <c r="H4" s="56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7"/>
      <c r="C5" s="568"/>
      <c r="D5" s="568"/>
      <c r="E5" s="567"/>
      <c r="F5" s="93"/>
      <c r="G5" s="93"/>
      <c r="H5" s="56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6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7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7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1" priority="4" operator="equal">
      <formula>0</formula>
    </cfRule>
  </conditionalFormatting>
  <conditionalFormatting sqref="B217 D217:G217">
    <cfRule type="cellIs" dxfId="40" priority="11" operator="equal">
      <formula>0</formula>
    </cfRule>
  </conditionalFormatting>
  <conditionalFormatting sqref="B8:C135">
    <cfRule type="cellIs" dxfId="39" priority="66" operator="equal">
      <formula>0</formula>
    </cfRule>
  </conditionalFormatting>
  <conditionalFormatting sqref="B216:G216">
    <cfRule type="cellIs" dxfId="38" priority="16" operator="equal">
      <formula>0</formula>
    </cfRule>
  </conditionalFormatting>
  <conditionalFormatting sqref="B218:G1496">
    <cfRule type="cellIs" dxfId="37" priority="1" operator="equal">
      <formula>0</formula>
    </cfRule>
  </conditionalFormatting>
  <conditionalFormatting sqref="C143:G149">
    <cfRule type="cellIs" dxfId="36" priority="20" operator="equal">
      <formula>0</formula>
    </cfRule>
  </conditionalFormatting>
  <conditionalFormatting sqref="D9:G142">
    <cfRule type="cellIs" dxfId="35" priority="26" operator="equal">
      <formula>0</formula>
    </cfRule>
  </conditionalFormatting>
  <conditionalFormatting sqref="D1:IV5 A1:C7 D6:K6 H1458:IV1460 H1461:XFD1488 H1489:H1496 I1489:XFD1497 A1497:H1497 A1498:XFD65539">
    <cfRule type="cellIs" dxfId="34" priority="178" operator="equal">
      <formula>0</formula>
    </cfRule>
  </conditionalFormatting>
  <conditionalFormatting sqref="D7:IV8 C136:C142 B136:B149 B150:G213 B214:B215 D214:G215">
    <cfRule type="cellIs" dxfId="33" priority="77" operator="equal">
      <formula>0</formula>
    </cfRule>
  </conditionalFormatting>
  <conditionalFormatting sqref="H9:H1421">
    <cfRule type="cellIs" dxfId="32" priority="3" operator="equal">
      <formula>0</formula>
    </cfRule>
  </conditionalFormatting>
  <conditionalFormatting sqref="H1422:I1457">
    <cfRule type="cellIs" dxfId="31" priority="143" operator="equal">
      <formula>0</formula>
    </cfRule>
  </conditionalFormatting>
  <conditionalFormatting sqref="I108:I1421">
    <cfRule type="cellIs" dxfId="30" priority="2" operator="equal">
      <formula>0</formula>
    </cfRule>
  </conditionalFormatting>
  <conditionalFormatting sqref="I9:IV107">
    <cfRule type="cellIs" dxfId="29" priority="153" operator="equal">
      <formula>0</formula>
    </cfRule>
  </conditionalFormatting>
  <conditionalFormatting sqref="J108:IV1457">
    <cfRule type="cellIs" dxfId="28" priority="5" operator="equal">
      <formula>0</formula>
    </cfRule>
  </conditionalFormatting>
  <conditionalFormatting sqref="M6:IV6">
    <cfRule type="cellIs" dxfId="27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D17" sqref="D17:E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600" t="s">
        <v>1453</v>
      </c>
      <c r="C2" s="600"/>
      <c r="D2" s="600"/>
      <c r="E2" s="600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5" t="s">
        <v>1528</v>
      </c>
      <c r="C4" s="606"/>
      <c r="D4" s="606"/>
      <c r="E4" s="607"/>
      <c r="F4" s="372"/>
      <c r="G4" s="372"/>
      <c r="H4" s="373"/>
      <c r="I4" s="569" t="s">
        <v>1529</v>
      </c>
      <c r="J4" s="570"/>
      <c r="K4" s="570"/>
      <c r="L4" s="571"/>
    </row>
    <row r="5" spans="1:12" ht="34.5" customHeight="1">
      <c r="A5" s="193"/>
      <c r="B5" s="375" t="s">
        <v>1378</v>
      </c>
      <c r="C5" s="224" t="s">
        <v>9</v>
      </c>
      <c r="D5" s="601" t="str">
        <f>DATA!D14</f>
        <v>PB TRI CAHYO UTAMI 66KVA</v>
      </c>
      <c r="E5" s="602"/>
      <c r="F5" s="197"/>
      <c r="G5" s="197"/>
      <c r="I5" s="376" t="s">
        <v>1378</v>
      </c>
      <c r="J5" s="224" t="s">
        <v>9</v>
      </c>
      <c r="K5" s="572" t="str">
        <f>D5</f>
        <v>PB TRI CAHYO UTAMI 66KVA</v>
      </c>
      <c r="L5" s="573"/>
    </row>
    <row r="6" spans="1:12" ht="31.5" customHeight="1">
      <c r="A6" s="193"/>
      <c r="B6" s="375" t="s">
        <v>1525</v>
      </c>
      <c r="C6" s="224" t="s">
        <v>9</v>
      </c>
      <c r="D6" s="610">
        <f>DATA!D17*1000</f>
        <v>0</v>
      </c>
      <c r="E6" s="611"/>
      <c r="F6" s="197"/>
      <c r="G6" s="197"/>
      <c r="I6" s="376" t="s">
        <v>1526</v>
      </c>
      <c r="J6" s="224" t="s">
        <v>9</v>
      </c>
      <c r="K6" s="574">
        <f>DATA!D20*1000</f>
        <v>66000</v>
      </c>
      <c r="L6" s="575"/>
    </row>
    <row r="7" spans="1:12" ht="30.75" customHeight="1">
      <c r="A7" s="193"/>
      <c r="B7" s="375" t="s">
        <v>1440</v>
      </c>
      <c r="C7" s="224" t="s">
        <v>9</v>
      </c>
      <c r="D7" s="608">
        <f>DATA!D18</f>
        <v>1</v>
      </c>
      <c r="E7" s="609"/>
      <c r="F7" s="374" t="s">
        <v>1452</v>
      </c>
      <c r="I7" s="376" t="s">
        <v>1440</v>
      </c>
      <c r="J7" s="224" t="s">
        <v>9</v>
      </c>
      <c r="K7" s="576">
        <f>DATA!D21</f>
        <v>3</v>
      </c>
      <c r="L7" s="577"/>
    </row>
    <row r="8" spans="1:12" ht="51" customHeight="1">
      <c r="A8" s="193"/>
      <c r="B8" s="375" t="s">
        <v>1441</v>
      </c>
      <c r="C8" s="224" t="s">
        <v>9</v>
      </c>
      <c r="D8" s="608">
        <f>DATA!D19</f>
        <v>220</v>
      </c>
      <c r="E8" s="609"/>
      <c r="F8" s="374" t="s">
        <v>1452</v>
      </c>
      <c r="G8" s="369">
        <v>220</v>
      </c>
      <c r="I8" s="376" t="s">
        <v>1441</v>
      </c>
      <c r="J8" s="224" t="s">
        <v>9</v>
      </c>
      <c r="K8" s="576">
        <f>DATA!D22</f>
        <v>380</v>
      </c>
      <c r="L8" s="577"/>
    </row>
    <row r="9" spans="1:12" ht="30" customHeight="1" thickBot="1">
      <c r="A9" s="193"/>
      <c r="B9" s="381" t="s">
        <v>1537</v>
      </c>
      <c r="C9" s="371" t="s">
        <v>9</v>
      </c>
      <c r="D9" s="603">
        <f>IF(D7=1,D6/(380/3^0.5),(D6/(380*3^0.5)))</f>
        <v>0</v>
      </c>
      <c r="E9" s="604"/>
      <c r="F9" s="196"/>
      <c r="G9" s="370">
        <v>380</v>
      </c>
      <c r="I9" s="382" t="s">
        <v>1537</v>
      </c>
      <c r="J9" s="371" t="s">
        <v>9</v>
      </c>
      <c r="K9" s="580">
        <f>IF(K7=1,K6/(380/3^0.5),(K6/(380*3^0.5)))</f>
        <v>100.27662570135607</v>
      </c>
      <c r="L9" s="581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612" t="s">
        <v>1644</v>
      </c>
      <c r="E12" s="613"/>
      <c r="F12" s="197"/>
      <c r="G12" s="197"/>
      <c r="I12" s="398" t="s">
        <v>1530</v>
      </c>
      <c r="J12" s="399" t="s">
        <v>9</v>
      </c>
      <c r="K12" s="612" t="s">
        <v>1644</v>
      </c>
      <c r="L12" s="613"/>
    </row>
    <row r="13" spans="1:12" ht="31.5" customHeight="1">
      <c r="A13" s="193"/>
      <c r="B13" s="406" t="s">
        <v>1379</v>
      </c>
      <c r="C13" s="386" t="s">
        <v>9</v>
      </c>
      <c r="D13" s="578" t="s">
        <v>1645</v>
      </c>
      <c r="E13" s="579"/>
      <c r="F13" s="197"/>
      <c r="G13" s="197"/>
      <c r="I13" s="400" t="s">
        <v>1379</v>
      </c>
      <c r="J13" s="386" t="s">
        <v>9</v>
      </c>
      <c r="K13" s="578" t="s">
        <v>1645</v>
      </c>
      <c r="L13" s="579"/>
    </row>
    <row r="14" spans="1:12" ht="30.75" customHeight="1">
      <c r="A14" s="193"/>
      <c r="B14" s="406" t="s">
        <v>1531</v>
      </c>
      <c r="C14" s="386" t="s">
        <v>9</v>
      </c>
      <c r="D14" s="582">
        <v>100</v>
      </c>
      <c r="E14" s="583"/>
      <c r="F14" s="374" t="s">
        <v>1452</v>
      </c>
      <c r="G14" s="378">
        <v>50</v>
      </c>
      <c r="I14" s="400" t="s">
        <v>1531</v>
      </c>
      <c r="J14" s="386" t="s">
        <v>9</v>
      </c>
      <c r="K14" s="584">
        <v>160</v>
      </c>
      <c r="L14" s="585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86">
        <f>42+33+53</f>
        <v>128</v>
      </c>
      <c r="E16" s="587"/>
      <c r="F16" s="374"/>
      <c r="G16" s="378">
        <v>160</v>
      </c>
      <c r="I16" s="400" t="s">
        <v>1533</v>
      </c>
      <c r="J16" s="386" t="s">
        <v>9</v>
      </c>
      <c r="K16" s="590">
        <f>K9</f>
        <v>100.27662570135607</v>
      </c>
      <c r="L16" s="591"/>
    </row>
    <row r="17" spans="1:12" ht="34.5" customHeight="1">
      <c r="A17" s="193"/>
      <c r="B17" s="406" t="s">
        <v>1534</v>
      </c>
      <c r="C17" s="386" t="s">
        <v>9</v>
      </c>
      <c r="D17" s="588">
        <f>IF(D15=1,D14/(20/3^0.5),(D14/(20*3^0.5)))</f>
        <v>2.8867513459481291</v>
      </c>
      <c r="E17" s="589"/>
      <c r="F17" s="374" t="s">
        <v>1452</v>
      </c>
      <c r="G17" s="379">
        <v>200</v>
      </c>
      <c r="I17" s="400" t="s">
        <v>1534</v>
      </c>
      <c r="J17" s="386" t="s">
        <v>9</v>
      </c>
      <c r="K17" s="594">
        <f>IF(K15=1,K14/(20/3^0.5),(K14/(20*3^0.5)))</f>
        <v>4.6188021535170067</v>
      </c>
      <c r="L17" s="595"/>
    </row>
    <row r="18" spans="1:12" ht="34.5" customHeight="1">
      <c r="A18" s="193"/>
      <c r="B18" s="406" t="s">
        <v>1535</v>
      </c>
      <c r="C18" s="386" t="s">
        <v>9</v>
      </c>
      <c r="D18" s="588">
        <f>IF(D15=1,D14/(380/3^0.5),(D14/(380*3^0.5)))*1000</f>
        <v>151.93428136569102</v>
      </c>
      <c r="E18" s="589"/>
      <c r="F18" s="374" t="s">
        <v>1452</v>
      </c>
      <c r="G18" s="379">
        <v>250</v>
      </c>
      <c r="I18" s="400" t="s">
        <v>1535</v>
      </c>
      <c r="J18" s="386" t="s">
        <v>9</v>
      </c>
      <c r="K18" s="594">
        <f>IF(K15=1,K14/(380/3^0.5),(K14/(380*3^0.5)))*1000</f>
        <v>243.0948501851056</v>
      </c>
      <c r="L18" s="595"/>
    </row>
    <row r="19" spans="1:12" ht="30" customHeight="1">
      <c r="A19" s="193"/>
      <c r="B19" s="407" t="s">
        <v>1527</v>
      </c>
      <c r="C19" s="385" t="s">
        <v>9</v>
      </c>
      <c r="D19" s="588">
        <f>IF(D15=1,D14/(380/3^0.5),(D14/(380*3^0.5)))</f>
        <v>0.15193428136569101</v>
      </c>
      <c r="E19" s="589"/>
      <c r="F19" s="196"/>
      <c r="G19" s="370"/>
      <c r="I19" s="402" t="s">
        <v>1527</v>
      </c>
      <c r="J19" s="385" t="s">
        <v>9</v>
      </c>
      <c r="K19" s="594">
        <f>IF(K15=1,K14/(380/3^0.5),(K14/(380*3^0.5)))</f>
        <v>0.2430948501851056</v>
      </c>
      <c r="L19" s="595"/>
    </row>
    <row r="20" spans="1:12" ht="30" customHeight="1" thickBot="1">
      <c r="A20" s="193"/>
      <c r="B20" s="408" t="s">
        <v>1536</v>
      </c>
      <c r="C20" s="404" t="s">
        <v>9</v>
      </c>
      <c r="D20" s="614">
        <f>D16/D18</f>
        <v>0.84246951280150173</v>
      </c>
      <c r="E20" s="615"/>
      <c r="F20" s="196"/>
      <c r="G20" s="370"/>
      <c r="I20" s="403" t="s">
        <v>1527</v>
      </c>
      <c r="J20" s="404" t="s">
        <v>9</v>
      </c>
      <c r="K20" s="592">
        <f>K16/K18</f>
        <v>0.41250000000000003</v>
      </c>
      <c r="L20" s="593"/>
    </row>
    <row r="21" spans="1:12" ht="9.75" customHeight="1">
      <c r="A21" s="193"/>
      <c r="B21" s="393" t="s">
        <v>1536</v>
      </c>
      <c r="C21" s="394" t="s">
        <v>9</v>
      </c>
      <c r="D21" s="599">
        <v>1</v>
      </c>
      <c r="E21" s="599"/>
      <c r="F21" s="395"/>
      <c r="G21" s="396"/>
      <c r="H21" s="397"/>
      <c r="I21" s="393" t="s">
        <v>1527</v>
      </c>
      <c r="J21" s="394" t="s">
        <v>9</v>
      </c>
      <c r="K21" s="599">
        <v>1</v>
      </c>
      <c r="L21" s="599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96"/>
      <c r="C24" s="597"/>
      <c r="D24" s="597"/>
      <c r="E24" s="598"/>
      <c r="I24" s="596"/>
      <c r="J24" s="597"/>
      <c r="K24" s="597"/>
      <c r="L24" s="598"/>
    </row>
    <row r="26" spans="1:12">
      <c r="D26" s="388"/>
    </row>
    <row r="27" spans="1:12">
      <c r="D27" s="38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6" priority="5" stopIfTrue="1" operator="greaterThan">
      <formula>0.89</formula>
    </cfRule>
    <cfRule type="cellIs" dxfId="2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0" zoomScale="85" zoomScaleNormal="85" workbookViewId="0">
      <selection activeCell="D17" sqref="D17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6"/>
      <c r="C1" s="616"/>
      <c r="D1" s="61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66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63954000</v>
      </c>
    </row>
    <row r="10" spans="2:11" ht="20.100000000000001" customHeight="1">
      <c r="B10" s="238" t="s">
        <v>1445</v>
      </c>
      <c r="C10" s="239" t="s">
        <v>9</v>
      </c>
      <c r="D10" s="245">
        <f ca="1">RAB!K122</f>
        <v>133909153.81225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2678183.0762450001</v>
      </c>
    </row>
    <row r="12" spans="2:11" ht="9" customHeight="1">
      <c r="B12" s="617"/>
      <c r="C12" s="617"/>
      <c r="D12" s="617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PB TRI CAHYO UTAMI 66KVA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1625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/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66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W26" sqref="W26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4" t="s">
        <v>1356</v>
      </c>
      <c r="C3" s="624"/>
      <c r="D3" s="624"/>
      <c r="E3" s="624"/>
      <c r="F3" s="252" t="str">
        <f>DATA!D14</f>
        <v>PB TRI CAHYO UTAMI 66KVA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8" t="s">
        <v>1348</v>
      </c>
      <c r="C5" s="618" t="s">
        <v>1357</v>
      </c>
      <c r="D5" s="623" t="s">
        <v>1358</v>
      </c>
      <c r="E5" s="623" t="s">
        <v>1359</v>
      </c>
      <c r="F5" s="618" t="s">
        <v>1360</v>
      </c>
      <c r="G5" s="618"/>
      <c r="H5" s="618"/>
      <c r="I5" s="618"/>
      <c r="J5" s="618"/>
      <c r="K5" s="618" t="s">
        <v>1361</v>
      </c>
      <c r="L5" s="618"/>
      <c r="M5" s="254"/>
      <c r="N5" s="621" t="s">
        <v>1362</v>
      </c>
      <c r="O5" s="623" t="s">
        <v>1363</v>
      </c>
      <c r="P5" s="623" t="s">
        <v>1364</v>
      </c>
      <c r="Q5" s="623" t="s">
        <v>1365</v>
      </c>
      <c r="R5" s="255"/>
      <c r="S5" s="256"/>
      <c r="T5" s="619" t="s">
        <v>1366</v>
      </c>
      <c r="U5" s="257"/>
    </row>
    <row r="6" spans="1:21" ht="20.100000000000001" customHeight="1">
      <c r="B6" s="618"/>
      <c r="C6" s="618"/>
      <c r="D6" s="618"/>
      <c r="E6" s="618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22"/>
      <c r="O6" s="618"/>
      <c r="P6" s="618"/>
      <c r="Q6" s="618"/>
      <c r="R6" s="255"/>
      <c r="S6" s="256"/>
      <c r="T6" s="618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10560</v>
      </c>
      <c r="D7" s="263">
        <f>C7*4/24</f>
        <v>1760</v>
      </c>
      <c r="E7" s="263">
        <f>C7-D7</f>
        <v>8800</v>
      </c>
      <c r="F7" s="264">
        <f ca="1">DATA!D10/1000000</f>
        <v>133.90915381225</v>
      </c>
      <c r="G7" s="265">
        <f ca="1">DATA!$D$11/1000000</f>
        <v>2.6781830762450003</v>
      </c>
      <c r="H7" s="265">
        <f>C7*DATA!$D$5/1000000</f>
        <v>11.448360484562327</v>
      </c>
      <c r="I7" s="265">
        <f>(C7*DATA!$D$5*DATA!$D$7)/1000000</f>
        <v>0.25758811090265238</v>
      </c>
      <c r="J7" s="263">
        <f ca="1">SUM(F7:I7)</f>
        <v>148.29328548395998</v>
      </c>
      <c r="K7" s="266">
        <f>DATA!D9/1000000</f>
        <v>63.954000000000001</v>
      </c>
      <c r="L7" s="263">
        <f>((D7*DATA!$D$23)/1000000)+((E7*DATA!$D$24)/1000000)</f>
        <v>15.256031999999999</v>
      </c>
      <c r="M7" s="263">
        <f>K7+L7</f>
        <v>79.210031999999998</v>
      </c>
      <c r="N7" s="263">
        <f ca="1">M7-J7</f>
        <v>-69.083253483959979</v>
      </c>
      <c r="O7" s="261">
        <v>1</v>
      </c>
      <c r="P7" s="263">
        <f ca="1">O7*N7</f>
        <v>-69.083253483959979</v>
      </c>
      <c r="Q7" s="263">
        <f ca="1">P7</f>
        <v>-69.083253483959979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31680</v>
      </c>
      <c r="D8" s="263">
        <f>C8*4/24</f>
        <v>5280</v>
      </c>
      <c r="E8" s="263">
        <f t="shared" ref="E8:E32" si="0">C8-D8</f>
        <v>26400</v>
      </c>
      <c r="F8" s="261"/>
      <c r="G8" s="265">
        <f ca="1">DATA!$D$11/1000000</f>
        <v>2.6781830762450003</v>
      </c>
      <c r="H8" s="265">
        <f>C8*DATA!$D$5/1000000</f>
        <v>34.34508145368698</v>
      </c>
      <c r="I8" s="265">
        <f>(C8*DATA!$D$5*DATA!$D$7)/1000000</f>
        <v>0.77276433270795708</v>
      </c>
      <c r="J8" s="263">
        <f t="shared" ref="J8:J32" ca="1" si="1">SUM(F8:I8)</f>
        <v>37.796028862639936</v>
      </c>
      <c r="K8" s="268"/>
      <c r="L8" s="263">
        <f>((D8*DATA!$D$23)/1000000)+((E8*DATA!$D$24)/1000000)</f>
        <v>45.768096</v>
      </c>
      <c r="M8" s="263">
        <f t="shared" ref="M8:M32" si="2">K8+L8</f>
        <v>45.768096</v>
      </c>
      <c r="N8" s="263">
        <f ca="1">M8-J8</f>
        <v>7.9720671373600638</v>
      </c>
      <c r="O8" s="262">
        <f>1/(1+'[93]Asumsi I'!$C$3)^(KKF!A8)</f>
        <v>0.89285714285714279</v>
      </c>
      <c r="P8" s="263">
        <f ca="1">O8*N8</f>
        <v>7.1179170869286281</v>
      </c>
      <c r="Q8" s="263">
        <f ca="1">Q7+P8</f>
        <v>-61.965336397031351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31680</v>
      </c>
      <c r="D9" s="263">
        <f t="shared" ref="D9:D32" si="5">C9*4/24</f>
        <v>5280</v>
      </c>
      <c r="E9" s="263">
        <f t="shared" si="0"/>
        <v>26400</v>
      </c>
      <c r="F9" s="261"/>
      <c r="G9" s="265">
        <f ca="1">DATA!$D$11/1000000</f>
        <v>2.6781830762450003</v>
      </c>
      <c r="H9" s="265">
        <f>C9*DATA!$D$5/1000000</f>
        <v>34.34508145368698</v>
      </c>
      <c r="I9" s="265">
        <f>(C9*DATA!$D$5*DATA!$D$7)/1000000</f>
        <v>0.77276433270795708</v>
      </c>
      <c r="J9" s="263">
        <f t="shared" ca="1" si="1"/>
        <v>37.796028862639936</v>
      </c>
      <c r="K9" s="263"/>
      <c r="L9" s="263">
        <f>((D9*DATA!$D$23)/1000000)+((E9*DATA!$D$24)/1000000)</f>
        <v>45.768096</v>
      </c>
      <c r="M9" s="263">
        <f t="shared" si="2"/>
        <v>45.768096</v>
      </c>
      <c r="N9" s="263">
        <f t="shared" ref="N9:N32" ca="1" si="6">M9-J9</f>
        <v>7.9720671373600638</v>
      </c>
      <c r="O9" s="269">
        <f>1/(1+'[93]Asumsi I'!$C$3)^(KKF!A9)</f>
        <v>0.79719387755102034</v>
      </c>
      <c r="P9" s="263">
        <f t="shared" ref="P9:P32" ca="1" si="7">O9*N9</f>
        <v>6.3552831133291319</v>
      </c>
      <c r="Q9" s="263">
        <f ca="1">Q8+P9</f>
        <v>-55.610053283702221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31680</v>
      </c>
      <c r="D10" s="263">
        <f t="shared" si="5"/>
        <v>5280</v>
      </c>
      <c r="E10" s="263">
        <f t="shared" si="0"/>
        <v>26400</v>
      </c>
      <c r="F10" s="261"/>
      <c r="G10" s="265">
        <f ca="1">DATA!$D$11/1000000</f>
        <v>2.6781830762450003</v>
      </c>
      <c r="H10" s="265">
        <f>C10*DATA!$D$5/1000000</f>
        <v>34.34508145368698</v>
      </c>
      <c r="I10" s="265">
        <f>(C10*DATA!$D$5*DATA!$D$7)/1000000</f>
        <v>0.77276433270795708</v>
      </c>
      <c r="J10" s="263">
        <f t="shared" ca="1" si="1"/>
        <v>37.796028862639936</v>
      </c>
      <c r="K10" s="261"/>
      <c r="L10" s="263">
        <f>((D10*DATA!$D$23)/1000000)+((E10*DATA!$D$24)/1000000)</f>
        <v>45.768096</v>
      </c>
      <c r="M10" s="263">
        <f t="shared" si="2"/>
        <v>45.768096</v>
      </c>
      <c r="N10" s="263">
        <f t="shared" ca="1" si="6"/>
        <v>7.9720671373600638</v>
      </c>
      <c r="O10" s="262">
        <f>1/(1+'[93]Asumsi I'!$C$3)^(KKF!A10)</f>
        <v>0.71178024781341087</v>
      </c>
      <c r="P10" s="263">
        <f t="shared" ca="1" si="7"/>
        <v>5.6743599226152952</v>
      </c>
      <c r="Q10" s="263">
        <f t="shared" ref="Q10:Q30" ca="1" si="9">Q9+P10</f>
        <v>-49.935693361086926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31680</v>
      </c>
      <c r="D11" s="263">
        <f t="shared" si="5"/>
        <v>5280</v>
      </c>
      <c r="E11" s="263">
        <f t="shared" si="0"/>
        <v>26400</v>
      </c>
      <c r="F11" s="261"/>
      <c r="G11" s="265">
        <f ca="1">DATA!$D$11/1000000</f>
        <v>2.6781830762450003</v>
      </c>
      <c r="H11" s="265">
        <f>C11*DATA!$D$5/1000000</f>
        <v>34.34508145368698</v>
      </c>
      <c r="I11" s="265">
        <f>(C11*DATA!$D$5*DATA!$D$7)/1000000</f>
        <v>0.77276433270795708</v>
      </c>
      <c r="J11" s="263">
        <f t="shared" ca="1" si="1"/>
        <v>37.796028862639936</v>
      </c>
      <c r="K11" s="261"/>
      <c r="L11" s="263">
        <f>((D11*DATA!$D$23)/1000000)+((E11*DATA!$D$24)/1000000)</f>
        <v>45.768096</v>
      </c>
      <c r="M11" s="263">
        <f t="shared" si="2"/>
        <v>45.768096</v>
      </c>
      <c r="N11" s="263">
        <f t="shared" ca="1" si="6"/>
        <v>7.9720671373600638</v>
      </c>
      <c r="O11" s="262">
        <f>1/(1+'[93]Asumsi I'!$C$3)^(KKF!A11)</f>
        <v>0.63551807840483121</v>
      </c>
      <c r="P11" s="263">
        <f t="shared" ca="1" si="7"/>
        <v>5.0663927880493711</v>
      </c>
      <c r="Q11" s="263">
        <f t="shared" ca="1" si="9"/>
        <v>-44.869300573037556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31680</v>
      </c>
      <c r="D12" s="263">
        <f t="shared" si="5"/>
        <v>5280</v>
      </c>
      <c r="E12" s="263">
        <f t="shared" si="0"/>
        <v>26400</v>
      </c>
      <c r="F12" s="261"/>
      <c r="G12" s="265">
        <f ca="1">DATA!$D$11/1000000</f>
        <v>2.6781830762450003</v>
      </c>
      <c r="H12" s="265">
        <f>C12*DATA!$D$5/1000000</f>
        <v>34.34508145368698</v>
      </c>
      <c r="I12" s="265">
        <f>(C12*DATA!$D$5*DATA!$D$7)/1000000</f>
        <v>0.77276433270795708</v>
      </c>
      <c r="J12" s="263">
        <f t="shared" ca="1" si="1"/>
        <v>37.796028862639936</v>
      </c>
      <c r="K12" s="261"/>
      <c r="L12" s="263">
        <f>((D12*DATA!$D$23)/1000000)+((E12*DATA!$D$24)/1000000)</f>
        <v>45.768096</v>
      </c>
      <c r="M12" s="263">
        <f t="shared" si="2"/>
        <v>45.768096</v>
      </c>
      <c r="N12" s="263">
        <f t="shared" ca="1" si="6"/>
        <v>7.9720671373600638</v>
      </c>
      <c r="O12" s="262">
        <f>1/(1+'[93]Asumsi I'!$C$3)^(KKF!A12)</f>
        <v>0.56742685571859919</v>
      </c>
      <c r="P12" s="263">
        <f t="shared" ca="1" si="7"/>
        <v>4.5235649893297953</v>
      </c>
      <c r="Q12" s="263">
        <f t="shared" ca="1" si="9"/>
        <v>-40.345735583707764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31680</v>
      </c>
      <c r="D13" s="263">
        <f t="shared" si="5"/>
        <v>5280</v>
      </c>
      <c r="E13" s="263">
        <f t="shared" si="0"/>
        <v>26400</v>
      </c>
      <c r="F13" s="261"/>
      <c r="G13" s="265">
        <f ca="1">DATA!$D$11/1000000</f>
        <v>2.6781830762450003</v>
      </c>
      <c r="H13" s="265">
        <f>C13*DATA!$D$5/1000000</f>
        <v>34.34508145368698</v>
      </c>
      <c r="I13" s="265">
        <f>(C13*DATA!$D$5*DATA!$D$7)/1000000</f>
        <v>0.77276433270795708</v>
      </c>
      <c r="J13" s="263">
        <f t="shared" ca="1" si="1"/>
        <v>37.796028862639936</v>
      </c>
      <c r="K13" s="261"/>
      <c r="L13" s="263">
        <f>((D13*DATA!$D$23)/1000000)+((E13*DATA!$D$24)/1000000)</f>
        <v>45.768096</v>
      </c>
      <c r="M13" s="263">
        <f t="shared" si="2"/>
        <v>45.768096</v>
      </c>
      <c r="N13" s="263">
        <f t="shared" ca="1" si="6"/>
        <v>7.9720671373600638</v>
      </c>
      <c r="O13" s="262">
        <f>1/(1+'[93]Asumsi I'!$C$3)^(KKF!A13)</f>
        <v>0.50663112117732068</v>
      </c>
      <c r="P13" s="263">
        <f t="shared" ca="1" si="7"/>
        <v>4.0388973119016027</v>
      </c>
      <c r="Q13" s="263">
        <f t="shared" ca="1" si="9"/>
        <v>-36.306838271806164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31680</v>
      </c>
      <c r="D14" s="263">
        <f t="shared" si="5"/>
        <v>5280</v>
      </c>
      <c r="E14" s="263">
        <f t="shared" si="0"/>
        <v>26400</v>
      </c>
      <c r="F14" s="261"/>
      <c r="G14" s="265">
        <f ca="1">DATA!$D$11/1000000</f>
        <v>2.6781830762450003</v>
      </c>
      <c r="H14" s="265">
        <f>C14*DATA!$D$5/1000000</f>
        <v>34.34508145368698</v>
      </c>
      <c r="I14" s="265">
        <f>(C14*DATA!$D$5*DATA!$D$7)/1000000</f>
        <v>0.77276433270795708</v>
      </c>
      <c r="J14" s="263">
        <f t="shared" ca="1" si="1"/>
        <v>37.796028862639936</v>
      </c>
      <c r="K14" s="261"/>
      <c r="L14" s="263">
        <f>((D14*DATA!$D$23)/1000000)+((E14*DATA!$D$24)/1000000)</f>
        <v>45.768096</v>
      </c>
      <c r="M14" s="263">
        <f t="shared" si="2"/>
        <v>45.768096</v>
      </c>
      <c r="N14" s="263">
        <f t="shared" ca="1" si="6"/>
        <v>7.9720671373600638</v>
      </c>
      <c r="O14" s="262">
        <f>1/(1+'[93]Asumsi I'!$C$3)^(KKF!A14)</f>
        <v>0.45234921533689343</v>
      </c>
      <c r="P14" s="263">
        <f t="shared" ca="1" si="7"/>
        <v>3.606158314197859</v>
      </c>
      <c r="Q14" s="263">
        <f t="shared" ca="1" si="9"/>
        <v>-32.700679957608308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31680</v>
      </c>
      <c r="D15" s="263">
        <f t="shared" si="5"/>
        <v>5280</v>
      </c>
      <c r="E15" s="263">
        <f t="shared" si="0"/>
        <v>26400</v>
      </c>
      <c r="F15" s="261"/>
      <c r="G15" s="265">
        <f ca="1">DATA!$D$11/1000000</f>
        <v>2.6781830762450003</v>
      </c>
      <c r="H15" s="265">
        <f>C15*DATA!$D$5/1000000</f>
        <v>34.34508145368698</v>
      </c>
      <c r="I15" s="265">
        <f>(C15*DATA!$D$5*DATA!$D$7)/1000000</f>
        <v>0.77276433270795708</v>
      </c>
      <c r="J15" s="263">
        <f t="shared" ca="1" si="1"/>
        <v>37.796028862639936</v>
      </c>
      <c r="K15" s="261"/>
      <c r="L15" s="263">
        <f>((D15*DATA!$D$23)/1000000)+((E15*DATA!$D$24)/1000000)</f>
        <v>45.768096</v>
      </c>
      <c r="M15" s="263">
        <f t="shared" si="2"/>
        <v>45.768096</v>
      </c>
      <c r="N15" s="263">
        <f t="shared" ca="1" si="6"/>
        <v>7.9720671373600638</v>
      </c>
      <c r="O15" s="262">
        <f>1/(1+'[93]Asumsi I'!$C$3)^(KKF!A15)</f>
        <v>0.4038832279793691</v>
      </c>
      <c r="P15" s="263">
        <f t="shared" ca="1" si="7"/>
        <v>3.2197842091052311</v>
      </c>
      <c r="Q15" s="263">
        <f t="shared" ca="1" si="9"/>
        <v>-29.480895748503077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31680</v>
      </c>
      <c r="D16" s="263">
        <f t="shared" si="5"/>
        <v>5280</v>
      </c>
      <c r="E16" s="263">
        <f t="shared" si="0"/>
        <v>26400</v>
      </c>
      <c r="F16" s="261"/>
      <c r="G16" s="265">
        <f ca="1">DATA!$D$11/1000000</f>
        <v>2.6781830762450003</v>
      </c>
      <c r="H16" s="265">
        <f>C16*DATA!$D$5/1000000</f>
        <v>34.34508145368698</v>
      </c>
      <c r="I16" s="265">
        <f>(C16*DATA!$D$5*DATA!$D$7)/1000000</f>
        <v>0.77276433270795708</v>
      </c>
      <c r="J16" s="263">
        <f t="shared" ca="1" si="1"/>
        <v>37.796028862639936</v>
      </c>
      <c r="K16" s="261"/>
      <c r="L16" s="263">
        <f>((D16*DATA!$D$23)/1000000)+((E16*DATA!$D$24)/1000000)</f>
        <v>45.768096</v>
      </c>
      <c r="M16" s="263">
        <f t="shared" si="2"/>
        <v>45.768096</v>
      </c>
      <c r="N16" s="263">
        <f t="shared" ca="1" si="6"/>
        <v>7.9720671373600638</v>
      </c>
      <c r="O16" s="262">
        <f>1/(1+'[93]Asumsi I'!$C$3)^(KKF!A16)</f>
        <v>0.36061002498157957</v>
      </c>
      <c r="P16" s="263">
        <f t="shared" ca="1" si="7"/>
        <v>2.8748073295582421</v>
      </c>
      <c r="Q16" s="263">
        <f t="shared" ca="1" si="9"/>
        <v>-26.606088418944836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31680</v>
      </c>
      <c r="D17" s="263">
        <f t="shared" si="5"/>
        <v>5280</v>
      </c>
      <c r="E17" s="263">
        <f t="shared" si="0"/>
        <v>26400</v>
      </c>
      <c r="F17" s="261"/>
      <c r="G17" s="265">
        <f ca="1">DATA!$D$11/1000000</f>
        <v>2.6781830762450003</v>
      </c>
      <c r="H17" s="265">
        <f>C17*DATA!$D$5/1000000</f>
        <v>34.34508145368698</v>
      </c>
      <c r="I17" s="265">
        <f>(C17*DATA!$D$5*DATA!$D$7)/1000000</f>
        <v>0.77276433270795708</v>
      </c>
      <c r="J17" s="263">
        <f t="shared" ca="1" si="1"/>
        <v>37.796028862639936</v>
      </c>
      <c r="K17" s="261"/>
      <c r="L17" s="263">
        <f>((D17*DATA!$D$23)/1000000)+((E17*DATA!$D$24)/1000000)</f>
        <v>45.768096</v>
      </c>
      <c r="M17" s="263">
        <f t="shared" si="2"/>
        <v>45.768096</v>
      </c>
      <c r="N17" s="263">
        <f t="shared" ca="1" si="6"/>
        <v>7.9720671373600638</v>
      </c>
      <c r="O17" s="262">
        <f>1/(1+'[93]Asumsi I'!$C$3)^(KKF!A17)</f>
        <v>0.32197323659069599</v>
      </c>
      <c r="P17" s="263">
        <f t="shared" ca="1" si="7"/>
        <v>2.5667922585341443</v>
      </c>
      <c r="Q17" s="263">
        <f t="shared" ca="1" si="9"/>
        <v>-24.039296160410693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31680</v>
      </c>
      <c r="D18" s="263">
        <f t="shared" si="5"/>
        <v>5280</v>
      </c>
      <c r="E18" s="263">
        <f t="shared" si="0"/>
        <v>26400</v>
      </c>
      <c r="F18" s="261"/>
      <c r="G18" s="265">
        <f ca="1">DATA!$D$11/1000000</f>
        <v>2.6781830762450003</v>
      </c>
      <c r="H18" s="265">
        <f>C18*DATA!$D$5/1000000</f>
        <v>34.34508145368698</v>
      </c>
      <c r="I18" s="265">
        <f>(C18*DATA!$D$5*DATA!$D$7)/1000000</f>
        <v>0.77276433270795708</v>
      </c>
      <c r="J18" s="263">
        <f t="shared" ca="1" si="1"/>
        <v>37.796028862639936</v>
      </c>
      <c r="K18" s="261"/>
      <c r="L18" s="263">
        <f>((D18*DATA!$D$23)/1000000)+((E18*DATA!$D$24)/1000000)</f>
        <v>45.768096</v>
      </c>
      <c r="M18" s="263">
        <f t="shared" si="2"/>
        <v>45.768096</v>
      </c>
      <c r="N18" s="263">
        <f t="shared" ca="1" si="6"/>
        <v>7.9720671373600638</v>
      </c>
      <c r="O18" s="262">
        <f>1/(1+'[93]Asumsi I'!$C$3)^(KKF!A18)</f>
        <v>0.28747610409883567</v>
      </c>
      <c r="P18" s="263">
        <f t="shared" ca="1" si="7"/>
        <v>2.2917788022626286</v>
      </c>
      <c r="Q18" s="263">
        <f t="shared" ca="1" si="9"/>
        <v>-21.747517358148066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31680</v>
      </c>
      <c r="D19" s="263">
        <f t="shared" si="5"/>
        <v>5280</v>
      </c>
      <c r="E19" s="263">
        <f t="shared" si="0"/>
        <v>26400</v>
      </c>
      <c r="F19" s="261"/>
      <c r="G19" s="265">
        <f ca="1">DATA!$D$11/1000000</f>
        <v>2.6781830762450003</v>
      </c>
      <c r="H19" s="265">
        <f>C19*DATA!$D$5/1000000</f>
        <v>34.34508145368698</v>
      </c>
      <c r="I19" s="265">
        <f>(C19*DATA!$D$5*DATA!$D$7)/1000000</f>
        <v>0.77276433270795708</v>
      </c>
      <c r="J19" s="263">
        <f t="shared" ca="1" si="1"/>
        <v>37.796028862639936</v>
      </c>
      <c r="K19" s="261"/>
      <c r="L19" s="263">
        <f>((D19*DATA!$D$23)/1000000)+((E19*DATA!$D$24)/1000000)</f>
        <v>45.768096</v>
      </c>
      <c r="M19" s="263">
        <f t="shared" si="2"/>
        <v>45.768096</v>
      </c>
      <c r="N19" s="263">
        <f t="shared" ca="1" si="6"/>
        <v>7.9720671373600638</v>
      </c>
      <c r="O19" s="262">
        <f>1/(1+'[93]Asumsi I'!$C$3)^(KKF!A19)</f>
        <v>0.25667509294538904</v>
      </c>
      <c r="P19" s="263">
        <f t="shared" ca="1" si="7"/>
        <v>2.0462310734487761</v>
      </c>
      <c r="Q19" s="263">
        <f t="shared" ca="1" si="9"/>
        <v>-19.70128628469929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31680</v>
      </c>
      <c r="D20" s="263">
        <f t="shared" si="5"/>
        <v>5280</v>
      </c>
      <c r="E20" s="263">
        <f t="shared" si="0"/>
        <v>26400</v>
      </c>
      <c r="F20" s="261"/>
      <c r="G20" s="265">
        <f ca="1">DATA!$D$11/1000000</f>
        <v>2.6781830762450003</v>
      </c>
      <c r="H20" s="265">
        <f>C20*DATA!$D$5/1000000</f>
        <v>34.34508145368698</v>
      </c>
      <c r="I20" s="265">
        <f>(C20*DATA!$D$5*DATA!$D$7)/1000000</f>
        <v>0.77276433270795708</v>
      </c>
      <c r="J20" s="263">
        <f t="shared" ca="1" si="1"/>
        <v>37.796028862639936</v>
      </c>
      <c r="K20" s="261"/>
      <c r="L20" s="263">
        <f>((D20*DATA!$D$23)/1000000)+((E20*DATA!$D$24)/1000000)</f>
        <v>45.768096</v>
      </c>
      <c r="M20" s="263">
        <f t="shared" si="2"/>
        <v>45.768096</v>
      </c>
      <c r="N20" s="263">
        <f t="shared" ca="1" si="6"/>
        <v>7.9720671373600638</v>
      </c>
      <c r="O20" s="262">
        <f>1/(1+'[93]Asumsi I'!$C$3)^(KKF!A20)</f>
        <v>0.22917419012981158</v>
      </c>
      <c r="P20" s="263">
        <f t="shared" ca="1" si="7"/>
        <v>1.826992029864978</v>
      </c>
      <c r="Q20" s="263">
        <f t="shared" ca="1" si="9"/>
        <v>-17.874294254834311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31680</v>
      </c>
      <c r="D21" s="263">
        <f t="shared" si="5"/>
        <v>5280</v>
      </c>
      <c r="E21" s="263">
        <f t="shared" si="0"/>
        <v>26400</v>
      </c>
      <c r="F21" s="261"/>
      <c r="G21" s="265">
        <f ca="1">DATA!$D$11/1000000</f>
        <v>2.6781830762450003</v>
      </c>
      <c r="H21" s="265">
        <f>C21*DATA!$D$5/1000000</f>
        <v>34.34508145368698</v>
      </c>
      <c r="I21" s="265">
        <f>(C21*DATA!$D$5*DATA!$D$7)/1000000</f>
        <v>0.77276433270795708</v>
      </c>
      <c r="J21" s="263">
        <f t="shared" ca="1" si="1"/>
        <v>37.796028862639936</v>
      </c>
      <c r="K21" s="261"/>
      <c r="L21" s="263">
        <f>((D21*DATA!$D$23)/1000000)+((E21*DATA!$D$24)/1000000)</f>
        <v>45.768096</v>
      </c>
      <c r="M21" s="263">
        <f t="shared" si="2"/>
        <v>45.768096</v>
      </c>
      <c r="N21" s="263">
        <f t="shared" ca="1" si="6"/>
        <v>7.9720671373600638</v>
      </c>
      <c r="O21" s="262">
        <f>1/(1+'[93]Asumsi I'!$C$3)^(KKF!A21)</f>
        <v>0.20461981261590317</v>
      </c>
      <c r="P21" s="263">
        <f t="shared" ca="1" si="7"/>
        <v>1.631242883808016</v>
      </c>
      <c r="Q21" s="263">
        <f t="shared" ca="1" si="9"/>
        <v>-16.243051371026294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31680</v>
      </c>
      <c r="D22" s="263">
        <f t="shared" si="5"/>
        <v>5280</v>
      </c>
      <c r="E22" s="263">
        <f t="shared" si="0"/>
        <v>26400</v>
      </c>
      <c r="F22" s="261"/>
      <c r="G22" s="265">
        <f ca="1">DATA!$D$11/1000000</f>
        <v>2.6781830762450003</v>
      </c>
      <c r="H22" s="265">
        <f>C22*DATA!$D$5/1000000</f>
        <v>34.34508145368698</v>
      </c>
      <c r="I22" s="265">
        <f>(C22*DATA!$D$5*DATA!$D$7)/1000000</f>
        <v>0.77276433270795708</v>
      </c>
      <c r="J22" s="263">
        <f t="shared" ca="1" si="1"/>
        <v>37.796028862639936</v>
      </c>
      <c r="K22" s="261"/>
      <c r="L22" s="263">
        <f>((D22*DATA!$D$23)/1000000)+((E22*DATA!$D$24)/1000000)</f>
        <v>45.768096</v>
      </c>
      <c r="M22" s="263">
        <f t="shared" si="2"/>
        <v>45.768096</v>
      </c>
      <c r="N22" s="263">
        <f t="shared" ca="1" si="6"/>
        <v>7.9720671373600638</v>
      </c>
      <c r="O22" s="262">
        <f>1/(1+'[93]Asumsi I'!$C$3)^(KKF!A22)</f>
        <v>0.18269626126419927</v>
      </c>
      <c r="P22" s="263">
        <f t="shared" ca="1" si="7"/>
        <v>1.4564668605428714</v>
      </c>
      <c r="Q22" s="263">
        <f t="shared" ca="1" si="9"/>
        <v>-14.786584510483422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31680</v>
      </c>
      <c r="D23" s="263">
        <f t="shared" si="5"/>
        <v>5280</v>
      </c>
      <c r="E23" s="263">
        <f t="shared" si="0"/>
        <v>26400</v>
      </c>
      <c r="F23" s="261"/>
      <c r="G23" s="265">
        <f ca="1">DATA!$D$11/1000000</f>
        <v>2.6781830762450003</v>
      </c>
      <c r="H23" s="265">
        <f>C23*DATA!$D$5/1000000</f>
        <v>34.34508145368698</v>
      </c>
      <c r="I23" s="265">
        <f>(C23*DATA!$D$5*DATA!$D$7)/1000000</f>
        <v>0.77276433270795708</v>
      </c>
      <c r="J23" s="263">
        <f t="shared" ca="1" si="1"/>
        <v>37.796028862639936</v>
      </c>
      <c r="K23" s="261"/>
      <c r="L23" s="263">
        <f>((D23*DATA!$D$23)/1000000)+((E23*DATA!$D$24)/1000000)</f>
        <v>45.768096</v>
      </c>
      <c r="M23" s="263">
        <f t="shared" si="2"/>
        <v>45.768096</v>
      </c>
      <c r="N23" s="263">
        <f t="shared" ca="1" si="6"/>
        <v>7.9720671373600638</v>
      </c>
      <c r="O23" s="262">
        <f>1/(1+'[93]Asumsi I'!$C$3)^(KKF!A23)</f>
        <v>0.16312166184303503</v>
      </c>
      <c r="P23" s="263">
        <f t="shared" ca="1" si="7"/>
        <v>1.3004168397704206</v>
      </c>
      <c r="Q23" s="263">
        <f t="shared" ca="1" si="9"/>
        <v>-13.486167670713002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31680</v>
      </c>
      <c r="D24" s="263">
        <f t="shared" si="5"/>
        <v>5280</v>
      </c>
      <c r="E24" s="263">
        <f t="shared" si="0"/>
        <v>26400</v>
      </c>
      <c r="F24" s="261"/>
      <c r="G24" s="265">
        <f ca="1">DATA!$D$11/1000000</f>
        <v>2.6781830762450003</v>
      </c>
      <c r="H24" s="265">
        <f>C24*DATA!$D$5/1000000</f>
        <v>34.34508145368698</v>
      </c>
      <c r="I24" s="265">
        <f>(C24*DATA!$D$5*DATA!$D$7)/1000000</f>
        <v>0.77276433270795708</v>
      </c>
      <c r="J24" s="263">
        <f t="shared" ca="1" si="1"/>
        <v>37.796028862639936</v>
      </c>
      <c r="K24" s="261"/>
      <c r="L24" s="263">
        <f>((D24*DATA!$D$23)/1000000)+((E24*DATA!$D$24)/1000000)</f>
        <v>45.768096</v>
      </c>
      <c r="M24" s="263">
        <f t="shared" si="2"/>
        <v>45.768096</v>
      </c>
      <c r="N24" s="263">
        <f t="shared" ca="1" si="6"/>
        <v>7.9720671373600638</v>
      </c>
      <c r="O24" s="262">
        <f>1/(1+'[93]Asumsi I'!$C$3)^(KKF!A24)</f>
        <v>0.14564434093128129</v>
      </c>
      <c r="P24" s="263">
        <f t="shared" ca="1" si="7"/>
        <v>1.1610864640807328</v>
      </c>
      <c r="Q24" s="263">
        <f t="shared" ca="1" si="9"/>
        <v>-12.325081206632269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31680</v>
      </c>
      <c r="D25" s="263">
        <f t="shared" si="5"/>
        <v>5280</v>
      </c>
      <c r="E25" s="263">
        <f t="shared" si="0"/>
        <v>26400</v>
      </c>
      <c r="F25" s="261"/>
      <c r="G25" s="265">
        <f ca="1">DATA!$D$11/1000000</f>
        <v>2.6781830762450003</v>
      </c>
      <c r="H25" s="265">
        <f>C25*DATA!$D$5/1000000</f>
        <v>34.34508145368698</v>
      </c>
      <c r="I25" s="265">
        <f>(C25*DATA!$D$5*DATA!$D$7)/1000000</f>
        <v>0.77276433270795708</v>
      </c>
      <c r="J25" s="263">
        <f t="shared" ca="1" si="1"/>
        <v>37.796028862639936</v>
      </c>
      <c r="K25" s="261"/>
      <c r="L25" s="263">
        <f>((D25*DATA!$D$23)/1000000)+((E25*DATA!$D$24)/1000000)</f>
        <v>45.768096</v>
      </c>
      <c r="M25" s="263">
        <f t="shared" si="2"/>
        <v>45.768096</v>
      </c>
      <c r="N25" s="263">
        <f t="shared" ca="1" si="6"/>
        <v>7.9720671373600638</v>
      </c>
      <c r="O25" s="262">
        <f>1/(1+'[93]Asumsi I'!$C$3)^(KKF!A25)</f>
        <v>0.13003959011721541</v>
      </c>
      <c r="P25" s="263">
        <f t="shared" ca="1" si="7"/>
        <v>1.0366843429292256</v>
      </c>
      <c r="Q25" s="263">
        <f t="shared" ca="1" si="9"/>
        <v>-11.288396863703044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31680</v>
      </c>
      <c r="D26" s="263">
        <f t="shared" si="5"/>
        <v>5280</v>
      </c>
      <c r="E26" s="263">
        <f t="shared" si="0"/>
        <v>26400</v>
      </c>
      <c r="F26" s="261"/>
      <c r="G26" s="265">
        <f ca="1">DATA!$D$11/1000000</f>
        <v>2.6781830762450003</v>
      </c>
      <c r="H26" s="265">
        <f>C26*DATA!$D$5/1000000</f>
        <v>34.34508145368698</v>
      </c>
      <c r="I26" s="265">
        <f>(C26*DATA!$D$5*DATA!$D$7)/1000000</f>
        <v>0.77276433270795708</v>
      </c>
      <c r="J26" s="263">
        <f t="shared" ca="1" si="1"/>
        <v>37.796028862639936</v>
      </c>
      <c r="K26" s="261"/>
      <c r="L26" s="263">
        <f>((D26*DATA!$D$23)/1000000)+((E26*DATA!$D$24)/1000000)</f>
        <v>45.768096</v>
      </c>
      <c r="M26" s="263">
        <f t="shared" si="2"/>
        <v>45.768096</v>
      </c>
      <c r="N26" s="263">
        <f t="shared" ca="1" si="6"/>
        <v>7.9720671373600638</v>
      </c>
      <c r="O26" s="262">
        <f>1/(1+'[93]Asumsi I'!$C$3)^(KKF!A26)</f>
        <v>0.1161067768903709</v>
      </c>
      <c r="P26" s="263">
        <f t="shared" ca="1" si="7"/>
        <v>0.92561102047252275</v>
      </c>
      <c r="Q26" s="263">
        <f t="shared" ca="1" si="9"/>
        <v>-10.362785843230521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31680</v>
      </c>
      <c r="D27" s="263">
        <f t="shared" si="5"/>
        <v>5280</v>
      </c>
      <c r="E27" s="263">
        <f t="shared" si="0"/>
        <v>26400</v>
      </c>
      <c r="F27" s="261"/>
      <c r="G27" s="265">
        <f ca="1">DATA!$D$11/1000000</f>
        <v>2.6781830762450003</v>
      </c>
      <c r="H27" s="265">
        <f>C27*DATA!$D$5/1000000</f>
        <v>34.34508145368698</v>
      </c>
      <c r="I27" s="265">
        <f>(C27*DATA!$D$5*DATA!$D$7)/1000000</f>
        <v>0.77276433270795708</v>
      </c>
      <c r="J27" s="263">
        <f t="shared" ca="1" si="1"/>
        <v>37.796028862639936</v>
      </c>
      <c r="K27" s="261"/>
      <c r="L27" s="263">
        <f>((D27*DATA!$D$23)/1000000)+((E27*DATA!$D$24)/1000000)</f>
        <v>45.768096</v>
      </c>
      <c r="M27" s="263">
        <f t="shared" si="2"/>
        <v>45.768096</v>
      </c>
      <c r="N27" s="263">
        <f t="shared" ca="1" si="6"/>
        <v>7.9720671373600638</v>
      </c>
      <c r="O27" s="262">
        <f>1/(1+'[93]Asumsi I'!$C$3)^(KKF!A27)</f>
        <v>0.1036667650806883</v>
      </c>
      <c r="P27" s="263">
        <f t="shared" ca="1" si="7"/>
        <v>0.82643841113618099</v>
      </c>
      <c r="Q27" s="263">
        <f t="shared" ca="1" si="9"/>
        <v>-9.53634743209434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31680</v>
      </c>
      <c r="D28" s="263">
        <f t="shared" si="5"/>
        <v>5280</v>
      </c>
      <c r="E28" s="263">
        <f t="shared" si="0"/>
        <v>26400</v>
      </c>
      <c r="F28" s="261"/>
      <c r="G28" s="265">
        <f ca="1">DATA!$D$11/1000000</f>
        <v>2.6781830762450003</v>
      </c>
      <c r="H28" s="265">
        <f>C28*DATA!$D$5/1000000</f>
        <v>34.34508145368698</v>
      </c>
      <c r="I28" s="265">
        <f>(C28*DATA!$D$5*DATA!$D$7)/1000000</f>
        <v>0.77276433270795708</v>
      </c>
      <c r="J28" s="263">
        <f t="shared" ca="1" si="1"/>
        <v>37.796028862639936</v>
      </c>
      <c r="K28" s="261"/>
      <c r="L28" s="263">
        <f>((D28*DATA!$D$23)/1000000)+((E28*DATA!$D$24)/1000000)</f>
        <v>45.768096</v>
      </c>
      <c r="M28" s="263">
        <f t="shared" si="2"/>
        <v>45.768096</v>
      </c>
      <c r="N28" s="263">
        <f t="shared" ca="1" si="6"/>
        <v>7.9720671373600638</v>
      </c>
      <c r="O28" s="262">
        <f>1/(1+'[93]Asumsi I'!$C$3)^(KKF!A28)</f>
        <v>9.2559611679185971E-2</v>
      </c>
      <c r="P28" s="263">
        <f t="shared" ca="1" si="7"/>
        <v>0.73789143851444727</v>
      </c>
      <c r="Q28" s="263">
        <f t="shared" ca="1" si="9"/>
        <v>-8.7984559935798927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31680</v>
      </c>
      <c r="D29" s="263">
        <f t="shared" si="5"/>
        <v>5280</v>
      </c>
      <c r="E29" s="263">
        <f t="shared" si="0"/>
        <v>26400</v>
      </c>
      <c r="F29" s="261"/>
      <c r="G29" s="265">
        <f ca="1">DATA!$D$11/1000000</f>
        <v>2.6781830762450003</v>
      </c>
      <c r="H29" s="265">
        <f>C29*DATA!$D$5/1000000</f>
        <v>34.34508145368698</v>
      </c>
      <c r="I29" s="265">
        <f>(C29*DATA!$D$5*DATA!$D$7)/1000000</f>
        <v>0.77276433270795708</v>
      </c>
      <c r="J29" s="263">
        <f t="shared" ca="1" si="1"/>
        <v>37.796028862639936</v>
      </c>
      <c r="K29" s="261"/>
      <c r="L29" s="263">
        <f>((D29*DATA!$D$23)/1000000)+((E29*DATA!$D$24)/1000000)</f>
        <v>45.768096</v>
      </c>
      <c r="M29" s="263">
        <f t="shared" si="2"/>
        <v>45.768096</v>
      </c>
      <c r="N29" s="263">
        <f t="shared" ca="1" si="6"/>
        <v>7.9720671373600638</v>
      </c>
      <c r="O29" s="262">
        <f>1/(1+'[93]Asumsi I'!$C$3)^(KKF!A29)</f>
        <v>8.2642510427844609E-2</v>
      </c>
      <c r="P29" s="263">
        <f t="shared" ca="1" si="7"/>
        <v>0.65883164153075635</v>
      </c>
      <c r="Q29" s="263">
        <f t="shared" ca="1" si="9"/>
        <v>-8.139624352049136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31680</v>
      </c>
      <c r="D30" s="263">
        <f t="shared" si="5"/>
        <v>5280</v>
      </c>
      <c r="E30" s="263">
        <f t="shared" si="0"/>
        <v>26400</v>
      </c>
      <c r="F30" s="261"/>
      <c r="G30" s="265">
        <f ca="1">DATA!$D$11/1000000</f>
        <v>2.6781830762450003</v>
      </c>
      <c r="H30" s="265">
        <f>C30*DATA!$D$5/1000000</f>
        <v>34.34508145368698</v>
      </c>
      <c r="I30" s="265">
        <f>(C30*DATA!$D$5*DATA!$D$7)/1000000</f>
        <v>0.77276433270795708</v>
      </c>
      <c r="J30" s="263">
        <f t="shared" ca="1" si="1"/>
        <v>37.796028862639936</v>
      </c>
      <c r="K30" s="261"/>
      <c r="L30" s="263">
        <f>((D30*DATA!$D$23)/1000000)+((E30*DATA!$D$24)/1000000)</f>
        <v>45.768096</v>
      </c>
      <c r="M30" s="263">
        <f t="shared" si="2"/>
        <v>45.768096</v>
      </c>
      <c r="N30" s="263">
        <f t="shared" ca="1" si="6"/>
        <v>7.9720671373600638</v>
      </c>
      <c r="O30" s="262">
        <f>1/(1+'[93]Asumsi I'!$C$3)^(KKF!A30)</f>
        <v>7.3787955739146982E-2</v>
      </c>
      <c r="P30" s="263">
        <f t="shared" ca="1" si="7"/>
        <v>0.58824253708103258</v>
      </c>
      <c r="Q30" s="263">
        <f t="shared" ca="1" si="9"/>
        <v>-7.5513818149681038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31680</v>
      </c>
      <c r="D31" s="263">
        <f t="shared" si="5"/>
        <v>5280</v>
      </c>
      <c r="E31" s="263">
        <f t="shared" si="0"/>
        <v>26400</v>
      </c>
      <c r="F31" s="261"/>
      <c r="G31" s="265">
        <f ca="1">DATA!$D$11/1000000</f>
        <v>2.6781830762450003</v>
      </c>
      <c r="H31" s="265">
        <f>C31*DATA!$D$5/1000000</f>
        <v>34.34508145368698</v>
      </c>
      <c r="I31" s="265">
        <f>(C31*DATA!$D$5*DATA!$D$7)/1000000</f>
        <v>0.77276433270795708</v>
      </c>
      <c r="J31" s="263">
        <f t="shared" ca="1" si="1"/>
        <v>37.796028862639936</v>
      </c>
      <c r="K31" s="261"/>
      <c r="L31" s="263">
        <f>((D31*DATA!$D$23)/1000000)+((E31*DATA!$D$24)/1000000)</f>
        <v>45.768096</v>
      </c>
      <c r="M31" s="263">
        <f t="shared" si="2"/>
        <v>45.768096</v>
      </c>
      <c r="N31" s="263">
        <f t="shared" ca="1" si="6"/>
        <v>7.9720671373600638</v>
      </c>
      <c r="O31" s="262">
        <f>1/(1+'[93]Asumsi I'!$C$3)^(KKF!A31)</f>
        <v>6.5882103338524081E-2</v>
      </c>
      <c r="P31" s="263">
        <f t="shared" ca="1" si="7"/>
        <v>0.52521655096520758</v>
      </c>
      <c r="Q31" s="263">
        <f ca="1">Q30+P31</f>
        <v>-7.0261652640028966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31680</v>
      </c>
      <c r="D32" s="263">
        <f t="shared" si="5"/>
        <v>5280</v>
      </c>
      <c r="E32" s="263">
        <f t="shared" si="0"/>
        <v>26400</v>
      </c>
      <c r="F32" s="261"/>
      <c r="G32" s="265">
        <f ca="1">DATA!$D$11/1000000</f>
        <v>2.6781830762450003</v>
      </c>
      <c r="H32" s="265">
        <f>C32*DATA!$D$5/1000000</f>
        <v>34.34508145368698</v>
      </c>
      <c r="I32" s="265">
        <f>(C32*DATA!$D$5*DATA!$D$7)/1000000</f>
        <v>0.77276433270795708</v>
      </c>
      <c r="J32" s="263">
        <f t="shared" ca="1" si="1"/>
        <v>37.796028862639936</v>
      </c>
      <c r="K32" s="261"/>
      <c r="L32" s="263">
        <f>((D32*DATA!$D$23)/1000000)+((E32*DATA!$D$24)/1000000)</f>
        <v>45.768096</v>
      </c>
      <c r="M32" s="263">
        <f t="shared" si="2"/>
        <v>45.768096</v>
      </c>
      <c r="N32" s="263">
        <f t="shared" ca="1" si="6"/>
        <v>7.9720671373600638</v>
      </c>
      <c r="O32" s="262">
        <f>1/(1+'[93]Asumsi I'!$C$3)^(KKF!A32)</f>
        <v>5.8823306552253637E-2</v>
      </c>
      <c r="P32" s="263">
        <f t="shared" ca="1" si="7"/>
        <v>0.46894334907607815</v>
      </c>
      <c r="Q32" s="263">
        <f ca="1">Q31+P32</f>
        <v>-6.5572219149268189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20" t="s">
        <v>1373</v>
      </c>
      <c r="G33" s="620"/>
      <c r="H33" s="620"/>
      <c r="I33" s="271"/>
      <c r="J33" s="272">
        <f ca="1">SUM(J7:J32)</f>
        <v>1093.1940070499581</v>
      </c>
      <c r="K33" s="620" t="s">
        <v>1374</v>
      </c>
      <c r="L33" s="620"/>
      <c r="M33" s="272">
        <f>SUM(M7:M32)</f>
        <v>1223.4124320000003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18.601610213366445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1.1191173973789368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-5.8546624240418099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0.10612839859919831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4" priority="1" stopIfTrue="1" operator="greaterThanOrEqual">
      <formula>$F$7</formula>
    </cfRule>
    <cfRule type="cellIs" dxfId="23" priority="2" stopIfTrue="1" operator="lessThan">
      <formula>$F$7</formula>
    </cfRule>
  </conditionalFormatting>
  <conditionalFormatting sqref="Q7:Q32">
    <cfRule type="cellIs" dxfId="22" priority="3" operator="lessThan">
      <formula>0</formula>
    </cfRule>
    <cfRule type="cellIs" dxfId="21" priority="4" operator="lessThan">
      <formula>0</formula>
    </cfRule>
    <cfRule type="cellIs" dxfId="20" priority="5" operator="lessThan">
      <formula>-6395.81</formula>
    </cfRule>
    <cfRule type="cellIs" dxfId="1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37"/>
  <sheetViews>
    <sheetView showGridLines="0" zoomScale="70" zoomScaleNormal="70" zoomScaleSheetLayoutView="70" workbookViewId="0">
      <pane ySplit="13" topLeftCell="A106" activePane="bottomLeft" state="frozen"/>
      <selection activeCell="H1093" sqref="H1093"/>
      <selection pane="bottomLeft" activeCell="C112" sqref="C112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4" t="s">
        <v>1036</v>
      </c>
      <c r="P3" s="644"/>
      <c r="Q3" s="293"/>
      <c r="T3" s="291"/>
      <c r="U3" s="292" t="s">
        <v>1041</v>
      </c>
      <c r="V3" s="291"/>
    </row>
    <row r="4" spans="1:22" ht="15.75" customHeight="1">
      <c r="B4" s="645" t="s">
        <v>1023</v>
      </c>
      <c r="C4" s="645"/>
      <c r="D4" s="645"/>
      <c r="E4" s="645"/>
      <c r="F4" s="645"/>
      <c r="G4" s="645"/>
      <c r="H4" s="645"/>
      <c r="I4" s="645"/>
      <c r="J4" s="645"/>
      <c r="K4" s="645"/>
      <c r="O4" s="644"/>
      <c r="P4" s="644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7" t="s">
        <v>1641</v>
      </c>
      <c r="H6" s="628"/>
      <c r="I6" s="628"/>
      <c r="J6" s="628"/>
      <c r="K6" s="628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7" t="s">
        <v>0</v>
      </c>
      <c r="C11" s="649" t="s">
        <v>1</v>
      </c>
      <c r="D11" s="638" t="s">
        <v>42</v>
      </c>
      <c r="E11" s="638" t="s">
        <v>43</v>
      </c>
      <c r="F11" s="638" t="s">
        <v>2</v>
      </c>
      <c r="G11" s="652" t="s">
        <v>41</v>
      </c>
      <c r="H11" s="638" t="s">
        <v>3</v>
      </c>
      <c r="I11" s="638"/>
      <c r="J11" s="638"/>
      <c r="K11" s="639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8"/>
      <c r="C12" s="650"/>
      <c r="D12" s="642"/>
      <c r="E12" s="642"/>
      <c r="F12" s="642"/>
      <c r="G12" s="653"/>
      <c r="H12" s="640" t="s">
        <v>46</v>
      </c>
      <c r="I12" s="640" t="s">
        <v>5</v>
      </c>
      <c r="J12" s="642" t="s">
        <v>47</v>
      </c>
      <c r="K12" s="643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8"/>
      <c r="C13" s="651"/>
      <c r="D13" s="642"/>
      <c r="E13" s="642"/>
      <c r="F13" s="642"/>
      <c r="G13" s="654"/>
      <c r="H13" s="641"/>
      <c r="I13" s="641"/>
      <c r="J13" s="642"/>
      <c r="K13" s="643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ca="1">IF(OR(D14="MDU",D14="MDU-KD"),(IF($O$3="RAB NON MDU","PLN KD",G14*F14)),0)</f>
        <v>0</v>
      </c>
      <c r="I14" s="308">
        <f ca="1">IF(D14="HDW",G14*F14,0)</f>
        <v>0</v>
      </c>
      <c r="J14" s="308">
        <f ca="1">IF(D14="JASA",G14*F14,0)</f>
        <v>0</v>
      </c>
      <c r="K14" s="309">
        <f ca="1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0">IF(OR(D15="MDU",D15="MDU-KD"),(IF($O$3="RAB NON MDU","PLN KD",G15*F15)),0)</f>
        <v>0</v>
      </c>
      <c r="I15" s="308">
        <f t="shared" ref="I15:I25" ca="1" si="1">IF(D15="HDW",G15*F15,0)</f>
        <v>0</v>
      </c>
      <c r="J15" s="308">
        <f t="shared" ref="J15:J25" ca="1" si="2">IF(D15="JASA",G15*F15,0)</f>
        <v>0</v>
      </c>
      <c r="K15" s="309">
        <f t="shared" ref="K15:K25" ca="1" si="3">SUM(H15:J15)</f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103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5800000</v>
      </c>
      <c r="H17" s="308">
        <f ca="1">IF(OR(D17="MDU",D17="MDU-KD"),(IF($O$3="RAB NON MDU","PLN KD",G17*F17)),0)</f>
        <v>0</v>
      </c>
      <c r="I17" s="308">
        <f ca="1">IF(D17="HDW",G17*F17,0)</f>
        <v>5800000</v>
      </c>
      <c r="J17" s="308">
        <f ca="1">IF(D17="JASA",G17*F17,0)</f>
        <v>0</v>
      </c>
      <c r="K17" s="309">
        <f ca="1">SUM(H17:J17)</f>
        <v>5800000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0"/>
        <v>0</v>
      </c>
      <c r="I18" s="308">
        <f t="shared" ca="1" si="1"/>
        <v>0</v>
      </c>
      <c r="J18" s="308">
        <f t="shared" ca="1" si="2"/>
        <v>10066.666666666668</v>
      </c>
      <c r="K18" s="309">
        <f t="shared" ca="1" si="3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ca="1">IF(AND(F19&gt;0,F18=0),"",IF(AND(ISBLANK(F19)=FALSE,K19=0),"WARNING",""))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728" t="s">
        <v>1035</v>
      </c>
      <c r="C20" s="729" t="s">
        <v>1643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1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728">
        <v>1</v>
      </c>
      <c r="C21" s="109" t="s">
        <v>1147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1">
        <f>F20*1</f>
        <v>1</v>
      </c>
      <c r="G21" s="307">
        <f ca="1">IF(ISERROR(OFFSET('HARGA SATUAN'!$I$6,MATCH(RAB!C21,'HARGA SATUAN'!$C$7:$C$1495,0),0)),0,OFFSET('HARGA SATUAN'!$I$6,MATCH(RAB!C21,'HARGA SATUAN'!$C$7:$C$1495,0),0))</f>
        <v>77674900</v>
      </c>
      <c r="H21" s="308">
        <f t="shared" ca="1" si="0"/>
        <v>77674900</v>
      </c>
      <c r="I21" s="308">
        <f t="shared" ca="1" si="1"/>
        <v>0</v>
      </c>
      <c r="J21" s="308">
        <f t="shared" ca="1" si="2"/>
        <v>0</v>
      </c>
      <c r="K21" s="309">
        <f t="shared" ca="1" si="3"/>
        <v>77674900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6">
        <v>2</v>
      </c>
      <c r="C22" s="517" t="s">
        <v>1628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3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0"/>
        <v>0</v>
      </c>
      <c r="I22" s="308">
        <f t="shared" ca="1" si="1"/>
        <v>0</v>
      </c>
      <c r="J22" s="308">
        <f t="shared" ca="1" si="2"/>
        <v>0</v>
      </c>
      <c r="K22" s="309">
        <f t="shared" ca="1" si="3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728"/>
      <c r="C23" s="517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1"/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0"/>
        <v>0</v>
      </c>
      <c r="I23" s="308">
        <f t="shared" ca="1" si="1"/>
        <v>0</v>
      </c>
      <c r="J23" s="308">
        <f t="shared" ca="1" si="2"/>
        <v>0</v>
      </c>
      <c r="K23" s="309">
        <f t="shared" ca="1" si="3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728"/>
      <c r="C24" s="517" t="s">
        <v>1629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1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0"/>
        <v>0</v>
      </c>
      <c r="I24" s="308">
        <f t="shared" ca="1" si="1"/>
        <v>0</v>
      </c>
      <c r="J24" s="308">
        <f t="shared" ca="1" si="2"/>
        <v>0</v>
      </c>
      <c r="K24" s="309">
        <f t="shared" ca="1" si="3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728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1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0"/>
        <v>2177700</v>
      </c>
      <c r="I25" s="308">
        <f t="shared" ca="1" si="1"/>
        <v>0</v>
      </c>
      <c r="J25" s="308">
        <f t="shared" ca="1" si="2"/>
        <v>0</v>
      </c>
      <c r="K25" s="309">
        <f t="shared" ca="1" si="3"/>
        <v>2177700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728">
        <v>4</v>
      </c>
      <c r="C26" s="729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1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ref="H26:H71" ca="1" si="4">IF(OR(D26="MDU",D26="MDU-KD"),(IF($O$3="RAB NON MDU","PLN KD",G26*F26)),0)</f>
        <v>2544750</v>
      </c>
      <c r="I26" s="308">
        <f t="shared" ref="I26:I71" ca="1" si="5">IF(D26="HDW",G26*F26,0)</f>
        <v>0</v>
      </c>
      <c r="J26" s="308">
        <f t="shared" ref="J26:J71" ca="1" si="6">IF(D26="JASA",G26*F26,0)</f>
        <v>0</v>
      </c>
      <c r="K26" s="309">
        <f t="shared" ref="K26:K71" ca="1" si="7">SUM(H26:J26)</f>
        <v>2544750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728">
        <v>5</v>
      </c>
      <c r="C27" s="729" t="s">
        <v>55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1">
        <f>F20*3</f>
        <v>3</v>
      </c>
      <c r="G27" s="307">
        <f ca="1">IF(ISERROR(OFFSET('HARGA SATUAN'!$I$6,MATCH(RAB!C27,'HARGA SATUAN'!$C$7:$C$1495,0),0)),0,OFFSET('HARGA SATUAN'!$I$6,MATCH(RAB!C27,'HARGA SATUAN'!$C$7:$C$1495,0),0))</f>
        <v>18000</v>
      </c>
      <c r="H27" s="308">
        <f t="shared" ca="1" si="4"/>
        <v>0</v>
      </c>
      <c r="I27" s="308">
        <f t="shared" ca="1" si="5"/>
        <v>54000</v>
      </c>
      <c r="J27" s="308">
        <f t="shared" ca="1" si="6"/>
        <v>0</v>
      </c>
      <c r="K27" s="309">
        <f t="shared" ca="1" si="7"/>
        <v>54000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728">
        <v>6</v>
      </c>
      <c r="C28" s="729" t="s">
        <v>1615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1"/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4"/>
        <v>0</v>
      </c>
      <c r="I28" s="308">
        <f t="shared" ca="1" si="5"/>
        <v>0</v>
      </c>
      <c r="J28" s="308">
        <f t="shared" ca="1" si="6"/>
        <v>0</v>
      </c>
      <c r="K28" s="309">
        <f t="shared" ca="1" si="7"/>
        <v>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728">
        <v>7</v>
      </c>
      <c r="C29" s="729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1"/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4"/>
        <v>0</v>
      </c>
      <c r="I29" s="308">
        <f t="shared" ca="1" si="5"/>
        <v>0</v>
      </c>
      <c r="J29" s="308">
        <f t="shared" ca="1" si="6"/>
        <v>0</v>
      </c>
      <c r="K29" s="309">
        <f t="shared" ca="1" si="7"/>
        <v>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728">
        <v>8</v>
      </c>
      <c r="C30" s="729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1"/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4"/>
        <v>0</v>
      </c>
      <c r="I30" s="308">
        <f t="shared" ca="1" si="5"/>
        <v>0</v>
      </c>
      <c r="J30" s="308">
        <f t="shared" ca="1" si="6"/>
        <v>0</v>
      </c>
      <c r="K30" s="309">
        <f t="shared" ca="1" si="7"/>
        <v>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728">
        <v>9</v>
      </c>
      <c r="C31" s="729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1"/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4"/>
        <v>0</v>
      </c>
      <c r="I31" s="308">
        <f t="shared" ca="1" si="5"/>
        <v>0</v>
      </c>
      <c r="J31" s="308">
        <f t="shared" ca="1" si="6"/>
        <v>0</v>
      </c>
      <c r="K31" s="309">
        <f t="shared" ca="1" si="7"/>
        <v>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728">
        <v>10</v>
      </c>
      <c r="C32" s="729" t="s">
        <v>593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1"/>
      <c r="G32" s="307">
        <f ca="1">IF(ISERROR(OFFSET('HARGA SATUAN'!$I$6,MATCH(RAB!C32,'HARGA SATUAN'!$C$7:$C$1495,0),0)),0,OFFSET('HARGA SATUAN'!$I$6,MATCH(RAB!C32,'HARGA SATUAN'!$C$7:$C$1495,0),0))</f>
        <v>380500</v>
      </c>
      <c r="H32" s="308">
        <f t="shared" ca="1" si="4"/>
        <v>0</v>
      </c>
      <c r="I32" s="308">
        <f t="shared" ca="1" si="5"/>
        <v>0</v>
      </c>
      <c r="J32" s="308">
        <f t="shared" ca="1" si="6"/>
        <v>0</v>
      </c>
      <c r="K32" s="309">
        <f t="shared" ca="1" si="7"/>
        <v>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728">
        <v>11</v>
      </c>
      <c r="C33" s="729" t="s">
        <v>594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1"/>
      <c r="G33" s="307">
        <f ca="1">IF(ISERROR(OFFSET('HARGA SATUAN'!$I$6,MATCH(RAB!C33,'HARGA SATUAN'!$C$7:$C$1495,0),0)),0,OFFSET('HARGA SATUAN'!$I$6,MATCH(RAB!C33,'HARGA SATUAN'!$C$7:$C$1495,0),0))</f>
        <v>559200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728">
        <v>12</v>
      </c>
      <c r="C34" s="729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1"/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728">
        <v>13</v>
      </c>
      <c r="C35" s="729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1"/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4"/>
        <v>0</v>
      </c>
      <c r="I35" s="308">
        <f t="shared" ca="1" si="5"/>
        <v>0</v>
      </c>
      <c r="J35" s="308">
        <f t="shared" ca="1" si="6"/>
        <v>0</v>
      </c>
      <c r="K35" s="309">
        <f t="shared" ca="1" si="7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728">
        <v>14</v>
      </c>
      <c r="C36" s="729" t="s">
        <v>248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1"/>
      <c r="G36" s="307">
        <f ca="1">IF(ISERROR(OFFSET('HARGA SATUAN'!$I$6,MATCH(RAB!C36,'HARGA SATUAN'!$C$7:$C$1495,0),0)),0,OFFSET('HARGA SATUAN'!$I$6,MATCH(RAB!C36,'HARGA SATUAN'!$C$7:$C$1495,0),0))</f>
        <v>60300</v>
      </c>
      <c r="H36" s="308">
        <f t="shared" ca="1" si="4"/>
        <v>0</v>
      </c>
      <c r="I36" s="308">
        <f t="shared" ca="1" si="5"/>
        <v>0</v>
      </c>
      <c r="J36" s="308">
        <f t="shared" ca="1" si="6"/>
        <v>0</v>
      </c>
      <c r="K36" s="309">
        <f t="shared" ca="1" si="7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728">
        <v>15</v>
      </c>
      <c r="C37" s="729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1"/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4"/>
        <v>0</v>
      </c>
      <c r="I37" s="308">
        <f t="shared" ca="1" si="5"/>
        <v>0</v>
      </c>
      <c r="J37" s="308">
        <f t="shared" ca="1" si="6"/>
        <v>0</v>
      </c>
      <c r="K37" s="309">
        <f t="shared" ca="1" si="7"/>
        <v>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728">
        <v>16</v>
      </c>
      <c r="C38" s="729" t="s">
        <v>787</v>
      </c>
      <c r="D38" s="305" t="str">
        <f ca="1">IF(ISERROR(OFFSET('HARGA SATUAN'!$D$6,MATCH(RAB!C38,'HARGA SATUAN'!$C$7:$C$1495,0),0)),"",OFFSET('HARGA SATUAN'!$D$6,MATCH(RAB!C38,'HARGA SATUAN'!$C$7:$C$1495,0),0))</f>
        <v>JASA</v>
      </c>
      <c r="E38" s="306" t="str">
        <f ca="1">IF(B38="+","Unit",IF(ISERROR(OFFSET('HARGA SATUAN'!$E$6,MATCH(RAB!C38,'HARGA SATUAN'!$C$7:$C$1495,0),0)),"",OFFSET('HARGA SATUAN'!$E$6,MATCH(RAB!C38,'HARGA SATUAN'!$C$7:$C$1495,0),0)))</f>
        <v>Unit</v>
      </c>
      <c r="F38" s="451">
        <f>F20*1</f>
        <v>1</v>
      </c>
      <c r="G38" s="307">
        <f ca="1">IF(ISERROR(OFFSET('HARGA SATUAN'!$I$6,MATCH(RAB!C38,'HARGA SATUAN'!$C$7:$C$1495,0),0)),0,OFFSET('HARGA SATUAN'!$I$6,MATCH(RAB!C38,'HARGA SATUAN'!$C$7:$C$1495,0),0))</f>
        <v>3784400</v>
      </c>
      <c r="H38" s="308">
        <f t="shared" ca="1" si="4"/>
        <v>0</v>
      </c>
      <c r="I38" s="308">
        <f t="shared" ca="1" si="5"/>
        <v>0</v>
      </c>
      <c r="J38" s="308">
        <f t="shared" ca="1" si="6"/>
        <v>3784400</v>
      </c>
      <c r="K38" s="309">
        <f t="shared" ca="1" si="7"/>
        <v>3784400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21"/>
      <c r="C39" s="522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1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ref="H39" ca="1" si="8">IF(OR(D39="MDU",D39="MDU-KD"),(IF($O$3="RAB NON MDU","PLN KD",G39*F39)),0)</f>
        <v>0</v>
      </c>
      <c r="I39" s="308">
        <f t="shared" ref="I39" ca="1" si="9">IF(D39="HDW",G39*F39,0)</f>
        <v>0</v>
      </c>
      <c r="J39" s="308">
        <f t="shared" ref="J39" ca="1" si="10">IF(D39="JASA",G39*F39,0)</f>
        <v>0</v>
      </c>
      <c r="K39" s="309">
        <f t="shared" ref="K39" ca="1" si="11">SUM(H39:J39)</f>
        <v>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728" t="s">
        <v>1035</v>
      </c>
      <c r="C40" s="729" t="s">
        <v>1637</v>
      </c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51">
        <v>2</v>
      </c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4"/>
        <v>0</v>
      </c>
      <c r="I40" s="308">
        <f t="shared" ca="1" si="5"/>
        <v>0</v>
      </c>
      <c r="J40" s="308">
        <f t="shared" ca="1" si="6"/>
        <v>0</v>
      </c>
      <c r="K40" s="309">
        <f t="shared" ca="1" si="7"/>
        <v>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28">
        <v>1</v>
      </c>
      <c r="C41" s="729" t="s">
        <v>595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1">
        <f>F40*1</f>
        <v>2</v>
      </c>
      <c r="G41" s="307">
        <f ca="1">IF(ISERROR(OFFSET('HARGA SATUAN'!$I$6,MATCH(RAB!C41,'HARGA SATUAN'!$C$7:$C$1495,0),0)),0,OFFSET('HARGA SATUAN'!$I$6,MATCH(RAB!C41,'HARGA SATUAN'!$C$7:$C$1495,0),0))</f>
        <v>78500</v>
      </c>
      <c r="H41" s="308">
        <f t="shared" ca="1" si="4"/>
        <v>0</v>
      </c>
      <c r="I41" s="308">
        <f t="shared" ca="1" si="5"/>
        <v>157000</v>
      </c>
      <c r="J41" s="308">
        <f t="shared" ca="1" si="6"/>
        <v>0</v>
      </c>
      <c r="K41" s="309">
        <f t="shared" ca="1" si="7"/>
        <v>157000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28">
        <v>2</v>
      </c>
      <c r="C42" s="729" t="s">
        <v>229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1">
        <f>F40*1</f>
        <v>2</v>
      </c>
      <c r="G42" s="307">
        <f ca="1">IF(ISERROR(OFFSET('HARGA SATUAN'!$I$6,MATCH(RAB!C42,'HARGA SATUAN'!$C$7:$C$1495,0),0)),0,OFFSET('HARGA SATUAN'!$I$6,MATCH(RAB!C42,'HARGA SATUAN'!$C$7:$C$1495,0),0))</f>
        <v>4212</v>
      </c>
      <c r="H42" s="308">
        <f t="shared" ca="1" si="4"/>
        <v>0</v>
      </c>
      <c r="I42" s="308">
        <f t="shared" ca="1" si="5"/>
        <v>8424</v>
      </c>
      <c r="J42" s="308">
        <f t="shared" ca="1" si="6"/>
        <v>0</v>
      </c>
      <c r="K42" s="309">
        <f t="shared" ca="1" si="7"/>
        <v>8424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28">
        <v>3</v>
      </c>
      <c r="C43" s="729" t="s">
        <v>266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Mtr</v>
      </c>
      <c r="F43" s="451">
        <f>F40*1</f>
        <v>2</v>
      </c>
      <c r="G43" s="307">
        <f ca="1">IF(ISERROR(OFFSET('HARGA SATUAN'!$I$6,MATCH(RAB!C43,'HARGA SATUAN'!$C$7:$C$1495,0),0)),0,OFFSET('HARGA SATUAN'!$I$6,MATCH(RAB!C43,'HARGA SATUAN'!$C$7:$C$1495,0),0))</f>
        <v>23310</v>
      </c>
      <c r="H43" s="308">
        <f t="shared" ca="1" si="4"/>
        <v>0</v>
      </c>
      <c r="I43" s="308">
        <f t="shared" ca="1" si="5"/>
        <v>46620</v>
      </c>
      <c r="J43" s="308">
        <f t="shared" ca="1" si="6"/>
        <v>0</v>
      </c>
      <c r="K43" s="309">
        <f t="shared" ca="1" si="7"/>
        <v>46620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28">
        <v>4</v>
      </c>
      <c r="C44" s="729" t="s">
        <v>35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51">
        <f>F40*1</f>
        <v>2</v>
      </c>
      <c r="G44" s="307">
        <f ca="1">IF(ISERROR(OFFSET('HARGA SATUAN'!$I$6,MATCH(RAB!C44,'HARGA SATUAN'!$C$7:$C$1495,0),0)),0,OFFSET('HARGA SATUAN'!$I$6,MATCH(RAB!C44,'HARGA SATUAN'!$C$7:$C$1495,0),0))</f>
        <v>2300</v>
      </c>
      <c r="H44" s="308">
        <f t="shared" ca="1" si="4"/>
        <v>0</v>
      </c>
      <c r="I44" s="308">
        <f t="shared" ca="1" si="5"/>
        <v>4600</v>
      </c>
      <c r="J44" s="308">
        <f t="shared" ca="1" si="6"/>
        <v>0</v>
      </c>
      <c r="K44" s="309">
        <f t="shared" ca="1" si="7"/>
        <v>4600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28">
        <v>5</v>
      </c>
      <c r="C45" s="729" t="s">
        <v>630</v>
      </c>
      <c r="D45" s="305" t="str">
        <f ca="1">IF(ISERROR(OFFSET('HARGA SATUAN'!$D$6,MATCH(RAB!C45,'HARGA SATUAN'!$C$7:$C$1495,0),0)),"",OFFSET('HARGA SATUAN'!$D$6,MATCH(RAB!C45,'HARGA SATUAN'!$C$7:$C$1495,0),0))</f>
        <v>JASA</v>
      </c>
      <c r="E45" s="306" t="str">
        <f ca="1">IF(B45="+","Unit",IF(ISERROR(OFFSET('HARGA SATUAN'!$E$6,MATCH(RAB!C45,'HARGA SATUAN'!$C$7:$C$1495,0),0)),"",OFFSET('HARGA SATUAN'!$E$6,MATCH(RAB!C45,'HARGA SATUAN'!$C$7:$C$1495,0),0)))</f>
        <v>Unit</v>
      </c>
      <c r="F45" s="451">
        <f>F40*1</f>
        <v>2</v>
      </c>
      <c r="G45" s="307">
        <f ca="1">IF(ISERROR(OFFSET('HARGA SATUAN'!$I$6,MATCH(RAB!C45,'HARGA SATUAN'!$C$7:$C$1495,0),0)),0,OFFSET('HARGA SATUAN'!$I$6,MATCH(RAB!C45,'HARGA SATUAN'!$C$7:$C$1495,0),0))</f>
        <v>35700</v>
      </c>
      <c r="H45" s="308">
        <f t="shared" ca="1" si="4"/>
        <v>0</v>
      </c>
      <c r="I45" s="308">
        <f t="shared" ca="1" si="5"/>
        <v>0</v>
      </c>
      <c r="J45" s="308">
        <f t="shared" ca="1" si="6"/>
        <v>71400</v>
      </c>
      <c r="K45" s="309">
        <f t="shared" ca="1" si="7"/>
        <v>71400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14"/>
      <c r="C46" s="515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1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4"/>
        <v>0</v>
      </c>
      <c r="I46" s="308">
        <f t="shared" ca="1" si="5"/>
        <v>0</v>
      </c>
      <c r="J46" s="308">
        <f t="shared" ca="1" si="6"/>
        <v>0</v>
      </c>
      <c r="K46" s="309">
        <f t="shared" ca="1" si="7"/>
        <v>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728" t="s">
        <v>1035</v>
      </c>
      <c r="C47" s="729" t="s">
        <v>1639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>Unit</v>
      </c>
      <c r="F47" s="451">
        <v>1</v>
      </c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4"/>
        <v>0</v>
      </c>
      <c r="I47" s="308">
        <f t="shared" ca="1" si="5"/>
        <v>0</v>
      </c>
      <c r="J47" s="308">
        <f t="shared" ca="1" si="6"/>
        <v>0</v>
      </c>
      <c r="K47" s="309">
        <f t="shared" ca="1" si="7"/>
        <v>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8">
        <v>1</v>
      </c>
      <c r="C48" s="729" t="s">
        <v>30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51">
        <f>F47*1</f>
        <v>1</v>
      </c>
      <c r="G48" s="307">
        <f ca="1">IF(ISERROR(OFFSET('HARGA SATUAN'!$I$6,MATCH(RAB!C48,'HARGA SATUAN'!$C$7:$C$1495,0),0)),0,OFFSET('HARGA SATUAN'!$I$6,MATCH(RAB!C48,'HARGA SATUAN'!$C$7:$C$1495,0),0))</f>
        <v>47459</v>
      </c>
      <c r="H48" s="308">
        <f t="shared" ca="1" si="4"/>
        <v>0</v>
      </c>
      <c r="I48" s="308">
        <f t="shared" ca="1" si="5"/>
        <v>47459</v>
      </c>
      <c r="J48" s="308">
        <f t="shared" ca="1" si="6"/>
        <v>0</v>
      </c>
      <c r="K48" s="309">
        <f t="shared" ca="1" si="7"/>
        <v>47459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8">
        <v>2</v>
      </c>
      <c r="C49" s="729" t="s">
        <v>32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Mtr</v>
      </c>
      <c r="F49" s="451">
        <f>F47*1</f>
        <v>1</v>
      </c>
      <c r="G49" s="307">
        <f ca="1">IF(ISERROR(OFFSET('HARGA SATUAN'!$I$6,MATCH(RAB!C49,'HARGA SATUAN'!$C$7:$C$1495,0),0)),0,OFFSET('HARGA SATUAN'!$I$6,MATCH(RAB!C49,'HARGA SATUAN'!$C$7:$C$1495,0),0))</f>
        <v>30000</v>
      </c>
      <c r="H49" s="308">
        <f t="shared" ca="1" si="4"/>
        <v>0</v>
      </c>
      <c r="I49" s="308">
        <f t="shared" ca="1" si="5"/>
        <v>30000</v>
      </c>
      <c r="J49" s="308">
        <f t="shared" ca="1" si="6"/>
        <v>0</v>
      </c>
      <c r="K49" s="309">
        <f t="shared" ca="1" si="7"/>
        <v>30000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8">
        <v>3</v>
      </c>
      <c r="C50" s="729" t="s">
        <v>33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Bh</v>
      </c>
      <c r="F50" s="451">
        <f>F47*1</f>
        <v>1</v>
      </c>
      <c r="G50" s="307">
        <f ca="1">IF(ISERROR(OFFSET('HARGA SATUAN'!$I$6,MATCH(RAB!C50,'HARGA SATUAN'!$C$7:$C$1495,0),0)),0,OFFSET('HARGA SATUAN'!$I$6,MATCH(RAB!C50,'HARGA SATUAN'!$C$7:$C$1495,0),0))</f>
        <v>9500</v>
      </c>
      <c r="H50" s="308">
        <f t="shared" ca="1" si="4"/>
        <v>0</v>
      </c>
      <c r="I50" s="308">
        <f t="shared" ca="1" si="5"/>
        <v>9500</v>
      </c>
      <c r="J50" s="308">
        <f t="shared" ca="1" si="6"/>
        <v>0</v>
      </c>
      <c r="K50" s="309">
        <f t="shared" ca="1" si="7"/>
        <v>9500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28">
        <v>4</v>
      </c>
      <c r="C51" s="729" t="s">
        <v>738</v>
      </c>
      <c r="D51" s="305" t="str">
        <f ca="1">IF(ISERROR(OFFSET('HARGA SATUAN'!$D$6,MATCH(RAB!C51,'HARGA SATUAN'!$C$7:$C$1495,0),0)),"",OFFSET('HARGA SATUAN'!$D$6,MATCH(RAB!C51,'HARGA SATUAN'!$C$7:$C$1495,0),0))</f>
        <v>JASA</v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451">
        <f>F47*1</f>
        <v>1</v>
      </c>
      <c r="G51" s="307">
        <f ca="1">IF(ISERROR(OFFSET('HARGA SATUAN'!$I$6,MATCH(RAB!C51,'HARGA SATUAN'!$C$7:$C$1495,0),0)),0,OFFSET('HARGA SATUAN'!$I$6,MATCH(RAB!C51,'HARGA SATUAN'!$C$7:$C$1495,0),0))</f>
        <v>21200</v>
      </c>
      <c r="H51" s="308">
        <f t="shared" ca="1" si="4"/>
        <v>0</v>
      </c>
      <c r="I51" s="308">
        <f t="shared" ca="1" si="5"/>
        <v>0</v>
      </c>
      <c r="J51" s="308">
        <f t="shared" ca="1" si="6"/>
        <v>21200</v>
      </c>
      <c r="K51" s="309">
        <f t="shared" ca="1" si="7"/>
        <v>21200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14"/>
      <c r="C52" s="52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1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4"/>
        <v>0</v>
      </c>
      <c r="I52" s="308">
        <f t="shared" ca="1" si="5"/>
        <v>0</v>
      </c>
      <c r="J52" s="308">
        <f t="shared" ca="1" si="6"/>
        <v>0</v>
      </c>
      <c r="K52" s="309">
        <f t="shared" ca="1" si="7"/>
        <v>0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21" t="s">
        <v>1035</v>
      </c>
      <c r="C53" s="522" t="s">
        <v>1631</v>
      </c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1">
        <v>1</v>
      </c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4"/>
        <v>0</v>
      </c>
      <c r="I53" s="308">
        <f t="shared" ca="1" si="5"/>
        <v>0</v>
      </c>
      <c r="J53" s="308">
        <f t="shared" ca="1" si="6"/>
        <v>0</v>
      </c>
      <c r="K53" s="309">
        <f t="shared" ca="1" si="7"/>
        <v>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21">
        <v>1</v>
      </c>
      <c r="C54" s="522" t="s">
        <v>28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51">
        <f>F53*1</f>
        <v>1</v>
      </c>
      <c r="G54" s="307">
        <f ca="1">IF(ISERROR(OFFSET('HARGA SATUAN'!$I$6,MATCH(RAB!C54,'HARGA SATUAN'!$C$7:$C$1495,0),0)),0,OFFSET('HARGA SATUAN'!$I$6,MATCH(RAB!C54,'HARGA SATUAN'!$C$7:$C$1495,0),0))</f>
        <v>26500</v>
      </c>
      <c r="H54" s="308">
        <f t="shared" ca="1" si="4"/>
        <v>0</v>
      </c>
      <c r="I54" s="308">
        <f t="shared" ca="1" si="5"/>
        <v>26500</v>
      </c>
      <c r="J54" s="308">
        <f t="shared" ca="1" si="6"/>
        <v>0</v>
      </c>
      <c r="K54" s="309">
        <f t="shared" ca="1" si="7"/>
        <v>26500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21">
        <v>2</v>
      </c>
      <c r="C55" s="522" t="s">
        <v>203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1">
        <f>F53*1</f>
        <v>1</v>
      </c>
      <c r="G55" s="307">
        <f ca="1">IF(ISERROR(OFFSET('HARGA SATUAN'!$I$6,MATCH(RAB!C55,'HARGA SATUAN'!$C$7:$C$1495,0),0)),0,OFFSET('HARGA SATUAN'!$I$6,MATCH(RAB!C55,'HARGA SATUAN'!$C$7:$C$1495,0),0))</f>
        <v>12500</v>
      </c>
      <c r="H55" s="308">
        <f t="shared" ca="1" si="4"/>
        <v>0</v>
      </c>
      <c r="I55" s="308">
        <f t="shared" ca="1" si="5"/>
        <v>12500</v>
      </c>
      <c r="J55" s="308">
        <f t="shared" ca="1" si="6"/>
        <v>0</v>
      </c>
      <c r="K55" s="309">
        <f t="shared" ca="1" si="7"/>
        <v>12500</v>
      </c>
      <c r="L55" s="289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21">
        <v>3</v>
      </c>
      <c r="C56" s="522" t="s">
        <v>206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Mtr</v>
      </c>
      <c r="F56" s="451">
        <f>F53*12</f>
        <v>12</v>
      </c>
      <c r="G56" s="307">
        <f ca="1">IF(ISERROR(OFFSET('HARGA SATUAN'!$I$6,MATCH(RAB!C56,'HARGA SATUAN'!$C$7:$C$1495,0),0)),0,OFFSET('HARGA SATUAN'!$I$6,MATCH(RAB!C56,'HARGA SATUAN'!$C$7:$C$1495,0),0))</f>
        <v>39204</v>
      </c>
      <c r="H56" s="308">
        <f t="shared" ca="1" si="4"/>
        <v>0</v>
      </c>
      <c r="I56" s="308">
        <f t="shared" ca="1" si="5"/>
        <v>470448</v>
      </c>
      <c r="J56" s="308">
        <f t="shared" ca="1" si="6"/>
        <v>0</v>
      </c>
      <c r="K56" s="309">
        <f t="shared" ca="1" si="7"/>
        <v>470448</v>
      </c>
      <c r="L56" s="289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21">
        <v>4</v>
      </c>
      <c r="C57" s="522" t="s">
        <v>287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51">
        <f>F53*2</f>
        <v>2</v>
      </c>
      <c r="G57" s="307">
        <f ca="1">IF(ISERROR(OFFSET('HARGA SATUAN'!$I$6,MATCH(RAB!C57,'HARGA SATUAN'!$C$7:$C$1495,0),0)),0,OFFSET('HARGA SATUAN'!$I$6,MATCH(RAB!C57,'HARGA SATUAN'!$C$7:$C$1495,0),0))</f>
        <v>40000</v>
      </c>
      <c r="H57" s="308">
        <f t="shared" ca="1" si="4"/>
        <v>0</v>
      </c>
      <c r="I57" s="308">
        <f t="shared" ca="1" si="5"/>
        <v>80000</v>
      </c>
      <c r="J57" s="308">
        <f t="shared" ca="1" si="6"/>
        <v>0</v>
      </c>
      <c r="K57" s="309">
        <f t="shared" ca="1" si="7"/>
        <v>80000</v>
      </c>
      <c r="L57" s="289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21">
        <v>5</v>
      </c>
      <c r="C58" s="522" t="s">
        <v>26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1">
        <f>F53*1</f>
        <v>1</v>
      </c>
      <c r="G58" s="307">
        <f ca="1">IF(ISERROR(OFFSET('HARGA SATUAN'!$I$6,MATCH(RAB!C58,'HARGA SATUAN'!$C$7:$C$1495,0),0)),0,OFFSET('HARGA SATUAN'!$I$6,MATCH(RAB!C58,'HARGA SATUAN'!$C$7:$C$1495,0),0))</f>
        <v>2500</v>
      </c>
      <c r="H58" s="308">
        <f t="shared" ca="1" si="4"/>
        <v>0</v>
      </c>
      <c r="I58" s="308">
        <f t="shared" ca="1" si="5"/>
        <v>2500</v>
      </c>
      <c r="J58" s="308">
        <f t="shared" ca="1" si="6"/>
        <v>0</v>
      </c>
      <c r="K58" s="309">
        <f t="shared" ca="1" si="7"/>
        <v>2500</v>
      </c>
      <c r="L58" s="289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21">
        <v>6</v>
      </c>
      <c r="C59" s="522" t="s">
        <v>760</v>
      </c>
      <c r="D59" s="305" t="str">
        <f ca="1">IF(ISERROR(OFFSET('HARGA SATUAN'!$D$6,MATCH(RAB!C59,'HARGA SATUAN'!$C$7:$C$1495,0),0)),"",OFFSET('HARGA SATUAN'!$D$6,MATCH(RAB!C59,'HARGA SATUAN'!$C$7:$C$1495,0),0))</f>
        <v>JASA</v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51">
        <f>F53*1</f>
        <v>1</v>
      </c>
      <c r="G59" s="307">
        <f ca="1">IF(ISERROR(OFFSET('HARGA SATUAN'!$I$6,MATCH(RAB!C59,'HARGA SATUAN'!$C$7:$C$1495,0),0)),0,OFFSET('HARGA SATUAN'!$I$6,MATCH(RAB!C59,'HARGA SATUAN'!$C$7:$C$1495,0),0))</f>
        <v>36600</v>
      </c>
      <c r="H59" s="308">
        <f t="shared" ca="1" si="4"/>
        <v>0</v>
      </c>
      <c r="I59" s="308">
        <f t="shared" ca="1" si="5"/>
        <v>0</v>
      </c>
      <c r="J59" s="308">
        <f t="shared" ca="1" si="6"/>
        <v>36600</v>
      </c>
      <c r="K59" s="309">
        <f t="shared" ca="1" si="7"/>
        <v>36600</v>
      </c>
      <c r="L59" s="289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14"/>
      <c r="C60" s="520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1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4"/>
        <v>0</v>
      </c>
      <c r="I60" s="308">
        <f t="shared" ca="1" si="5"/>
        <v>0</v>
      </c>
      <c r="J60" s="308">
        <f t="shared" ca="1" si="6"/>
        <v>0</v>
      </c>
      <c r="K60" s="309">
        <f t="shared" ca="1" si="7"/>
        <v>0</v>
      </c>
      <c r="L60" s="289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21" t="s">
        <v>1035</v>
      </c>
      <c r="C61" s="522" t="s">
        <v>1632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51">
        <v>1</v>
      </c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4"/>
        <v>0</v>
      </c>
      <c r="I61" s="308">
        <f t="shared" ca="1" si="5"/>
        <v>0</v>
      </c>
      <c r="J61" s="308">
        <f t="shared" ca="1" si="6"/>
        <v>0</v>
      </c>
      <c r="K61" s="309">
        <f t="shared" ca="1" si="7"/>
        <v>0</v>
      </c>
      <c r="L61" s="289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24">
        <v>1</v>
      </c>
      <c r="C62" s="525" t="s">
        <v>597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1">
        <f>F61*1</f>
        <v>1</v>
      </c>
      <c r="G62" s="307">
        <f ca="1">IF(ISERROR(OFFSET('HARGA SATUAN'!$I$6,MATCH(RAB!C62,'HARGA SATUAN'!$C$7:$C$1495,0),0)),0,OFFSET('HARGA SATUAN'!$I$6,MATCH(RAB!C62,'HARGA SATUAN'!$C$7:$C$1495,0),0))</f>
        <v>120900</v>
      </c>
      <c r="H62" s="308">
        <f t="shared" ca="1" si="4"/>
        <v>0</v>
      </c>
      <c r="I62" s="308">
        <f t="shared" ca="1" si="5"/>
        <v>120900</v>
      </c>
      <c r="J62" s="308">
        <f t="shared" ca="1" si="6"/>
        <v>0</v>
      </c>
      <c r="K62" s="309">
        <f t="shared" ca="1" si="7"/>
        <v>120900</v>
      </c>
      <c r="L62" s="289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16">
        <v>2</v>
      </c>
      <c r="C63" s="518" t="s">
        <v>261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51">
        <f>F61*1</f>
        <v>1</v>
      </c>
      <c r="G63" s="307">
        <f ca="1">IF(ISERROR(OFFSET('HARGA SATUAN'!$I$6,MATCH(RAB!C63,'HARGA SATUAN'!$C$7:$C$1495,0),0)),0,OFFSET('HARGA SATUAN'!$I$6,MATCH(RAB!C63,'HARGA SATUAN'!$C$7:$C$1495,0),0))</f>
        <v>135800</v>
      </c>
      <c r="H63" s="308">
        <f t="shared" ca="1" si="4"/>
        <v>0</v>
      </c>
      <c r="I63" s="308">
        <f t="shared" ca="1" si="5"/>
        <v>135800</v>
      </c>
      <c r="J63" s="308">
        <f t="shared" ca="1" si="6"/>
        <v>0</v>
      </c>
      <c r="K63" s="309">
        <f t="shared" ca="1" si="7"/>
        <v>135800</v>
      </c>
      <c r="L63" s="289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16">
        <v>3</v>
      </c>
      <c r="C64" s="519" t="s">
        <v>214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523">
        <f>F61*1</f>
        <v>1</v>
      </c>
      <c r="G64" s="307">
        <f ca="1">IF(ISERROR(OFFSET('HARGA SATUAN'!$I$6,MATCH(RAB!C64,'HARGA SATUAN'!$C$7:$C$1495,0),0)),0,OFFSET('HARGA SATUAN'!$I$6,MATCH(RAB!C64,'HARGA SATUAN'!$C$7:$C$1495,0),0))</f>
        <v>4500</v>
      </c>
      <c r="H64" s="308">
        <f t="shared" ca="1" si="4"/>
        <v>0</v>
      </c>
      <c r="I64" s="308">
        <f t="shared" ca="1" si="5"/>
        <v>4500</v>
      </c>
      <c r="J64" s="308">
        <f t="shared" ca="1" si="6"/>
        <v>0</v>
      </c>
      <c r="K64" s="309">
        <f t="shared" ca="1" si="7"/>
        <v>4500</v>
      </c>
      <c r="L64" s="289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21">
        <v>4</v>
      </c>
      <c r="C65" s="522" t="s">
        <v>768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51">
        <f>F61*1</f>
        <v>1</v>
      </c>
      <c r="G65" s="307">
        <f ca="1">IF(ISERROR(OFFSET('HARGA SATUAN'!$I$6,MATCH(RAB!C65,'HARGA SATUAN'!$C$7:$C$1495,0),0)),0,OFFSET('HARGA SATUAN'!$I$6,MATCH(RAB!C65,'HARGA SATUAN'!$C$7:$C$1495,0),0))</f>
        <v>55500</v>
      </c>
      <c r="H65" s="308">
        <f t="shared" ca="1" si="4"/>
        <v>0</v>
      </c>
      <c r="I65" s="308">
        <f t="shared" ca="1" si="5"/>
        <v>0</v>
      </c>
      <c r="J65" s="308">
        <f t="shared" ca="1" si="6"/>
        <v>55500</v>
      </c>
      <c r="K65" s="309">
        <f t="shared" ca="1" si="7"/>
        <v>55500</v>
      </c>
      <c r="L65" s="289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12"/>
      <c r="C66" s="513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1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4"/>
        <v>0</v>
      </c>
      <c r="I66" s="308">
        <f t="shared" ca="1" si="5"/>
        <v>0</v>
      </c>
      <c r="J66" s="308">
        <f t="shared" ca="1" si="6"/>
        <v>0</v>
      </c>
      <c r="K66" s="309">
        <f t="shared" ca="1" si="7"/>
        <v>0</v>
      </c>
      <c r="L66" s="289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14" t="s">
        <v>1035</v>
      </c>
      <c r="C67" s="515" t="s">
        <v>1627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51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4"/>
        <v>0</v>
      </c>
      <c r="I67" s="308">
        <f t="shared" ca="1" si="5"/>
        <v>0</v>
      </c>
      <c r="J67" s="308">
        <f t="shared" ca="1" si="6"/>
        <v>0</v>
      </c>
      <c r="K67" s="309">
        <f t="shared" ca="1" si="7"/>
        <v>0</v>
      </c>
      <c r="L67" s="289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14">
        <v>1</v>
      </c>
      <c r="C68" s="515" t="s">
        <v>30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451">
        <f>F67*1</f>
        <v>1</v>
      </c>
      <c r="G68" s="307">
        <f ca="1">IF(ISERROR(OFFSET('HARGA SATUAN'!$I$6,MATCH(RAB!C68,'HARGA SATUAN'!$C$7:$C$1495,0),0)),0,OFFSET('HARGA SATUAN'!$I$6,MATCH(RAB!C68,'HARGA SATUAN'!$C$7:$C$1495,0),0))</f>
        <v>47459</v>
      </c>
      <c r="H68" s="308">
        <f t="shared" ca="1" si="4"/>
        <v>0</v>
      </c>
      <c r="I68" s="308">
        <f t="shared" ca="1" si="5"/>
        <v>47459</v>
      </c>
      <c r="J68" s="308">
        <f t="shared" ca="1" si="6"/>
        <v>0</v>
      </c>
      <c r="K68" s="309">
        <f t="shared" ca="1" si="7"/>
        <v>47459</v>
      </c>
      <c r="L68" s="289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14">
        <v>2</v>
      </c>
      <c r="C69" s="515" t="s">
        <v>32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Mtr</v>
      </c>
      <c r="F69" s="451">
        <f>F67*0.8</f>
        <v>0.8</v>
      </c>
      <c r="G69" s="307">
        <f ca="1">IF(ISERROR(OFFSET('HARGA SATUAN'!$I$6,MATCH(RAB!C69,'HARGA SATUAN'!$C$7:$C$1495,0),0)),0,OFFSET('HARGA SATUAN'!$I$6,MATCH(RAB!C69,'HARGA SATUAN'!$C$7:$C$1495,0),0))</f>
        <v>30000</v>
      </c>
      <c r="H69" s="308">
        <f t="shared" ca="1" si="4"/>
        <v>0</v>
      </c>
      <c r="I69" s="308">
        <f t="shared" ca="1" si="5"/>
        <v>24000</v>
      </c>
      <c r="J69" s="308">
        <f t="shared" ca="1" si="6"/>
        <v>0</v>
      </c>
      <c r="K69" s="309">
        <f t="shared" ca="1" si="7"/>
        <v>24000</v>
      </c>
      <c r="L69" s="289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514">
        <v>3</v>
      </c>
      <c r="C70" s="515" t="s">
        <v>33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1">
        <f>F67*1</f>
        <v>1</v>
      </c>
      <c r="G70" s="307">
        <f ca="1">IF(ISERROR(OFFSET('HARGA SATUAN'!$I$6,MATCH(RAB!C70,'HARGA SATUAN'!$C$7:$C$1495,0),0)),0,OFFSET('HARGA SATUAN'!$I$6,MATCH(RAB!C70,'HARGA SATUAN'!$C$7:$C$1495,0),0))</f>
        <v>9500</v>
      </c>
      <c r="H70" s="308">
        <f t="shared" ca="1" si="4"/>
        <v>0</v>
      </c>
      <c r="I70" s="308">
        <f t="shared" ca="1" si="5"/>
        <v>9500</v>
      </c>
      <c r="J70" s="308">
        <f t="shared" ca="1" si="6"/>
        <v>0</v>
      </c>
      <c r="K70" s="309">
        <f t="shared" ca="1" si="7"/>
        <v>9500</v>
      </c>
      <c r="L70" s="289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4">
        <v>4</v>
      </c>
      <c r="C71" s="515" t="s">
        <v>737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451">
        <f>F67*1</f>
        <v>1</v>
      </c>
      <c r="G71" s="307">
        <f ca="1">IF(ISERROR(OFFSET('HARGA SATUAN'!$I$6,MATCH(RAB!C71,'HARGA SATUAN'!$C$7:$C$1495,0),0)),0,OFFSET('HARGA SATUAN'!$I$6,MATCH(RAB!C71,'HARGA SATUAN'!$C$7:$C$1495,0),0))</f>
        <v>16200</v>
      </c>
      <c r="H71" s="308">
        <f t="shared" ca="1" si="4"/>
        <v>0</v>
      </c>
      <c r="I71" s="308">
        <f t="shared" ca="1" si="5"/>
        <v>0</v>
      </c>
      <c r="J71" s="308">
        <f t="shared" ca="1" si="6"/>
        <v>16200</v>
      </c>
      <c r="K71" s="309">
        <f t="shared" ca="1" si="7"/>
        <v>16200</v>
      </c>
      <c r="L71" s="289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20"/>
      <c r="C72" s="417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1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ref="H72:H98" ca="1" si="12">IF(OR(D72="MDU",D72="MDU-KD"),(IF($O$3="RAB NON MDU","PLN KD",G72*F72)),0)</f>
        <v>0</v>
      </c>
      <c r="I72" s="308">
        <f t="shared" ref="I72:I98" ca="1" si="13">IF(D72="HDW",G72*F72,0)</f>
        <v>0</v>
      </c>
      <c r="J72" s="308">
        <f t="shared" ref="J72:J98" ca="1" si="14">IF(D72="JASA",G72*F72,0)</f>
        <v>0</v>
      </c>
      <c r="K72" s="309">
        <f t="shared" ref="K72:K98" ca="1" si="15">SUM(H72:J72)</f>
        <v>0</v>
      </c>
      <c r="L72" s="316"/>
      <c r="M72" s="289" t="e">
        <f>IF(AND(F72&gt;0,#REF!=0),"",IF(AND(ISBLANK(F72)=FALSE,K72=0),"WARNING",""))</f>
        <v>#REF!</v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idden="1">
      <c r="A73" s="283"/>
      <c r="B73" s="420">
        <v>10</v>
      </c>
      <c r="C73" s="417" t="s">
        <v>1615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453"/>
      <c r="G73" s="307">
        <f ca="1">IF(ISERROR(OFFSET('HARGA SATUAN'!$I$6,MATCH(RAB!C73,'HARGA SATUAN'!$C$7:$C$1495,0),0)),0,OFFSET('HARGA SATUAN'!$I$6,MATCH(RAB!C73,'HARGA SATUAN'!$C$7:$C$1495,0),0))</f>
        <v>49000</v>
      </c>
      <c r="H73" s="308">
        <f t="shared" ca="1" si="12"/>
        <v>0</v>
      </c>
      <c r="I73" s="308">
        <f t="shared" ca="1" si="13"/>
        <v>0</v>
      </c>
      <c r="J73" s="308">
        <f t="shared" ca="1" si="14"/>
        <v>0</v>
      </c>
      <c r="K73" s="309">
        <f t="shared" ca="1" si="15"/>
        <v>0</v>
      </c>
      <c r="L73" s="316"/>
      <c r="M73" s="289" t="str">
        <f t="shared" ref="M73:M112" ca="1" si="16">IF(AND(F73&gt;0,F72=0),"",IF(AND(ISBLANK(F73)=FALSE,K73=0),"WARNING",""))</f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idden="1">
      <c r="A74" s="283"/>
      <c r="B74" s="449"/>
      <c r="C74" s="450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53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2"/>
        <v>0</v>
      </c>
      <c r="I74" s="308">
        <f t="shared" ca="1" si="13"/>
        <v>0</v>
      </c>
      <c r="J74" s="308">
        <f t="shared" ca="1" si="14"/>
        <v>0</v>
      </c>
      <c r="K74" s="309">
        <f t="shared" ca="1" si="15"/>
        <v>0</v>
      </c>
      <c r="L74" s="316"/>
      <c r="M74" s="289" t="str">
        <f t="shared" ca="1" si="16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idden="1">
      <c r="A75" s="283"/>
      <c r="B75" s="449"/>
      <c r="C75" s="450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3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12"/>
        <v>0</v>
      </c>
      <c r="I75" s="308">
        <f t="shared" ca="1" si="13"/>
        <v>0</v>
      </c>
      <c r="J75" s="308">
        <f t="shared" ca="1" si="14"/>
        <v>0</v>
      </c>
      <c r="K75" s="309">
        <f t="shared" ca="1" si="15"/>
        <v>0</v>
      </c>
      <c r="L75" s="316"/>
      <c r="M75" s="289" t="str">
        <f t="shared" ca="1" si="16"/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idden="1">
      <c r="A76" s="283"/>
      <c r="B76" s="449"/>
      <c r="C76" s="450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453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12"/>
        <v>0</v>
      </c>
      <c r="I76" s="308">
        <f t="shared" ca="1" si="13"/>
        <v>0</v>
      </c>
      <c r="J76" s="308">
        <f t="shared" ca="1" si="14"/>
        <v>0</v>
      </c>
      <c r="K76" s="309">
        <f t="shared" ca="1" si="15"/>
        <v>0</v>
      </c>
      <c r="L76" s="316"/>
      <c r="M76" s="289" t="str">
        <f t="shared" ca="1" si="16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idden="1">
      <c r="A77" s="283"/>
      <c r="B77" s="449"/>
      <c r="C77" s="450"/>
      <c r="D77" s="305" t="str">
        <f ca="1">IF(ISERROR(OFFSET('HARGA SATUAN'!$D$6,MATCH(RAB!C77,'HARGA SATUAN'!$C$7:$C$1495,0),0)),"",OFFSET('HARGA SATUAN'!$D$6,MATCH(RAB!C77,'HARGA SATUAN'!$C$7:$C$1495,0),0))</f>
        <v/>
      </c>
      <c r="E77" s="306" t="str">
        <f ca="1">IF(B77="+","Unit",IF(ISERROR(OFFSET('HARGA SATUAN'!$E$6,MATCH(RAB!C77,'HARGA SATUAN'!$C$7:$C$1495,0),0)),"",OFFSET('HARGA SATUAN'!$E$6,MATCH(RAB!C77,'HARGA SATUAN'!$C$7:$C$1495,0),0)))</f>
        <v/>
      </c>
      <c r="F77" s="453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t="shared" ca="1" si="12"/>
        <v>0</v>
      </c>
      <c r="I77" s="308">
        <f t="shared" ca="1" si="13"/>
        <v>0</v>
      </c>
      <c r="J77" s="308">
        <f t="shared" ca="1" si="14"/>
        <v>0</v>
      </c>
      <c r="K77" s="309">
        <f t="shared" ca="1" si="15"/>
        <v>0</v>
      </c>
      <c r="L77" s="316"/>
      <c r="M77" s="289" t="str">
        <f t="shared" ca="1" si="16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idden="1">
      <c r="A78" s="283"/>
      <c r="B78" s="449"/>
      <c r="C78" s="450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453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t="shared" ca="1" si="12"/>
        <v>0</v>
      </c>
      <c r="I78" s="308">
        <f t="shared" ca="1" si="13"/>
        <v>0</v>
      </c>
      <c r="J78" s="308">
        <f t="shared" ca="1" si="14"/>
        <v>0</v>
      </c>
      <c r="K78" s="309">
        <f t="shared" ca="1" si="15"/>
        <v>0</v>
      </c>
      <c r="L78" s="316"/>
      <c r="M78" s="289" t="str">
        <f t="shared" ca="1" si="16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idden="1">
      <c r="A79" s="283"/>
      <c r="B79" s="449"/>
      <c r="C79" s="45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453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2"/>
        <v>0</v>
      </c>
      <c r="I79" s="308">
        <f t="shared" ca="1" si="13"/>
        <v>0</v>
      </c>
      <c r="J79" s="308">
        <f t="shared" ca="1" si="14"/>
        <v>0</v>
      </c>
      <c r="K79" s="309">
        <f t="shared" ca="1" si="15"/>
        <v>0</v>
      </c>
      <c r="L79" s="316"/>
      <c r="M79" s="289" t="str">
        <f t="shared" ca="1" si="16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idden="1">
      <c r="A80" s="283"/>
      <c r="B80" s="449"/>
      <c r="C80" s="450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53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ca="1" si="12"/>
        <v>0</v>
      </c>
      <c r="I80" s="308">
        <f t="shared" ca="1" si="13"/>
        <v>0</v>
      </c>
      <c r="J80" s="308">
        <f t="shared" ca="1" si="14"/>
        <v>0</v>
      </c>
      <c r="K80" s="309">
        <f t="shared" ca="1" si="15"/>
        <v>0</v>
      </c>
      <c r="L80" s="316"/>
      <c r="M80" s="289" t="str">
        <f t="shared" ca="1" si="16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idden="1">
      <c r="A81" s="283"/>
      <c r="B81" s="449"/>
      <c r="C81" s="450"/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/>
      </c>
      <c r="F81" s="453"/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2"/>
        <v>0</v>
      </c>
      <c r="I81" s="308">
        <f t="shared" ca="1" si="13"/>
        <v>0</v>
      </c>
      <c r="J81" s="308">
        <f t="shared" ca="1" si="14"/>
        <v>0</v>
      </c>
      <c r="K81" s="309">
        <f t="shared" ca="1" si="15"/>
        <v>0</v>
      </c>
      <c r="L81" s="316"/>
      <c r="M81" s="289" t="str">
        <f t="shared" ca="1" si="16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idden="1">
      <c r="A82" s="283"/>
      <c r="B82" s="449"/>
      <c r="C82" s="450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453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12"/>
        <v>0</v>
      </c>
      <c r="I82" s="308">
        <f t="shared" ca="1" si="13"/>
        <v>0</v>
      </c>
      <c r="J82" s="308">
        <f t="shared" ca="1" si="14"/>
        <v>0</v>
      </c>
      <c r="K82" s="309">
        <f t="shared" ca="1" si="15"/>
        <v>0</v>
      </c>
      <c r="L82" s="316"/>
      <c r="M82" s="289" t="str">
        <f t="shared" ca="1" si="16"/>
        <v/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idden="1">
      <c r="A83" s="283"/>
      <c r="B83" s="449"/>
      <c r="C83" s="450"/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453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2"/>
        <v>0</v>
      </c>
      <c r="I83" s="308">
        <f t="shared" ca="1" si="13"/>
        <v>0</v>
      </c>
      <c r="J83" s="308">
        <f t="shared" ca="1" si="14"/>
        <v>0</v>
      </c>
      <c r="K83" s="309">
        <f t="shared" ca="1" si="15"/>
        <v>0</v>
      </c>
      <c r="L83" s="316"/>
      <c r="M83" s="289" t="str">
        <f t="shared" ca="1" si="16"/>
        <v/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49"/>
      <c r="C84" s="450"/>
      <c r="D84" s="305" t="str">
        <f ca="1">IF(ISERROR(OFFSET('HARGA SATUAN'!$D$6,MATCH(RAB!C84,'HARGA SATUAN'!$C$7:$C$1495,0),0)),"",OFFSET('HARGA SATUAN'!$D$6,MATCH(RAB!C84,'HARGA SATUAN'!$C$7:$C$1495,0),0))</f>
        <v/>
      </c>
      <c r="E84" s="306" t="str">
        <f ca="1">IF(B84="+","Unit",IF(ISERROR(OFFSET('HARGA SATUAN'!$E$6,MATCH(RAB!C84,'HARGA SATUAN'!$C$7:$C$1495,0),0)),"",OFFSET('HARGA SATUAN'!$E$6,MATCH(RAB!C84,'HARGA SATUAN'!$C$7:$C$1495,0),0)))</f>
        <v/>
      </c>
      <c r="F84" s="453"/>
      <c r="G84" s="307">
        <f ca="1">IF(ISERROR(OFFSET('HARGA SATUAN'!$I$6,MATCH(RAB!C84,'HARGA SATUAN'!$C$7:$C$1495,0),0)),0,OFFSET('HARGA SATUAN'!$I$6,MATCH(RAB!C84,'HARGA SATUAN'!$C$7:$C$1495,0),0))</f>
        <v>0</v>
      </c>
      <c r="H84" s="308">
        <f t="shared" ca="1" si="12"/>
        <v>0</v>
      </c>
      <c r="I84" s="308">
        <f t="shared" ca="1" si="13"/>
        <v>0</v>
      </c>
      <c r="J84" s="308">
        <f t="shared" ca="1" si="14"/>
        <v>0</v>
      </c>
      <c r="K84" s="309">
        <f t="shared" ca="1" si="15"/>
        <v>0</v>
      </c>
      <c r="L84" s="316"/>
      <c r="M84" s="289" t="str">
        <f t="shared" ca="1" si="16"/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49"/>
      <c r="C85" s="450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3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12"/>
        <v>0</v>
      </c>
      <c r="I85" s="308">
        <f t="shared" ca="1" si="13"/>
        <v>0</v>
      </c>
      <c r="J85" s="308">
        <f t="shared" ca="1" si="14"/>
        <v>0</v>
      </c>
      <c r="K85" s="309">
        <f t="shared" ca="1" si="15"/>
        <v>0</v>
      </c>
      <c r="L85" s="316"/>
      <c r="M85" s="289" t="str">
        <f t="shared" ca="1" si="16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49"/>
      <c r="C86" s="450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3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12"/>
        <v>0</v>
      </c>
      <c r="I86" s="308">
        <f t="shared" ca="1" si="13"/>
        <v>0</v>
      </c>
      <c r="J86" s="308">
        <f t="shared" ca="1" si="14"/>
        <v>0</v>
      </c>
      <c r="K86" s="309">
        <f t="shared" ca="1" si="15"/>
        <v>0</v>
      </c>
      <c r="L86" s="316"/>
      <c r="M86" s="289" t="str">
        <f t="shared" ca="1" si="16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449"/>
      <c r="C87" s="450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3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12"/>
        <v>0</v>
      </c>
      <c r="I87" s="308">
        <f t="shared" ca="1" si="13"/>
        <v>0</v>
      </c>
      <c r="J87" s="308">
        <f t="shared" ca="1" si="14"/>
        <v>0</v>
      </c>
      <c r="K87" s="309">
        <f t="shared" ca="1" si="15"/>
        <v>0</v>
      </c>
      <c r="L87" s="316"/>
      <c r="M87" s="289" t="str">
        <f t="shared" ca="1" si="16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49"/>
      <c r="C88" s="450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3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12"/>
        <v>0</v>
      </c>
      <c r="I88" s="308">
        <f t="shared" ca="1" si="13"/>
        <v>0</v>
      </c>
      <c r="J88" s="308">
        <f t="shared" ca="1" si="14"/>
        <v>0</v>
      </c>
      <c r="K88" s="309">
        <f t="shared" ca="1" si="15"/>
        <v>0</v>
      </c>
      <c r="L88" s="316"/>
      <c r="M88" s="289" t="str">
        <f t="shared" ca="1" si="16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449"/>
      <c r="C89" s="450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53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12"/>
        <v>0</v>
      </c>
      <c r="I89" s="308">
        <f t="shared" ca="1" si="13"/>
        <v>0</v>
      </c>
      <c r="J89" s="308">
        <f t="shared" ca="1" si="14"/>
        <v>0</v>
      </c>
      <c r="K89" s="309">
        <f t="shared" ca="1" si="15"/>
        <v>0</v>
      </c>
      <c r="L89" s="316"/>
      <c r="M89" s="289" t="str">
        <f t="shared" ca="1" si="16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449"/>
      <c r="C90" s="450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3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12"/>
        <v>0</v>
      </c>
      <c r="I90" s="308">
        <f t="shared" ca="1" si="13"/>
        <v>0</v>
      </c>
      <c r="J90" s="308">
        <f t="shared" ca="1" si="14"/>
        <v>0</v>
      </c>
      <c r="K90" s="309">
        <f t="shared" ca="1" si="15"/>
        <v>0</v>
      </c>
      <c r="L90" s="316"/>
      <c r="M90" s="289" t="str">
        <f t="shared" ca="1" si="16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49"/>
      <c r="C91" s="450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3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12"/>
        <v>0</v>
      </c>
      <c r="I91" s="308">
        <f t="shared" ca="1" si="13"/>
        <v>0</v>
      </c>
      <c r="J91" s="308">
        <f t="shared" ca="1" si="14"/>
        <v>0</v>
      </c>
      <c r="K91" s="309">
        <f t="shared" ca="1" si="15"/>
        <v>0</v>
      </c>
      <c r="L91" s="316"/>
      <c r="M91" s="289" t="str">
        <f t="shared" ca="1" si="16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49"/>
      <c r="C92" s="450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3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12"/>
        <v>0</v>
      </c>
      <c r="I92" s="308">
        <f t="shared" ca="1" si="13"/>
        <v>0</v>
      </c>
      <c r="J92" s="308">
        <f t="shared" ca="1" si="14"/>
        <v>0</v>
      </c>
      <c r="K92" s="309">
        <f t="shared" ca="1" si="15"/>
        <v>0</v>
      </c>
      <c r="L92" s="316"/>
      <c r="M92" s="289" t="str">
        <f t="shared" ca="1" si="16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49"/>
      <c r="C93" s="45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53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12"/>
        <v>0</v>
      </c>
      <c r="I93" s="308">
        <f t="shared" ca="1" si="13"/>
        <v>0</v>
      </c>
      <c r="J93" s="308">
        <f t="shared" ca="1" si="14"/>
        <v>0</v>
      </c>
      <c r="K93" s="309">
        <f t="shared" ca="1" si="15"/>
        <v>0</v>
      </c>
      <c r="L93" s="316"/>
      <c r="M93" s="289" t="str">
        <f t="shared" ca="1" si="1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418" t="s">
        <v>1602</v>
      </c>
      <c r="C94" s="421" t="s">
        <v>1604</v>
      </c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4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12"/>
        <v>0</v>
      </c>
      <c r="I94" s="308">
        <f t="shared" ca="1" si="13"/>
        <v>0</v>
      </c>
      <c r="J94" s="308">
        <f t="shared" ca="1" si="14"/>
        <v>0</v>
      </c>
      <c r="K94" s="309">
        <f t="shared" ca="1" si="15"/>
        <v>0</v>
      </c>
      <c r="L94" s="316"/>
      <c r="M94" s="289" t="str">
        <f t="shared" ca="1" si="1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318">
        <v>1</v>
      </c>
      <c r="C95" s="109" t="s">
        <v>1457</v>
      </c>
      <c r="D95" s="305" t="str">
        <f ca="1">IF(ISERROR(OFFSET('HARGA SATUAN'!$D$6,MATCH(RAB!C95,'HARGA SATUAN'!$C$7:$C$1495,0),0)),"",OFFSET('HARGA SATUAN'!$D$6,MATCH(RAB!C95,'HARGA SATUAN'!$C$7:$C$1495,0),0))</f>
        <v>MDU-KD</v>
      </c>
      <c r="E95" s="306" t="str">
        <f ca="1">IF(B95="+","Unit",IF(ISERROR(OFFSET('HARGA SATUAN'!$E$6,MATCH(RAB!C95,'HARGA SATUAN'!$C$7:$C$1495,0),0)),"",OFFSET('HARGA SATUAN'!$E$6,MATCH(RAB!C95,'HARGA SATUAN'!$C$7:$C$1495,0),0)))</f>
        <v>Mtr</v>
      </c>
      <c r="F95" s="523">
        <v>60</v>
      </c>
      <c r="G95" s="307">
        <f ca="1">IF(ISERROR(OFFSET('HARGA SATUAN'!$I$6,MATCH(RAB!C95,'HARGA SATUAN'!$C$7:$C$1495,0),0)),0,OFFSET('HARGA SATUAN'!$I$6,MATCH(RAB!C95,'HARGA SATUAN'!$C$7:$C$1495,0),0))</f>
        <v>54500</v>
      </c>
      <c r="H95" s="308">
        <f t="shared" ca="1" si="12"/>
        <v>3270000</v>
      </c>
      <c r="I95" s="308">
        <f t="shared" ca="1" si="13"/>
        <v>0</v>
      </c>
      <c r="J95" s="308">
        <f t="shared" ca="1" si="14"/>
        <v>0</v>
      </c>
      <c r="K95" s="309">
        <f t="shared" ca="1" si="15"/>
        <v>3270000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318">
        <v>2</v>
      </c>
      <c r="C96" s="109" t="s">
        <v>346</v>
      </c>
      <c r="D96" s="305" t="str">
        <f ca="1">IF(ISERROR(OFFSET('HARGA SATUAN'!$D$6,MATCH(RAB!C96,'HARGA SATUAN'!$C$7:$C$1495,0),0)),"",OFFSET('HARGA SATUAN'!$D$6,MATCH(RAB!C96,'HARGA SATUAN'!$C$7:$C$1495,0),0))</f>
        <v>JASA</v>
      </c>
      <c r="E96" s="306" t="str">
        <f ca="1">IF(B96="+","Unit",IF(ISERROR(OFFSET('HARGA SATUAN'!$E$6,MATCH(RAB!C96,'HARGA SATUAN'!$C$7:$C$1495,0),0)),"",OFFSET('HARGA SATUAN'!$E$6,MATCH(RAB!C96,'HARGA SATUAN'!$C$7:$C$1495,0),0)))</f>
        <v>Per 50 m</v>
      </c>
      <c r="F96" s="523">
        <v>1.2</v>
      </c>
      <c r="G96" s="307">
        <f ca="1">IF(ISERROR(OFFSET('HARGA SATUAN'!$I$6,MATCH(RAB!C96,'HARGA SATUAN'!$C$7:$C$1495,0),0)),0,OFFSET('HARGA SATUAN'!$I$6,MATCH(RAB!C96,'HARGA SATUAN'!$C$7:$C$1495,0),0))</f>
        <v>223500</v>
      </c>
      <c r="H96" s="308">
        <f t="shared" ca="1" si="12"/>
        <v>0</v>
      </c>
      <c r="I96" s="308">
        <f t="shared" ca="1" si="13"/>
        <v>0</v>
      </c>
      <c r="J96" s="308">
        <f t="shared" ca="1" si="14"/>
        <v>268200</v>
      </c>
      <c r="K96" s="309">
        <f t="shared" ca="1" si="15"/>
        <v>268200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418"/>
      <c r="C97" s="421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4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12"/>
        <v>0</v>
      </c>
      <c r="I97" s="308">
        <f t="shared" ca="1" si="13"/>
        <v>0</v>
      </c>
      <c r="J97" s="308">
        <f t="shared" ca="1" si="14"/>
        <v>0</v>
      </c>
      <c r="K97" s="309">
        <f t="shared" ca="1" si="15"/>
        <v>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318"/>
      <c r="C98" s="319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19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12"/>
        <v>0</v>
      </c>
      <c r="I98" s="308">
        <f t="shared" ca="1" si="13"/>
        <v>0</v>
      </c>
      <c r="J98" s="308">
        <f t="shared" ca="1" si="14"/>
        <v>0</v>
      </c>
      <c r="K98" s="309">
        <f t="shared" ca="1" si="15"/>
        <v>0</v>
      </c>
      <c r="L98" s="316"/>
      <c r="M98" s="289" t="e">
        <f>IF(AND(F98&gt;0,#REF!=0),"",IF(AND(ISBLANK(F98)=FALSE,K98=0),"WARNING",""))</f>
        <v>#REF!</v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418" t="s">
        <v>1610</v>
      </c>
      <c r="C99" s="421" t="s">
        <v>1606</v>
      </c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55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ref="H99:H115" ca="1" si="17">IF(OR(D99="MDU",D99="MDU-KD"),(IF($O$3="RAB NON MDU","PLN KD",G99*F99)),0)</f>
        <v>0</v>
      </c>
      <c r="I99" s="308">
        <f t="shared" ref="I99:I115" ca="1" si="18">IF(D99="HDW",G99*F99,0)</f>
        <v>0</v>
      </c>
      <c r="J99" s="308">
        <f t="shared" ref="J99:J115" ca="1" si="19">IF(D99="JASA",G99*F99,0)</f>
        <v>0</v>
      </c>
      <c r="K99" s="309">
        <f t="shared" ref="K99:K115" ca="1" si="20">SUM(H99:J99)</f>
        <v>0</v>
      </c>
      <c r="L99" s="316"/>
      <c r="M99" s="289" t="str">
        <f t="shared" ca="1" si="16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460" t="s">
        <v>1035</v>
      </c>
      <c r="C100" s="461" t="s">
        <v>1635</v>
      </c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>Unit</v>
      </c>
      <c r="F100" s="523">
        <v>1</v>
      </c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17"/>
        <v>0</v>
      </c>
      <c r="I100" s="308">
        <f t="shared" ca="1" si="18"/>
        <v>0</v>
      </c>
      <c r="J100" s="308">
        <f t="shared" ca="1" si="19"/>
        <v>0</v>
      </c>
      <c r="K100" s="309">
        <f t="shared" ca="1" si="20"/>
        <v>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t="30">
      <c r="A101" s="283"/>
      <c r="B101" s="521">
        <v>1</v>
      </c>
      <c r="C101" s="109" t="s">
        <v>1195</v>
      </c>
      <c r="D101" s="305" t="str">
        <f ca="1">IF(ISERROR(OFFSET('HARGA SATUAN'!$D$6,MATCH(RAB!C101,'HARGA SATUAN'!$C$7:$C$1495,0),0)),"",OFFSET('HARGA SATUAN'!$D$6,MATCH(RAB!C101,'HARGA SATUAN'!$C$7:$C$1495,0),0))</f>
        <v>MDU-KD</v>
      </c>
      <c r="E101" s="306" t="str">
        <f ca="1">IF(B101="+","Unit",IF(ISERROR(OFFSET('HARGA SATUAN'!$E$6,MATCH(RAB!C101,'HARGA SATUAN'!$C$7:$C$1495,0),0)),"",OFFSET('HARGA SATUAN'!$E$6,MATCH(RAB!C101,'HARGA SATUAN'!$C$7:$C$1495,0),0)))</f>
        <v>Bh</v>
      </c>
      <c r="F101" s="523">
        <f>F100*1</f>
        <v>1</v>
      </c>
      <c r="G101" s="307">
        <f ca="1">IF(ISERROR(OFFSET('HARGA SATUAN'!$I$6,MATCH(RAB!C101,'HARGA SATUAN'!$C$7:$C$1495,0),0)),0,OFFSET('HARGA SATUAN'!$I$6,MATCH(RAB!C101,'HARGA SATUAN'!$C$7:$C$1495,0),0))</f>
        <v>1504200</v>
      </c>
      <c r="H101" s="308">
        <f t="shared" ca="1" si="17"/>
        <v>1504200</v>
      </c>
      <c r="I101" s="308">
        <f t="shared" ca="1" si="18"/>
        <v>0</v>
      </c>
      <c r="J101" s="308">
        <f t="shared" ca="1" si="19"/>
        <v>0</v>
      </c>
      <c r="K101" s="309">
        <f t="shared" ca="1" si="20"/>
        <v>1504200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521">
        <v>2</v>
      </c>
      <c r="C102" s="526" t="s">
        <v>516</v>
      </c>
      <c r="D102" s="305" t="str">
        <f ca="1">IF(ISERROR(OFFSET('HARGA SATUAN'!$D$6,MATCH(RAB!C102,'HARGA SATUAN'!$C$7:$C$1495,0),0)),"",OFFSET('HARGA SATUAN'!$D$6,MATCH(RAB!C102,'HARGA SATUAN'!$C$7:$C$1495,0),0))</f>
        <v>MDU-KD</v>
      </c>
      <c r="E102" s="306" t="str">
        <f ca="1">IF(B102="+","Unit",IF(ISERROR(OFFSET('HARGA SATUAN'!$E$6,MATCH(RAB!C102,'HARGA SATUAN'!$C$7:$C$1495,0),0)),"",OFFSET('HARGA SATUAN'!$E$6,MATCH(RAB!C102,'HARGA SATUAN'!$C$7:$C$1495,0),0)))</f>
        <v>Unit</v>
      </c>
      <c r="F102" s="523">
        <f>F100*1</f>
        <v>1</v>
      </c>
      <c r="G102" s="307">
        <f ca="1">IF(ISERROR(OFFSET('HARGA SATUAN'!$I$6,MATCH(RAB!C102,'HARGA SATUAN'!$C$7:$C$1495,0),0)),0,OFFSET('HARGA SATUAN'!$I$6,MATCH(RAB!C102,'HARGA SATUAN'!$C$7:$C$1495,0),0))</f>
        <v>13644300</v>
      </c>
      <c r="H102" s="308">
        <f t="shared" ca="1" si="17"/>
        <v>13644300</v>
      </c>
      <c r="I102" s="308">
        <f t="shared" ca="1" si="18"/>
        <v>0</v>
      </c>
      <c r="J102" s="308">
        <f t="shared" ca="1" si="19"/>
        <v>0</v>
      </c>
      <c r="K102" s="309">
        <f t="shared" ca="1" si="20"/>
        <v>13644300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521">
        <v>3</v>
      </c>
      <c r="C103" s="526" t="s">
        <v>1141</v>
      </c>
      <c r="D103" s="305" t="str">
        <f ca="1">IF(ISERROR(OFFSET('HARGA SATUAN'!$D$6,MATCH(RAB!C103,'HARGA SATUAN'!$C$7:$C$1495,0),0)),"",OFFSET('HARGA SATUAN'!$D$6,MATCH(RAB!C103,'HARGA SATUAN'!$C$7:$C$1495,0),0))</f>
        <v>HDW</v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523">
        <f>F100*1</f>
        <v>1</v>
      </c>
      <c r="G103" s="307">
        <f ca="1">IF(ISERROR(OFFSET('HARGA SATUAN'!$I$6,MATCH(RAB!C103,'HARGA SATUAN'!$C$7:$C$1495,0),0)),0,OFFSET('HARGA SATUAN'!$I$6,MATCH(RAB!C103,'HARGA SATUAN'!$C$7:$C$1495,0),0))</f>
        <v>1113900</v>
      </c>
      <c r="H103" s="308">
        <f t="shared" ca="1" si="17"/>
        <v>0</v>
      </c>
      <c r="I103" s="308">
        <f t="shared" ca="1" si="18"/>
        <v>1113900</v>
      </c>
      <c r="J103" s="308">
        <f t="shared" ca="1" si="19"/>
        <v>0</v>
      </c>
      <c r="K103" s="309">
        <f t="shared" ca="1" si="20"/>
        <v>1113900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521">
        <v>4</v>
      </c>
      <c r="C104" s="109" t="s">
        <v>1457</v>
      </c>
      <c r="D104" s="305" t="str">
        <f ca="1">IF(ISERROR(OFFSET('HARGA SATUAN'!$D$6,MATCH(RAB!C104,'HARGA SATUAN'!$C$7:$C$1495,0),0)),"",OFFSET('HARGA SATUAN'!$D$6,MATCH(RAB!C104,'HARGA SATUAN'!$C$7:$C$1495,0),0))</f>
        <v>MDU-KD</v>
      </c>
      <c r="E104" s="306" t="str">
        <f ca="1">IF(B104="+","Unit",IF(ISERROR(OFFSET('HARGA SATUAN'!$E$6,MATCH(RAB!C104,'HARGA SATUAN'!$C$7:$C$1495,0),0)),"",OFFSET('HARGA SATUAN'!$E$6,MATCH(RAB!C104,'HARGA SATUAN'!$C$7:$C$1495,0),0)))</f>
        <v>Mtr</v>
      </c>
      <c r="F104" s="523">
        <v>40</v>
      </c>
      <c r="G104" s="307">
        <f ca="1">IF(ISERROR(OFFSET('HARGA SATUAN'!$I$6,MATCH(RAB!C104,'HARGA SATUAN'!$C$7:$C$1495,0),0)),0,OFFSET('HARGA SATUAN'!$I$6,MATCH(RAB!C104,'HARGA SATUAN'!$C$7:$C$1495,0),0))</f>
        <v>54500</v>
      </c>
      <c r="H104" s="308">
        <f t="shared" ca="1" si="17"/>
        <v>2180000</v>
      </c>
      <c r="I104" s="308">
        <f t="shared" ca="1" si="18"/>
        <v>0</v>
      </c>
      <c r="J104" s="308">
        <f t="shared" ca="1" si="19"/>
        <v>0</v>
      </c>
      <c r="K104" s="309">
        <f t="shared" ca="1" si="20"/>
        <v>2180000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521">
        <v>5</v>
      </c>
      <c r="C105" s="526" t="s">
        <v>799</v>
      </c>
      <c r="D105" s="305" t="str">
        <f ca="1">IF(ISERROR(OFFSET('HARGA SATUAN'!$D$6,MATCH(RAB!C105,'HARGA SATUAN'!$C$7:$C$1495,0),0)),"",OFFSET('HARGA SATUAN'!$D$6,MATCH(RAB!C105,'HARGA SATUAN'!$C$7:$C$1495,0),0))</f>
        <v>JASA</v>
      </c>
      <c r="E105" s="306" t="str">
        <f ca="1">IF(B105="+","Unit",IF(ISERROR(OFFSET('HARGA SATUAN'!$E$6,MATCH(RAB!C105,'HARGA SATUAN'!$C$7:$C$1495,0),0)),"",OFFSET('HARGA SATUAN'!$E$6,MATCH(RAB!C105,'HARGA SATUAN'!$C$7:$C$1495,0),0)))</f>
        <v>Unit</v>
      </c>
      <c r="F105" s="523">
        <f>F100*1</f>
        <v>1</v>
      </c>
      <c r="G105" s="307">
        <f ca="1">IF(ISERROR(OFFSET('HARGA SATUAN'!$I$6,MATCH(RAB!C105,'HARGA SATUAN'!$C$7:$C$1495,0),0)),0,OFFSET('HARGA SATUAN'!$I$6,MATCH(RAB!C105,'HARGA SATUAN'!$C$7:$C$1495,0),0))</f>
        <v>106400</v>
      </c>
      <c r="H105" s="308">
        <f ca="1">IF(OR(D105="MDU",D105="MDU-KD"),(IF($O$3="RAB NON MDU","PLN KD",G105*F105)),0)</f>
        <v>0</v>
      </c>
      <c r="I105" s="308">
        <f ca="1">IF(D105="HDW",G105*F105,0)</f>
        <v>0</v>
      </c>
      <c r="J105" s="308">
        <f ca="1">IF(D105="JASA",G105*F105,0)</f>
        <v>106400</v>
      </c>
      <c r="K105" s="309">
        <f ca="1">SUM(H105:J105)</f>
        <v>106400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318"/>
      <c r="C106" s="319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52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17"/>
        <v>0</v>
      </c>
      <c r="I106" s="308">
        <f t="shared" ca="1" si="18"/>
        <v>0</v>
      </c>
      <c r="J106" s="308">
        <f t="shared" ca="1" si="19"/>
        <v>0</v>
      </c>
      <c r="K106" s="309">
        <f t="shared" ca="1" si="20"/>
        <v>0</v>
      </c>
      <c r="L106" s="316"/>
      <c r="M106" s="289" t="str">
        <f ca="1">IF(AND(F106&gt;0,F99=0),"",IF(AND(ISBLANK(F106)=FALSE,K106=0),"WARNING",""))</f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318" t="s">
        <v>1035</v>
      </c>
      <c r="C107" s="319" t="s">
        <v>1618</v>
      </c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>Unit</v>
      </c>
      <c r="F107" s="451">
        <v>1</v>
      </c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17"/>
        <v>0</v>
      </c>
      <c r="I107" s="308">
        <f t="shared" ca="1" si="18"/>
        <v>0</v>
      </c>
      <c r="J107" s="308">
        <f t="shared" ca="1" si="19"/>
        <v>0</v>
      </c>
      <c r="K107" s="309">
        <f t="shared" ca="1" si="20"/>
        <v>0</v>
      </c>
      <c r="L107" s="316"/>
      <c r="M107" s="289" t="str">
        <f t="shared" si="1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318">
        <v>1</v>
      </c>
      <c r="C108" s="319" t="s">
        <v>29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451">
        <f>F107*1</f>
        <v>1</v>
      </c>
      <c r="G108" s="307">
        <f ca="1">IF(ISERROR(OFFSET('HARGA SATUAN'!$I$6,MATCH(RAB!C108,'HARGA SATUAN'!$C$7:$C$1495,0),0)),0,OFFSET('HARGA SATUAN'!$I$6,MATCH(RAB!C108,'HARGA SATUAN'!$C$7:$C$1495,0),0))</f>
        <v>185200</v>
      </c>
      <c r="H108" s="308">
        <f t="shared" ca="1" si="17"/>
        <v>0</v>
      </c>
      <c r="I108" s="308">
        <f t="shared" ca="1" si="18"/>
        <v>185200</v>
      </c>
      <c r="J108" s="308">
        <f t="shared" ca="1" si="19"/>
        <v>0</v>
      </c>
      <c r="K108" s="309">
        <f t="shared" ca="1" si="20"/>
        <v>185200</v>
      </c>
      <c r="L108" s="316"/>
      <c r="M108" s="289" t="str">
        <f t="shared" ca="1" si="16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318">
        <v>2</v>
      </c>
      <c r="C109" s="319" t="s">
        <v>30</v>
      </c>
      <c r="D109" s="305" t="str">
        <f ca="1">IF(ISERROR(OFFSET('HARGA SATUAN'!$D$6,MATCH(RAB!C109,'HARGA SATUAN'!$C$7:$C$1495,0),0)),"",OFFSET('HARGA SATUAN'!$D$6,MATCH(RAB!C109,'HARGA SATUAN'!$C$7:$C$1495,0),0))</f>
        <v>HDW</v>
      </c>
      <c r="E109" s="306" t="str">
        <f ca="1">IF(B109="+","Unit",IF(ISERROR(OFFSET('HARGA SATUAN'!$E$6,MATCH(RAB!C109,'HARGA SATUAN'!$C$7:$C$1495,0),0)),"",OFFSET('HARGA SATUAN'!$E$6,MATCH(RAB!C109,'HARGA SATUAN'!$C$7:$C$1495,0),0)))</f>
        <v>Bh</v>
      </c>
      <c r="F109" s="451">
        <f>F107*1</f>
        <v>1</v>
      </c>
      <c r="G109" s="307">
        <f ca="1">IF(ISERROR(OFFSET('HARGA SATUAN'!$I$6,MATCH(RAB!C109,'HARGA SATUAN'!$C$7:$C$1495,0),0)),0,OFFSET('HARGA SATUAN'!$I$6,MATCH(RAB!C109,'HARGA SATUAN'!$C$7:$C$1495,0),0))</f>
        <v>47459</v>
      </c>
      <c r="H109" s="308">
        <f t="shared" ca="1" si="17"/>
        <v>0</v>
      </c>
      <c r="I109" s="308">
        <f t="shared" ca="1" si="18"/>
        <v>47459</v>
      </c>
      <c r="J109" s="308">
        <f t="shared" ca="1" si="19"/>
        <v>0</v>
      </c>
      <c r="K109" s="309">
        <f t="shared" ca="1" si="20"/>
        <v>47459</v>
      </c>
      <c r="L109" s="316"/>
      <c r="M109" s="289" t="str">
        <f t="shared" ca="1" si="16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318">
        <v>3</v>
      </c>
      <c r="C110" s="319" t="s">
        <v>32</v>
      </c>
      <c r="D110" s="305" t="str">
        <f ca="1">IF(ISERROR(OFFSET('HARGA SATUAN'!$D$6,MATCH(RAB!C110,'HARGA SATUAN'!$C$7:$C$1495,0),0)),"",OFFSET('HARGA SATUAN'!$D$6,MATCH(RAB!C110,'HARGA SATUAN'!$C$7:$C$1495,0),0))</f>
        <v>HDW</v>
      </c>
      <c r="E110" s="306" t="str">
        <f ca="1">IF(B110="+","Unit",IF(ISERROR(OFFSET('HARGA SATUAN'!$E$6,MATCH(RAB!C110,'HARGA SATUAN'!$C$7:$C$1495,0),0)),"",OFFSET('HARGA SATUAN'!$E$6,MATCH(RAB!C110,'HARGA SATUAN'!$C$7:$C$1495,0),0)))</f>
        <v>Mtr</v>
      </c>
      <c r="F110" s="451">
        <f>F107*1.5</f>
        <v>1.5</v>
      </c>
      <c r="G110" s="307">
        <f ca="1">IF(ISERROR(OFFSET('HARGA SATUAN'!$I$6,MATCH(RAB!C110,'HARGA SATUAN'!$C$7:$C$1495,0),0)),0,OFFSET('HARGA SATUAN'!$I$6,MATCH(RAB!C110,'HARGA SATUAN'!$C$7:$C$1495,0),0))</f>
        <v>30000</v>
      </c>
      <c r="H110" s="308">
        <f t="shared" ca="1" si="17"/>
        <v>0</v>
      </c>
      <c r="I110" s="308">
        <f t="shared" ca="1" si="18"/>
        <v>45000</v>
      </c>
      <c r="J110" s="308">
        <f t="shared" ca="1" si="19"/>
        <v>0</v>
      </c>
      <c r="K110" s="309">
        <f t="shared" ca="1" si="20"/>
        <v>45000</v>
      </c>
      <c r="L110" s="316"/>
      <c r="M110" s="289" t="str">
        <f t="shared" ca="1" si="16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318">
        <v>4</v>
      </c>
      <c r="C111" s="319" t="s">
        <v>33</v>
      </c>
      <c r="D111" s="305" t="str">
        <f ca="1">IF(ISERROR(OFFSET('HARGA SATUAN'!$D$6,MATCH(RAB!C111,'HARGA SATUAN'!$C$7:$C$1495,0),0)),"",OFFSET('HARGA SATUAN'!$D$6,MATCH(RAB!C111,'HARGA SATUAN'!$C$7:$C$1495,0),0))</f>
        <v>HDW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451">
        <f>F107*2</f>
        <v>2</v>
      </c>
      <c r="G111" s="307">
        <f ca="1">IF(ISERROR(OFFSET('HARGA SATUAN'!$I$6,MATCH(RAB!C111,'HARGA SATUAN'!$C$7:$C$1495,0),0)),0,OFFSET('HARGA SATUAN'!$I$6,MATCH(RAB!C111,'HARGA SATUAN'!$C$7:$C$1495,0),0))</f>
        <v>9500</v>
      </c>
      <c r="H111" s="308">
        <f t="shared" ca="1" si="17"/>
        <v>0</v>
      </c>
      <c r="I111" s="308">
        <f t="shared" ca="1" si="18"/>
        <v>19000</v>
      </c>
      <c r="J111" s="308">
        <f t="shared" ca="1" si="19"/>
        <v>0</v>
      </c>
      <c r="K111" s="309">
        <f t="shared" ca="1" si="20"/>
        <v>19000</v>
      </c>
      <c r="L111" s="316"/>
      <c r="M111" s="289" t="str">
        <f t="shared" ca="1" si="16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318">
        <v>5</v>
      </c>
      <c r="C112" s="319" t="s">
        <v>735</v>
      </c>
      <c r="D112" s="305" t="str">
        <f ca="1">IF(ISERROR(OFFSET('HARGA SATUAN'!$D$6,MATCH(RAB!C112,'HARGA SATUAN'!$C$7:$C$1495,0),0)),"",OFFSET('HARGA SATUAN'!$D$6,MATCH(RAB!C112,'HARGA SATUAN'!$C$7:$C$1495,0),0))</f>
        <v>JASA</v>
      </c>
      <c r="E112" s="306" t="str">
        <f ca="1">IF(B112="+","Unit",IF(ISERROR(OFFSET('HARGA SATUAN'!$E$6,MATCH(RAB!C112,'HARGA SATUAN'!$C$7:$C$1495,0),0)),"",OFFSET('HARGA SATUAN'!$E$6,MATCH(RAB!C112,'HARGA SATUAN'!$C$7:$C$1495,0),0)))</f>
        <v>Unit</v>
      </c>
      <c r="F112" s="451">
        <f>F107*1</f>
        <v>1</v>
      </c>
      <c r="G112" s="307">
        <f ca="1">IF(ISERROR(OFFSET('HARGA SATUAN'!$I$6,MATCH(RAB!C112,'HARGA SATUAN'!$C$7:$C$1495,0),0)),0,OFFSET('HARGA SATUAN'!$I$6,MATCH(RAB!C112,'HARGA SATUAN'!$C$7:$C$1495,0),0))</f>
        <v>56400</v>
      </c>
      <c r="H112" s="308">
        <f t="shared" ca="1" si="17"/>
        <v>0</v>
      </c>
      <c r="I112" s="308">
        <f t="shared" ca="1" si="18"/>
        <v>0</v>
      </c>
      <c r="J112" s="308">
        <f t="shared" ca="1" si="19"/>
        <v>56400</v>
      </c>
      <c r="K112" s="309">
        <f t="shared" ca="1" si="20"/>
        <v>56400</v>
      </c>
      <c r="L112" s="316"/>
      <c r="M112" s="289" t="str">
        <f t="shared" ca="1" si="16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318"/>
      <c r="C113" s="319"/>
      <c r="D113" s="305" t="str">
        <f ca="1">IF(ISERROR(OFFSET('HARGA SATUAN'!$D$6,MATCH(RAB!C113,'HARGA SATUAN'!$C$7:$C$1495,0),0)),"",OFFSET('HARGA SATUAN'!$D$6,MATCH(RAB!C113,'HARGA SATUAN'!$C$7:$C$1495,0),0))</f>
        <v/>
      </c>
      <c r="E113" s="306" t="str">
        <f ca="1">IF(B113="+","Unit",IF(ISERROR(OFFSET('HARGA SATUAN'!$E$6,MATCH(RAB!C113,'HARGA SATUAN'!$C$7:$C$1495,0),0)),"",OFFSET('HARGA SATUAN'!$E$6,MATCH(RAB!C113,'HARGA SATUAN'!$C$7:$C$1495,0),0)))</f>
        <v/>
      </c>
      <c r="F113" s="451"/>
      <c r="G113" s="307">
        <f ca="1">IF(ISERROR(OFFSET('HARGA SATUAN'!$I$6,MATCH(RAB!C113,'HARGA SATUAN'!$C$7:$C$1495,0),0)),0,OFFSET('HARGA SATUAN'!$I$6,MATCH(RAB!C113,'HARGA SATUAN'!$C$7:$C$1495,0),0))</f>
        <v>0</v>
      </c>
      <c r="H113" s="308">
        <f t="shared" ca="1" si="17"/>
        <v>0</v>
      </c>
      <c r="I113" s="308">
        <f t="shared" ca="1" si="18"/>
        <v>0</v>
      </c>
      <c r="J113" s="308">
        <f t="shared" ca="1" si="19"/>
        <v>0</v>
      </c>
      <c r="K113" s="309">
        <f t="shared" ca="1" si="20"/>
        <v>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418" t="s">
        <v>22</v>
      </c>
      <c r="C114" s="421" t="s">
        <v>802</v>
      </c>
      <c r="D114" s="305" t="str">
        <f ca="1">IF(ISERROR(OFFSET('HARGA SATUAN'!$D$6,MATCH(RAB!C114,'HARGA SATUAN'!$C$7:$C$1495,0),0)),"",OFFSET('HARGA SATUAN'!$D$6,MATCH(RAB!C114,'HARGA SATUAN'!$C$7:$C$1495,0),0))</f>
        <v/>
      </c>
      <c r="E114" s="306">
        <f ca="1">IF(B114="+","Unit",IF(ISERROR(OFFSET('HARGA SATUAN'!$E$6,MATCH(RAB!C114,'HARGA SATUAN'!$C$7:$C$1495,0),0)),"",OFFSET('HARGA SATUAN'!$E$6,MATCH(RAB!C114,'HARGA SATUAN'!$C$7:$C$1495,0),0)))</f>
        <v>0</v>
      </c>
      <c r="F114" s="451"/>
      <c r="G114" s="307">
        <f ca="1">IF(ISERROR(OFFSET('HARGA SATUAN'!$I$6,MATCH(RAB!C114,'HARGA SATUAN'!$C$7:$C$1495,0),0)),0,OFFSET('HARGA SATUAN'!$I$6,MATCH(RAB!C114,'HARGA SATUAN'!$C$7:$C$1495,0),0))</f>
        <v>0</v>
      </c>
      <c r="H114" s="308">
        <f t="shared" ca="1" si="17"/>
        <v>0</v>
      </c>
      <c r="I114" s="308">
        <f t="shared" ca="1" si="18"/>
        <v>0</v>
      </c>
      <c r="J114" s="308">
        <f t="shared" ca="1" si="19"/>
        <v>0</v>
      </c>
      <c r="K114" s="309">
        <f t="shared" ca="1" si="20"/>
        <v>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>
      <c r="B115" s="320">
        <v>1</v>
      </c>
      <c r="C115" s="109" t="s">
        <v>965</v>
      </c>
      <c r="D115" s="305" t="str">
        <f ca="1">IF(ISERROR(OFFSET('HARGA SATUAN'!$D$6,MATCH(RAB!C115,'HARGA SATUAN'!$C$7:$C$1495,0),0)),"",OFFSET('HARGA SATUAN'!$D$6,MATCH(RAB!C115,'HARGA SATUAN'!$C$7:$C$1495,0),0))</f>
        <v>JASA</v>
      </c>
      <c r="E115" s="306" t="str">
        <f ca="1">IF(B115="+","Unit",IF(ISERROR(OFFSET('HARGA SATUAN'!$E$6,MATCH(RAB!C115,'HARGA SATUAN'!$C$7:$C$1495,0),0)),"",OFFSET('HARGA SATUAN'!$E$6,MATCH(RAB!C115,'HARGA SATUAN'!$C$7:$C$1495,0),0)))</f>
        <v>Unit</v>
      </c>
      <c r="F115" s="315">
        <v>1</v>
      </c>
      <c r="G115" s="307">
        <f ca="1">IF(ISERROR(OFFSET('HARGA SATUAN'!$I$6,MATCH(RAB!C115,'HARGA SATUAN'!$C$7:$C$1495,0),0)),0,OFFSET('HARGA SATUAN'!$I$6,MATCH(RAB!C115,'HARGA SATUAN'!$C$7:$C$1495,0),0))</f>
        <v>1771980</v>
      </c>
      <c r="H115" s="308">
        <f t="shared" ca="1" si="17"/>
        <v>0</v>
      </c>
      <c r="I115" s="308">
        <f t="shared" ca="1" si="18"/>
        <v>0</v>
      </c>
      <c r="J115" s="308">
        <f t="shared" ca="1" si="19"/>
        <v>1771980</v>
      </c>
      <c r="K115" s="309">
        <f t="shared" ca="1" si="20"/>
        <v>1771980</v>
      </c>
      <c r="M115" s="289" t="str">
        <f ca="1">IF(AND(F115&gt;0,F112=0),"",IF(AND(ISBLANK(F115)=FALSE,K115=0),"WARNING",""))</f>
        <v/>
      </c>
    </row>
    <row r="116" spans="1:22">
      <c r="B116" s="321"/>
      <c r="C116" s="322" t="s">
        <v>475</v>
      </c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/>
      </c>
      <c r="F116" s="315"/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ca="1">IF(OR(D116="MDU",D116="MDU-KD"),(IF($O$3="RAB NON MDU","PLN KD",G116*F116)),0)</f>
        <v>0</v>
      </c>
      <c r="I116" s="308">
        <f ca="1">IF(D116="HDW",G116*F116,0)</f>
        <v>0</v>
      </c>
      <c r="J116" s="308">
        <f ca="1">IF(D116="JASA",G116*F116,0)</f>
        <v>0</v>
      </c>
      <c r="K116" s="309">
        <f ca="1">SUM(H116:J116)</f>
        <v>0</v>
      </c>
      <c r="M116" s="289" t="e">
        <f>IF(AND(F116&gt;0,#REF!=0),"",IF(AND(ISBLANK(F116)=FALSE,K116=0),"WARNING",""))</f>
        <v>#REF!</v>
      </c>
    </row>
    <row r="117" spans="1:22">
      <c r="B117" s="324">
        <v>1</v>
      </c>
      <c r="C117" s="325" t="s">
        <v>1091</v>
      </c>
      <c r="D117" s="326" t="str">
        <f ca="1">IF(ISERROR(OFFSET('HARGA SATUAN'!$D$6,MATCH(RAB!C117,'HARGA SATUAN'!$C$7:$C$1495,0),0)),"",OFFSET('HARGA SATUAN'!$D$6,MATCH(RAB!C117,'HARGA SATUAN'!$C$7:$C$1495,0),0))</f>
        <v>JASA</v>
      </c>
      <c r="E117" s="327" t="str">
        <f ca="1">IF(ISERROR(OFFSET('HARGA SATUAN'!$E$6,MATCH(RAB!C117,'HARGA SATUAN'!$C$7:$C$1495,0),0)),"",OFFSET('HARGA SATUAN'!$E$6,MATCH(RAB!C117,'HARGA SATUAN'!$C$7:$C$1495,0),0))</f>
        <v>Lot</v>
      </c>
      <c r="F117" s="328">
        <v>1</v>
      </c>
      <c r="G117" s="329">
        <f ca="1">IF(ISERROR(OFFSET('HARGA SATUAN'!$I$6,MATCH(RAB!C117,'HARGA SATUAN'!$C$7:$C$1495,0),0)),0,OFFSET('HARGA SATUAN'!$I$6,MATCH(RAB!C117,'HARGA SATUAN'!$C$7:$C$1495,0),0))</f>
        <v>2.5000000000000001E-2</v>
      </c>
      <c r="H117" s="330">
        <f ca="1">SUM(H14:H116)*G117</f>
        <v>2574896.25</v>
      </c>
      <c r="I117" s="330">
        <f ca="1">SUM(I14:I116)*G117</f>
        <v>212556.72500000001</v>
      </c>
      <c r="J117" s="330">
        <f ca="1">SUM(J14:J116)*G117</f>
        <v>154958.66666666666</v>
      </c>
      <c r="K117" s="330">
        <f ca="1">SUM(K14:K116)*G117</f>
        <v>2942411.6416666671</v>
      </c>
      <c r="M117" s="289" t="str">
        <f>IF(AND(F117&gt;0,F116=0),"",IF(AND(ISBLANK(F117)=FALSE,K117=0),"WARNING",""))</f>
        <v/>
      </c>
    </row>
    <row r="118" spans="1:22">
      <c r="B118" s="331"/>
      <c r="C118" s="332"/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IF(ISERROR(OFFSET('HARGA SATUAN'!$E$6,MATCH(RAB!C118,'HARGA SATUAN'!$C$7:$C$1495,0),0)),"",OFFSET('HARGA SATUAN'!$E$6,MATCH(RAB!C118,'HARGA SATUAN'!$C$7:$C$1495,0),0))</f>
        <v/>
      </c>
      <c r="F118" s="323"/>
      <c r="G118" s="307" t="str">
        <f ca="1">IF(ISERROR(OFFSET('HARGA SATUAN'!$I$6,MATCH(RAB!C118,'HARGA SATUAN'!$C$7:$C$1495,0),0)),"",OFFSET('HARGA SATUAN'!$I$6,MATCH(RAB!C118,'HARGA SATUAN'!$C$7:$C$1495,0),0))</f>
        <v/>
      </c>
      <c r="H118" s="308">
        <f ca="1">IF(OR(D118="MDU",D118="MDU-KD"),IF(G118="PLN",0,G118*F118),0)</f>
        <v>0</v>
      </c>
      <c r="I118" s="308">
        <f ca="1">IF(D118="HDW",IF(G118="PLN",0,G118*F118),0)</f>
        <v>0</v>
      </c>
      <c r="J118" s="308">
        <f ca="1">IF(D118="JASA",IF(G118="PLN",0,G118*F118),0)</f>
        <v>0</v>
      </c>
      <c r="K118" s="309">
        <f ca="1">SUM(H118:J118)</f>
        <v>0</v>
      </c>
    </row>
    <row r="119" spans="1:22" ht="15.75" thickBot="1">
      <c r="B119" s="333"/>
      <c r="C119" s="334"/>
      <c r="D119" s="335"/>
      <c r="E119" s="336"/>
      <c r="F119" s="336"/>
      <c r="G119" s="336"/>
      <c r="H119" s="337"/>
      <c r="I119" s="337"/>
      <c r="J119" s="337"/>
      <c r="K119" s="338"/>
    </row>
    <row r="120" spans="1:22">
      <c r="B120" s="339"/>
      <c r="C120" s="646" t="s">
        <v>1008</v>
      </c>
      <c r="D120" s="646"/>
      <c r="E120" s="646"/>
      <c r="F120" s="646"/>
      <c r="G120" s="340" t="s">
        <v>9</v>
      </c>
      <c r="H120" s="341">
        <f ca="1">SUM(H14:H118)</f>
        <v>105570746.25</v>
      </c>
      <c r="I120" s="341">
        <f ca="1">SUM(I14:I118)</f>
        <v>8714825.7249999996</v>
      </c>
      <c r="J120" s="341">
        <f ca="1">SUM(J14:J118)</f>
        <v>6353305.333333333</v>
      </c>
      <c r="K120" s="341">
        <f ca="1">SUM(K14:K118)</f>
        <v>120638877.30833334</v>
      </c>
    </row>
    <row r="121" spans="1:22">
      <c r="B121" s="342"/>
      <c r="C121" s="629" t="s">
        <v>1455</v>
      </c>
      <c r="D121" s="629"/>
      <c r="E121" s="629"/>
      <c r="F121" s="629"/>
      <c r="G121" s="343" t="s">
        <v>9</v>
      </c>
      <c r="H121" s="344">
        <f ca="1">H120*0.11</f>
        <v>11612782.0875</v>
      </c>
      <c r="I121" s="344">
        <f ca="1">I120*0.11</f>
        <v>958630.82974999992</v>
      </c>
      <c r="J121" s="344">
        <f ca="1">J120*0.11</f>
        <v>698863.58666666667</v>
      </c>
      <c r="K121" s="344">
        <f ca="1">K120*0.11</f>
        <v>13270276.503916668</v>
      </c>
    </row>
    <row r="122" spans="1:22" ht="15.75" thickBot="1">
      <c r="B122" s="342"/>
      <c r="C122" s="626" t="s">
        <v>463</v>
      </c>
      <c r="D122" s="626"/>
      <c r="E122" s="626"/>
      <c r="F122" s="626"/>
      <c r="G122" s="345" t="s">
        <v>9</v>
      </c>
      <c r="H122" s="346">
        <f ca="1">SUM(H120:H121)</f>
        <v>117183528.33750001</v>
      </c>
      <c r="I122" s="346">
        <f ca="1">SUM(I120:I121)</f>
        <v>9673456.5547499992</v>
      </c>
      <c r="J122" s="345">
        <f ca="1">SUM(J120:J121)</f>
        <v>7052168.9199999999</v>
      </c>
      <c r="K122" s="345">
        <f ca="1">SUM(K120:K121)</f>
        <v>133909153.81225</v>
      </c>
      <c r="M122" s="410">
        <v>201265205.30690998</v>
      </c>
    </row>
    <row r="123" spans="1:22">
      <c r="B123" s="630" t="str">
        <f ca="1">"Terbilang : "&amp;PROPER(IF(K122=0,"nol",IF(K122&lt;0,"minus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IF(--MID(TEXT(ABS(K122),"000000000000000"),1,3)=0,"",MID(TEXT(ABS(K122),"000000000000000"),1,1)&amp;" ratus "&amp;MID(TEXT(ABS(K122),"000000000000000"),2,1)&amp;" puluh "&amp;MID(TEXT(ABS(K122),"000000000000000"),3,1)&amp;" trilyun ")&amp; IF(--MID(TEXT(ABS(K122),"000000000000000"),4,3)=0,"",MID(TEXT(ABS(K122),"000000000000000"),4,1)&amp;" ratus "&amp;MID(TEXT(ABS(K122),"000000000000000"),5,1)&amp;" puluh "&amp;MID(TEXT(ABS(K122),"000000000000000"),6,1)&amp;" milyar ")&amp; IF(--MID(TEXT(ABS(K122),"000000000000000"),7,3)=0,"",MID(TEXT(ABS(K122),"000000000000000"),7,1)&amp;" ratus "&amp;MID(TEXT(ABS(K122),"000000000000000"),8,1)&amp;" puluh "&amp;MID(TEXT(ABS(K122),"000000000000000"),9,1)&amp;" juta ")&amp; IF(--MID(TEXT(ABS(K122),"000000000000000"),10,3)=0,"",IF(--MID(TEXT(ABS(K122),"000000000000000"),10,3)=1,"*",MID(TEXT(ABS(K122),"000000000000000"),10,1)&amp;" ratus "&amp;MID(TEXT(ABS(K122),"000000000000000"),11,1)&amp;" puluh ")&amp;MID(TEXT(ABS(K122),"000000000000000"),12,1)&amp;" ribu ")&amp; IF(--MID(TEXT(ABS(K122),"000000000000000"),13,3)=0,"",MID(TEXT(ABS(K122),"000000000000000"),13,1)&amp;" ratus "&amp;MID(TEXT(ABS(K122),"000000000000000"),14,1)&amp;" puluh "&amp;MID(TEXT(ABS(K122),"000000000000000"),15,1)),1,"satu"),2,"dua"),3,"tiga"),4,"empat"),5,"lima"),6,"enam"),7,"tujuh"),8,"delapan"),9,"sembilan"),"0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Puluh Tiga Juta Sembilan Ratus Sembilan Ribu Seratus Lima Puluh Empat Rupiah</v>
      </c>
      <c r="C123" s="631"/>
      <c r="D123" s="631"/>
      <c r="E123" s="631"/>
      <c r="F123" s="631"/>
      <c r="G123" s="631"/>
      <c r="H123" s="631"/>
      <c r="I123" s="631"/>
      <c r="J123" s="631"/>
      <c r="K123" s="632"/>
    </row>
    <row r="124" spans="1:22">
      <c r="B124" s="633"/>
      <c r="C124" s="634"/>
      <c r="D124" s="634"/>
      <c r="E124" s="634"/>
      <c r="F124" s="634"/>
      <c r="G124" s="634"/>
      <c r="H124" s="634"/>
      <c r="I124" s="634"/>
      <c r="J124" s="634"/>
      <c r="K124" s="635"/>
    </row>
    <row r="125" spans="1:22" ht="15.75" thickBot="1">
      <c r="B125" s="347" t="str">
        <f>"Harga yang dipakai adalah "&amp;'HARGA SATUAN'!I5&amp;""</f>
        <v>Harga yang dipakai adalah RAB HSS 2023</v>
      </c>
      <c r="C125" s="348"/>
      <c r="D125" s="349"/>
      <c r="E125" s="349"/>
      <c r="F125" s="349"/>
      <c r="G125" s="350"/>
      <c r="H125" s="350"/>
      <c r="I125" s="350"/>
      <c r="J125" s="350"/>
      <c r="K125" s="351"/>
    </row>
    <row r="126" spans="1:22">
      <c r="C126" s="352"/>
      <c r="E126" s="354"/>
      <c r="F126" s="354"/>
      <c r="G126" s="354"/>
    </row>
    <row r="127" spans="1:22">
      <c r="C127" s="284"/>
      <c r="E127" s="354"/>
      <c r="F127" s="354"/>
      <c r="G127" s="354"/>
      <c r="H127" s="636"/>
      <c r="I127" s="636"/>
      <c r="J127" s="637"/>
      <c r="K127" s="637"/>
    </row>
    <row r="128" spans="1:22">
      <c r="C128" s="284"/>
      <c r="E128" s="354"/>
      <c r="F128" s="354"/>
      <c r="G128" s="354"/>
      <c r="H128" s="355"/>
      <c r="I128" s="625" t="s">
        <v>1616</v>
      </c>
      <c r="J128" s="625"/>
      <c r="K128" s="625"/>
    </row>
    <row r="129" spans="3:11">
      <c r="C129" s="284"/>
      <c r="E129" s="354"/>
      <c r="F129" s="354"/>
      <c r="G129" s="354"/>
      <c r="H129" s="355"/>
      <c r="I129" s="625" t="s">
        <v>1611</v>
      </c>
      <c r="J129" s="625"/>
      <c r="K129" s="625"/>
    </row>
    <row r="130" spans="3:11">
      <c r="C130" s="284"/>
      <c r="E130" s="354"/>
      <c r="F130" s="354"/>
      <c r="G130" s="354"/>
      <c r="H130" s="356"/>
      <c r="I130" s="357"/>
      <c r="J130" s="357"/>
      <c r="K130" s="357"/>
    </row>
    <row r="131" spans="3:11">
      <c r="C131" s="284"/>
      <c r="E131" s="354"/>
      <c r="F131" s="354"/>
      <c r="G131" s="354"/>
      <c r="H131" s="356"/>
      <c r="I131" s="356"/>
      <c r="J131" s="356"/>
      <c r="K131" s="356"/>
    </row>
    <row r="132" spans="3:11">
      <c r="C132" s="284"/>
      <c r="E132" s="354"/>
      <c r="F132" s="354"/>
      <c r="G132" s="354"/>
      <c r="H132" s="356"/>
      <c r="I132" s="356"/>
      <c r="J132" s="356"/>
      <c r="K132" s="356"/>
    </row>
    <row r="133" spans="3:11">
      <c r="C133" s="284"/>
      <c r="E133" s="354"/>
      <c r="F133" s="354"/>
      <c r="G133" s="354"/>
      <c r="H133" s="356"/>
      <c r="I133" s="356"/>
      <c r="J133" s="356"/>
      <c r="K133" s="356"/>
    </row>
    <row r="134" spans="3:11">
      <c r="C134" s="284"/>
      <c r="E134" s="354"/>
      <c r="F134" s="354"/>
      <c r="G134" s="354"/>
      <c r="H134" s="358"/>
      <c r="I134" s="625" t="s">
        <v>1612</v>
      </c>
      <c r="J134" s="625"/>
      <c r="K134" s="625"/>
    </row>
    <row r="135" spans="3:11">
      <c r="C135" s="352"/>
      <c r="E135" s="354"/>
      <c r="F135" s="354"/>
      <c r="G135" s="354"/>
      <c r="H135" s="356"/>
      <c r="I135" s="356"/>
      <c r="J135" s="356"/>
      <c r="K135" s="356"/>
    </row>
    <row r="136" spans="3:11">
      <c r="C136" s="352"/>
      <c r="E136" s="354"/>
      <c r="F136" s="354"/>
      <c r="G136" s="354"/>
      <c r="H136" s="356"/>
      <c r="I136" s="356"/>
      <c r="J136" s="356"/>
      <c r="K136" s="356"/>
    </row>
    <row r="137" spans="3:11">
      <c r="C137" s="352"/>
      <c r="E137" s="354"/>
      <c r="F137" s="354"/>
      <c r="G137" s="354"/>
      <c r="H137" s="356"/>
      <c r="I137" s="356"/>
      <c r="J137" s="356"/>
      <c r="K137" s="356"/>
    </row>
  </sheetData>
  <sheetProtection sort="0" autoFilter="0"/>
  <protectedRanges>
    <protectedRange sqref="B99:C99 B15 B16:C16 B98 B74:C94 B19:C20 B22:C37 B21 B38:B39 B17:B18 B97:C97 B95:B96 B40:C71" name="Range1_6_1"/>
    <protectedRange sqref="C98" name="Range1_6_1_10"/>
    <protectedRange sqref="B106:C114 B100:B105" name="Range1_6_1_11"/>
    <protectedRange sqref="B72:C73" name="Range1_6_1_15"/>
    <protectedRange sqref="C100:C103 C105" name="Range1_6_1_18"/>
    <protectedRange sqref="C21" name="Range1_1_3_2"/>
    <protectedRange sqref="C38:C39" name="Range1_1_3_4"/>
    <protectedRange sqref="C18" name="Range1_1_3_6"/>
    <protectedRange sqref="C104" name="Range1_1_3_8"/>
    <protectedRange sqref="C96" name="Range1_1_3"/>
    <protectedRange sqref="C95" name="Range1_1_3_3"/>
    <protectedRange sqref="C17" name="Range1_1_3_10"/>
    <protectedRange sqref="C115" name="Range1_1_3_11"/>
  </protectedRanges>
  <mergeCells count="22">
    <mergeCell ref="O3:P4"/>
    <mergeCell ref="B4:K4"/>
    <mergeCell ref="C120:F120"/>
    <mergeCell ref="B11:B13"/>
    <mergeCell ref="C11:C13"/>
    <mergeCell ref="D11:D13"/>
    <mergeCell ref="E11:E13"/>
    <mergeCell ref="F11:F13"/>
    <mergeCell ref="G11:G13"/>
    <mergeCell ref="I12:I13"/>
    <mergeCell ref="I129:K129"/>
    <mergeCell ref="I134:K134"/>
    <mergeCell ref="C122:F122"/>
    <mergeCell ref="G6:K6"/>
    <mergeCell ref="I128:K128"/>
    <mergeCell ref="C121:F121"/>
    <mergeCell ref="B123:K124"/>
    <mergeCell ref="H127:K127"/>
    <mergeCell ref="H11:K11"/>
    <mergeCell ref="H12:H13"/>
    <mergeCell ref="J12:J13"/>
    <mergeCell ref="K12:K13"/>
  </mergeCells>
  <phoneticPr fontId="135" type="noConversion"/>
  <conditionalFormatting sqref="C15">
    <cfRule type="cellIs" dxfId="18" priority="122" operator="equal">
      <formula>0</formula>
    </cfRule>
  </conditionalFormatting>
  <conditionalFormatting sqref="C18">
    <cfRule type="cellIs" dxfId="17" priority="28" operator="equal">
      <formula>0</formula>
    </cfRule>
  </conditionalFormatting>
  <conditionalFormatting sqref="C101">
    <cfRule type="cellIs" dxfId="16" priority="13" operator="equal">
      <formula>0</formula>
    </cfRule>
  </conditionalFormatting>
  <conditionalFormatting sqref="C104">
    <cfRule type="cellIs" dxfId="15" priority="11" operator="equal">
      <formula>0</formula>
    </cfRule>
  </conditionalFormatting>
  <conditionalFormatting sqref="E1:E3 E5:E13 H12:I12 O13 E117:G117 H117:K119 E118:H118 E119:F119 E52:K116 S14:V114">
    <cfRule type="cellIs" dxfId="13" priority="1166" stopIfTrue="1" operator="equal">
      <formula>0</formula>
    </cfRule>
  </conditionalFormatting>
  <conditionalFormatting sqref="E14:K19 E39:K39 E20:E38 G20:K38 E46:K46 E40:E45 G40:K45 E47:E51 G47:K51">
    <cfRule type="cellIs" dxfId="12" priority="12" stopIfTrue="1" operator="equal">
      <formula>0</formula>
    </cfRule>
  </conditionalFormatting>
  <conditionalFormatting sqref="G1:G13">
    <cfRule type="cellIs" dxfId="11" priority="91" stopIfTrue="1" operator="equal">
      <formula>0</formula>
    </cfRule>
  </conditionalFormatting>
  <conditionalFormatting sqref="G118:G65584 E123:E65584">
    <cfRule type="cellIs" dxfId="10" priority="300" stopIfTrue="1" operator="equal">
      <formula>0</formula>
    </cfRule>
  </conditionalFormatting>
  <conditionalFormatting sqref="C52 C60">
    <cfRule type="cellIs" dxfId="9" priority="33" stopIfTrue="1" operator="equal">
      <formula>0</formula>
    </cfRule>
  </conditionalFormatting>
  <conditionalFormatting sqref="C96">
    <cfRule type="cellIs" dxfId="8" priority="9" operator="equal">
      <formula>0</formula>
    </cfRule>
  </conditionalFormatting>
  <conditionalFormatting sqref="C95">
    <cfRule type="cellIs" dxfId="7" priority="8" operator="equal">
      <formula>0</formula>
    </cfRule>
  </conditionalFormatting>
  <conditionalFormatting sqref="C17">
    <cfRule type="cellIs" dxfId="6" priority="7" operator="equal">
      <formula>0</formula>
    </cfRule>
  </conditionalFormatting>
  <conditionalFormatting sqref="C21">
    <cfRule type="cellIs" dxfId="5" priority="6" operator="equal">
      <formula>0</formula>
    </cfRule>
  </conditionalFormatting>
  <conditionalFormatting sqref="C25">
    <cfRule type="cellIs" dxfId="4" priority="5" operator="equal">
      <formula>0</formula>
    </cfRule>
  </conditionalFormatting>
  <conditionalFormatting sqref="F20:F38">
    <cfRule type="cellIs" dxfId="3" priority="4" stopIfTrue="1" operator="equal">
      <formula>0</formula>
    </cfRule>
  </conditionalFormatting>
  <conditionalFormatting sqref="F40:F45">
    <cfRule type="cellIs" dxfId="2" priority="3" stopIfTrue="1" operator="equal">
      <formula>0</formula>
    </cfRule>
  </conditionalFormatting>
  <conditionalFormatting sqref="F47:F51">
    <cfRule type="cellIs" dxfId="1" priority="2" stopIfTrue="1" operator="equal">
      <formula>0</formula>
    </cfRule>
  </conditionalFormatting>
  <conditionalFormatting sqref="C115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07:F114 F98 C22:C24 F65:F93 F16:F63 H14:K11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11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abSelected="1" topLeftCell="A13" zoomScale="80" zoomScaleNormal="80" zoomScaleSheetLayoutView="100" workbookViewId="0">
      <selection activeCell="S37" sqref="S37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463"/>
      <c r="D2" s="464"/>
      <c r="E2" s="464"/>
      <c r="F2" s="464"/>
      <c r="G2" s="464"/>
      <c r="H2" s="464"/>
      <c r="I2" s="464"/>
      <c r="J2" s="464"/>
      <c r="K2" s="464"/>
      <c r="L2" s="464"/>
      <c r="M2" s="464"/>
      <c r="N2" s="464"/>
      <c r="O2" s="464"/>
      <c r="P2" s="464"/>
      <c r="Q2" s="464"/>
      <c r="R2" s="464"/>
      <c r="S2" s="464"/>
      <c r="T2" s="464"/>
      <c r="U2" s="464"/>
      <c r="V2" s="464"/>
      <c r="W2" s="655" t="s">
        <v>1438</v>
      </c>
      <c r="X2" s="656"/>
      <c r="Y2" s="656"/>
      <c r="Z2" s="656"/>
      <c r="AA2" s="656"/>
      <c r="AB2" s="656"/>
      <c r="AC2" s="656"/>
      <c r="AD2" s="657"/>
    </row>
    <row r="3" spans="3:30">
      <c r="C3" s="465"/>
      <c r="W3" s="658"/>
      <c r="X3" s="659"/>
      <c r="Y3" s="659"/>
      <c r="Z3" s="659"/>
      <c r="AA3" s="659"/>
      <c r="AB3" s="659"/>
      <c r="AC3" s="659"/>
      <c r="AD3" s="660"/>
    </row>
    <row r="4" spans="3:30">
      <c r="C4" s="465"/>
      <c r="G4" s="466" t="s">
        <v>1640</v>
      </c>
      <c r="W4" s="467" t="s">
        <v>987</v>
      </c>
      <c r="AD4" s="468"/>
    </row>
    <row r="5" spans="3:30">
      <c r="C5" s="465"/>
      <c r="W5" s="469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465"/>
      <c r="W6" s="469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465"/>
      <c r="W7" s="469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465"/>
      <c r="W8" s="469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465"/>
      <c r="W9" s="469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465"/>
      <c r="W10" s="469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465"/>
      <c r="W11" s="469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465"/>
      <c r="W12" s="469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465"/>
      <c r="W13" s="469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465"/>
      <c r="W14" s="469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465"/>
      <c r="W15" s="469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465"/>
      <c r="W16" s="469">
        <v>11</v>
      </c>
      <c r="X16" s="661" t="s">
        <v>1454</v>
      </c>
      <c r="Y16" s="661"/>
      <c r="Z16" s="661"/>
      <c r="AA16" s="661"/>
      <c r="AB16" s="661"/>
      <c r="AC16" s="661"/>
      <c r="AD16" s="662"/>
    </row>
    <row r="17" spans="3:30">
      <c r="C17" s="465"/>
      <c r="S17" s="471"/>
      <c r="W17" s="469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472"/>
      <c r="D18" s="473"/>
      <c r="E18" s="473"/>
      <c r="W18" s="469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465"/>
      <c r="W19" s="474"/>
      <c r="X19" s="671"/>
      <c r="Y19" s="671"/>
      <c r="Z19" s="671"/>
      <c r="AA19" s="671"/>
      <c r="AB19" s="671"/>
      <c r="AC19" s="671"/>
      <c r="AD19" s="672"/>
    </row>
    <row r="20" spans="3:30">
      <c r="C20" s="465"/>
      <c r="Q20" s="475"/>
      <c r="W20" s="673" t="s">
        <v>992</v>
      </c>
      <c r="X20" s="674"/>
      <c r="Y20" s="674"/>
      <c r="Z20" s="674"/>
      <c r="AA20" s="674"/>
      <c r="AB20" s="674"/>
      <c r="AC20" s="674"/>
      <c r="AD20" s="675"/>
    </row>
    <row r="21" spans="3:30">
      <c r="C21" s="465"/>
      <c r="W21" s="676" t="s">
        <v>985</v>
      </c>
      <c r="X21" s="677"/>
      <c r="Y21" s="677"/>
      <c r="Z21" s="678"/>
      <c r="AA21" s="679" t="s">
        <v>986</v>
      </c>
      <c r="AB21" s="680"/>
      <c r="AC21" s="680"/>
      <c r="AD21" s="681"/>
    </row>
    <row r="22" spans="3:30">
      <c r="C22" s="465"/>
      <c r="S22" s="476"/>
      <c r="W22" s="663" t="s">
        <v>1630</v>
      </c>
      <c r="X22" s="664"/>
      <c r="Y22" s="477" t="s">
        <v>1617</v>
      </c>
      <c r="Z22" s="478">
        <v>1</v>
      </c>
      <c r="AA22" s="665"/>
      <c r="AB22" s="666"/>
      <c r="AC22" s="479"/>
      <c r="AD22" s="480"/>
    </row>
    <row r="23" spans="3:30">
      <c r="C23" s="465"/>
      <c r="W23" s="663" t="s">
        <v>1618</v>
      </c>
      <c r="X23" s="664"/>
      <c r="Y23" s="477" t="s">
        <v>1617</v>
      </c>
      <c r="Z23" s="478">
        <v>1</v>
      </c>
      <c r="AA23" s="667"/>
      <c r="AB23" s="668"/>
      <c r="AC23" s="479"/>
      <c r="AD23" s="480"/>
    </row>
    <row r="24" spans="3:30">
      <c r="C24" s="465"/>
      <c r="W24" s="663" t="s">
        <v>1636</v>
      </c>
      <c r="X24" s="664"/>
      <c r="Y24" s="477" t="s">
        <v>1626</v>
      </c>
      <c r="Z24" s="478">
        <v>1</v>
      </c>
      <c r="AA24" s="669"/>
      <c r="AB24" s="670"/>
      <c r="AC24" s="479"/>
      <c r="AD24" s="480"/>
    </row>
    <row r="25" spans="3:30">
      <c r="C25" s="465"/>
      <c r="W25" s="663" t="s">
        <v>1627</v>
      </c>
      <c r="X25" s="664"/>
      <c r="Y25" s="477" t="s">
        <v>1617</v>
      </c>
      <c r="Z25" s="478">
        <v>1</v>
      </c>
      <c r="AA25" s="667"/>
      <c r="AB25" s="668"/>
      <c r="AC25" s="479"/>
      <c r="AD25" s="480"/>
    </row>
    <row r="26" spans="3:30">
      <c r="C26" s="465"/>
      <c r="W26" s="684" t="s">
        <v>1637</v>
      </c>
      <c r="X26" s="685"/>
      <c r="Y26" s="477" t="s">
        <v>1617</v>
      </c>
      <c r="Z26" s="478">
        <v>2</v>
      </c>
      <c r="AA26" s="667"/>
      <c r="AB26" s="668"/>
      <c r="AC26" s="479"/>
      <c r="AD26" s="480"/>
    </row>
    <row r="27" spans="3:30">
      <c r="C27" s="465"/>
      <c r="W27" s="684" t="s">
        <v>1638</v>
      </c>
      <c r="X27" s="685"/>
      <c r="Y27" s="477" t="s">
        <v>1617</v>
      </c>
      <c r="Z27" s="478">
        <v>1</v>
      </c>
      <c r="AA27" s="667"/>
      <c r="AB27" s="668"/>
      <c r="AC27" s="479"/>
      <c r="AD27" s="480"/>
    </row>
    <row r="28" spans="3:30">
      <c r="C28" s="465"/>
      <c r="W28" s="682" t="s">
        <v>1639</v>
      </c>
      <c r="X28" s="683"/>
      <c r="Y28" s="477" t="s">
        <v>1617</v>
      </c>
      <c r="Z28" s="478">
        <v>1</v>
      </c>
      <c r="AA28" s="667"/>
      <c r="AB28" s="668"/>
      <c r="AC28" s="479"/>
      <c r="AD28" s="480"/>
    </row>
    <row r="29" spans="3:30">
      <c r="C29" s="465"/>
      <c r="W29" s="684" t="s">
        <v>1631</v>
      </c>
      <c r="X29" s="685"/>
      <c r="Y29" s="477" t="s">
        <v>1617</v>
      </c>
      <c r="Z29" s="478">
        <v>1</v>
      </c>
      <c r="AA29" s="667"/>
      <c r="AB29" s="668"/>
      <c r="AC29" s="479"/>
      <c r="AD29" s="480"/>
    </row>
    <row r="30" spans="3:30" ht="11.25" customHeight="1">
      <c r="C30" s="465"/>
      <c r="W30" s="682" t="s">
        <v>1632</v>
      </c>
      <c r="X30" s="683"/>
      <c r="Y30" s="477" t="s">
        <v>1617</v>
      </c>
      <c r="Z30" s="478">
        <v>1</v>
      </c>
      <c r="AA30" s="667"/>
      <c r="AB30" s="668"/>
      <c r="AC30" s="479"/>
      <c r="AD30" s="480"/>
    </row>
    <row r="31" spans="3:30">
      <c r="C31" s="465"/>
      <c r="U31" s="485"/>
      <c r="W31" s="483" t="s">
        <v>1633</v>
      </c>
      <c r="X31" s="484"/>
      <c r="Y31" s="477" t="s">
        <v>1634</v>
      </c>
      <c r="Z31" s="478">
        <v>100</v>
      </c>
      <c r="AA31" s="667"/>
      <c r="AB31" s="668"/>
      <c r="AC31" s="479"/>
      <c r="AD31" s="480"/>
    </row>
    <row r="32" spans="3:30">
      <c r="C32" s="465"/>
      <c r="U32" s="485"/>
      <c r="W32" s="481"/>
      <c r="X32" s="482"/>
      <c r="Y32" s="477"/>
      <c r="Z32" s="478"/>
      <c r="AA32" s="667"/>
      <c r="AB32" s="668"/>
      <c r="AC32" s="479"/>
      <c r="AD32" s="480"/>
    </row>
    <row r="33" spans="3:30">
      <c r="C33" s="465"/>
      <c r="W33" s="682"/>
      <c r="X33" s="683"/>
      <c r="Y33" s="477"/>
      <c r="Z33" s="478"/>
      <c r="AA33" s="667"/>
      <c r="AB33" s="668"/>
      <c r="AC33" s="479"/>
      <c r="AD33" s="480"/>
    </row>
    <row r="34" spans="3:30">
      <c r="C34" s="465"/>
      <c r="Q34" s="462" t="s">
        <v>1607</v>
      </c>
      <c r="W34" s="682"/>
      <c r="X34" s="683"/>
      <c r="Y34" s="477"/>
      <c r="Z34" s="478"/>
      <c r="AA34" s="667"/>
      <c r="AB34" s="668"/>
      <c r="AC34" s="479"/>
      <c r="AD34" s="480"/>
    </row>
    <row r="35" spans="3:30">
      <c r="C35" s="465"/>
      <c r="W35" s="682"/>
      <c r="X35" s="683"/>
      <c r="Y35" s="477"/>
      <c r="Z35" s="478"/>
      <c r="AA35" s="667"/>
      <c r="AB35" s="668"/>
      <c r="AC35" s="479"/>
      <c r="AD35" s="480"/>
    </row>
    <row r="36" spans="3:30">
      <c r="C36" s="465"/>
      <c r="W36" s="682"/>
      <c r="X36" s="683"/>
      <c r="Y36" s="477"/>
      <c r="Z36" s="478"/>
      <c r="AA36" s="667"/>
      <c r="AB36" s="668"/>
      <c r="AC36" s="479"/>
      <c r="AD36" s="480"/>
    </row>
    <row r="37" spans="3:30" ht="12.75" customHeight="1">
      <c r="C37" s="465"/>
      <c r="W37" s="483"/>
      <c r="X37" s="486"/>
      <c r="Y37" s="477"/>
      <c r="Z37" s="478"/>
      <c r="AA37" s="686"/>
      <c r="AB37" s="687"/>
      <c r="AC37" s="479"/>
      <c r="AD37" s="487"/>
    </row>
    <row r="38" spans="3:30" ht="12.75" customHeight="1">
      <c r="C38" s="465"/>
      <c r="W38" s="488"/>
      <c r="X38" s="489"/>
      <c r="Y38" s="477"/>
      <c r="Z38" s="490"/>
      <c r="AA38" s="688"/>
      <c r="AB38" s="689"/>
      <c r="AC38" s="479"/>
      <c r="AD38" s="487"/>
    </row>
    <row r="39" spans="3:30" ht="12" customHeight="1">
      <c r="C39" s="465"/>
      <c r="W39" s="488"/>
      <c r="X39" s="489"/>
      <c r="Y39" s="477"/>
      <c r="Z39" s="490"/>
      <c r="AA39" s="693"/>
      <c r="AB39" s="694"/>
      <c r="AC39" s="479"/>
      <c r="AD39" s="487"/>
    </row>
    <row r="40" spans="3:30" ht="12" customHeight="1">
      <c r="C40" s="465"/>
      <c r="W40" s="491"/>
      <c r="X40" s="492"/>
      <c r="Y40" s="493"/>
      <c r="Z40" s="490"/>
      <c r="AA40" s="494"/>
      <c r="AB40" s="495"/>
      <c r="AC40" s="496"/>
      <c r="AD40" s="497"/>
    </row>
    <row r="41" spans="3:30" ht="12" customHeight="1">
      <c r="C41" s="465"/>
      <c r="W41" s="695"/>
      <c r="X41" s="696"/>
      <c r="Y41" s="498"/>
      <c r="Z41" s="499"/>
      <c r="AA41" s="697"/>
      <c r="AB41" s="698"/>
      <c r="AC41" s="496"/>
      <c r="AD41" s="497"/>
    </row>
    <row r="42" spans="3:30" ht="12" customHeight="1">
      <c r="C42" s="465"/>
      <c r="W42" s="699" t="s">
        <v>1624</v>
      </c>
      <c r="X42" s="700"/>
      <c r="Y42" s="700"/>
      <c r="Z42" s="700"/>
      <c r="AA42" s="700"/>
      <c r="AB42" s="700"/>
      <c r="AC42" s="700"/>
      <c r="AD42" s="701"/>
    </row>
    <row r="43" spans="3:30" ht="12" customHeight="1">
      <c r="C43" s="465"/>
      <c r="V43" s="500"/>
      <c r="W43" s="702"/>
      <c r="X43" s="703"/>
      <c r="Y43" s="703"/>
      <c r="Z43" s="703"/>
      <c r="AA43" s="703"/>
      <c r="AB43" s="703"/>
      <c r="AC43" s="703"/>
      <c r="AD43" s="704"/>
    </row>
    <row r="44" spans="3:30">
      <c r="C44" s="501"/>
      <c r="D44" s="502"/>
      <c r="E44" s="502"/>
      <c r="F44" s="502"/>
      <c r="G44" s="502"/>
      <c r="H44" s="502"/>
      <c r="I44" s="502"/>
      <c r="N44" s="502"/>
      <c r="O44" s="502"/>
      <c r="P44" s="502"/>
      <c r="Q44" s="502"/>
      <c r="R44" s="502"/>
      <c r="S44" s="502"/>
      <c r="T44" s="502"/>
      <c r="U44" s="502"/>
      <c r="V44" s="500"/>
      <c r="W44" s="690" t="s">
        <v>11</v>
      </c>
      <c r="X44" s="691"/>
      <c r="Y44" s="661"/>
      <c r="Z44" s="661"/>
      <c r="AA44" s="661"/>
      <c r="AB44" s="661"/>
      <c r="AC44" s="661"/>
      <c r="AD44" s="662"/>
    </row>
    <row r="45" spans="3:30">
      <c r="C45" s="501"/>
      <c r="D45" s="502"/>
      <c r="E45" s="502"/>
      <c r="F45" s="502"/>
      <c r="G45" s="502"/>
      <c r="H45" s="502"/>
      <c r="I45" s="502"/>
      <c r="N45" s="502"/>
      <c r="O45" s="502"/>
      <c r="P45" s="502"/>
      <c r="Q45" s="502"/>
      <c r="R45" s="502"/>
      <c r="S45" s="502"/>
      <c r="T45" s="502"/>
      <c r="U45" s="502"/>
      <c r="V45" s="500"/>
      <c r="W45" s="690" t="s">
        <v>984</v>
      </c>
      <c r="X45" s="691"/>
      <c r="Y45" s="661">
        <v>1</v>
      </c>
      <c r="Z45" s="661"/>
      <c r="AA45" s="661"/>
      <c r="AB45" s="661" t="s">
        <v>12</v>
      </c>
      <c r="AC45" s="661"/>
      <c r="AD45" s="470" t="s">
        <v>13</v>
      </c>
    </row>
    <row r="46" spans="3:30">
      <c r="C46" s="501"/>
      <c r="D46" s="502"/>
      <c r="E46" s="502"/>
      <c r="F46" s="502"/>
      <c r="G46" s="502"/>
      <c r="H46" s="502"/>
      <c r="I46" s="502"/>
      <c r="J46" s="502"/>
      <c r="K46" s="502"/>
      <c r="L46" s="502"/>
      <c r="M46" s="502"/>
      <c r="N46" s="502"/>
      <c r="O46" s="502"/>
      <c r="P46" s="502"/>
      <c r="Q46" s="502"/>
      <c r="R46" s="502"/>
      <c r="S46" s="502"/>
      <c r="T46" s="502"/>
      <c r="U46" s="502"/>
      <c r="V46" s="500"/>
      <c r="W46" s="690" t="s">
        <v>15</v>
      </c>
      <c r="X46" s="691"/>
      <c r="Y46" s="692"/>
      <c r="Z46" s="692"/>
      <c r="AA46" s="692"/>
      <c r="AB46" s="661" t="s">
        <v>16</v>
      </c>
      <c r="AC46" s="661"/>
      <c r="AD46" s="503"/>
    </row>
    <row r="47" spans="3:30">
      <c r="C47" s="501"/>
      <c r="D47" s="502"/>
      <c r="E47" s="502"/>
      <c r="F47" s="502"/>
      <c r="G47" s="502"/>
      <c r="H47" s="502"/>
      <c r="I47" s="502"/>
      <c r="J47" s="502"/>
      <c r="K47" s="502"/>
      <c r="L47" s="502"/>
      <c r="M47" s="502"/>
      <c r="N47" s="502"/>
      <c r="O47" s="502"/>
      <c r="P47" s="502"/>
      <c r="Q47" s="502"/>
      <c r="R47" s="502"/>
      <c r="S47" s="502"/>
      <c r="T47" s="502"/>
      <c r="U47" s="502"/>
      <c r="V47" s="500"/>
      <c r="W47" s="710" t="s">
        <v>17</v>
      </c>
      <c r="X47" s="710"/>
      <c r="Y47" s="710"/>
      <c r="Z47" s="710"/>
      <c r="AA47" s="710"/>
      <c r="AB47" s="710"/>
      <c r="AC47" s="710"/>
      <c r="AD47" s="711"/>
    </row>
    <row r="48" spans="3:30" ht="12.75" customHeight="1">
      <c r="C48" s="501"/>
      <c r="D48" s="502"/>
      <c r="E48" s="502"/>
      <c r="F48" s="502"/>
      <c r="G48" s="502"/>
      <c r="H48" s="502"/>
      <c r="I48" s="502"/>
      <c r="J48" s="502"/>
      <c r="K48" s="502"/>
      <c r="L48" s="502"/>
      <c r="M48" s="502"/>
      <c r="R48" s="502"/>
      <c r="S48" s="502"/>
      <c r="T48" s="502"/>
      <c r="U48" s="502"/>
      <c r="V48" s="500"/>
      <c r="W48" s="712" t="s">
        <v>1641</v>
      </c>
      <c r="X48" s="712"/>
      <c r="Y48" s="712"/>
      <c r="Z48" s="712"/>
      <c r="AA48" s="712"/>
      <c r="AB48" s="712"/>
      <c r="AC48" s="712"/>
      <c r="AD48" s="713"/>
    </row>
    <row r="49" spans="3:30">
      <c r="C49" s="501"/>
      <c r="D49" s="504"/>
      <c r="E49" s="502"/>
      <c r="F49" s="502"/>
      <c r="G49" s="502"/>
      <c r="I49" s="502"/>
      <c r="J49" s="502"/>
      <c r="K49" s="502"/>
      <c r="L49" s="502"/>
      <c r="M49" s="502"/>
      <c r="R49" s="502"/>
      <c r="S49" s="502"/>
      <c r="T49" s="502"/>
      <c r="U49" s="502"/>
      <c r="V49" s="505"/>
      <c r="W49" s="712"/>
      <c r="X49" s="712"/>
      <c r="Y49" s="712"/>
      <c r="Z49" s="712"/>
      <c r="AA49" s="712"/>
      <c r="AB49" s="712"/>
      <c r="AC49" s="712"/>
      <c r="AD49" s="713"/>
    </row>
    <row r="50" spans="3:30">
      <c r="C50" s="501"/>
      <c r="D50" s="506"/>
      <c r="E50" s="506"/>
      <c r="F50" s="506"/>
      <c r="G50" s="506"/>
      <c r="I50" s="502"/>
      <c r="J50" s="502"/>
      <c r="K50" s="502"/>
      <c r="L50" s="502"/>
      <c r="M50" s="502"/>
      <c r="N50" s="502"/>
      <c r="O50" s="502"/>
      <c r="P50" s="502"/>
      <c r="Q50" s="502"/>
      <c r="R50" s="502"/>
      <c r="S50" s="502"/>
      <c r="T50" s="502"/>
      <c r="U50" s="502"/>
      <c r="V50" s="505"/>
      <c r="W50" s="712"/>
      <c r="X50" s="712"/>
      <c r="Y50" s="712"/>
      <c r="Z50" s="712"/>
      <c r="AA50" s="712"/>
      <c r="AB50" s="712"/>
      <c r="AC50" s="712"/>
      <c r="AD50" s="713"/>
    </row>
    <row r="51" spans="3:30" ht="19.5" customHeight="1">
      <c r="C51" s="501"/>
      <c r="D51" s="506"/>
      <c r="E51" s="506"/>
      <c r="F51" s="506"/>
      <c r="G51" s="506"/>
      <c r="I51" s="502"/>
      <c r="J51" s="502"/>
      <c r="K51" s="502"/>
      <c r="L51" s="502"/>
      <c r="M51" s="502"/>
      <c r="N51" s="502"/>
      <c r="O51" s="502"/>
      <c r="P51" s="502"/>
      <c r="Q51" s="502"/>
      <c r="R51" s="502"/>
      <c r="S51" s="502"/>
      <c r="T51" s="502"/>
      <c r="U51" s="502"/>
      <c r="V51" s="505"/>
      <c r="W51" s="714"/>
      <c r="X51" s="714"/>
      <c r="Y51" s="714"/>
      <c r="Z51" s="714"/>
      <c r="AA51" s="714"/>
      <c r="AB51" s="714"/>
      <c r="AC51" s="714"/>
      <c r="AD51" s="715"/>
    </row>
    <row r="52" spans="3:30">
      <c r="C52" s="501"/>
      <c r="D52" s="507"/>
      <c r="E52" s="507"/>
      <c r="F52" s="507"/>
      <c r="G52" s="507"/>
      <c r="I52" s="502"/>
      <c r="J52" s="502"/>
      <c r="K52" s="502"/>
      <c r="L52" s="422"/>
      <c r="M52" s="502"/>
      <c r="N52" s="502"/>
      <c r="O52" s="502"/>
      <c r="P52" s="502"/>
      <c r="Q52" s="502"/>
      <c r="R52" s="502"/>
      <c r="S52" s="502"/>
      <c r="T52" s="502"/>
      <c r="U52" s="502"/>
      <c r="V52" s="500"/>
      <c r="W52" s="705" t="s">
        <v>18</v>
      </c>
      <c r="X52" s="691"/>
      <c r="Y52" s="661" t="s">
        <v>1623</v>
      </c>
      <c r="Z52" s="661"/>
      <c r="AA52" s="661"/>
      <c r="AB52" s="661"/>
      <c r="AC52" s="661"/>
      <c r="AD52" s="662"/>
    </row>
    <row r="53" spans="3:30">
      <c r="C53" s="501"/>
      <c r="D53" s="506"/>
      <c r="E53" s="506"/>
      <c r="F53" s="506"/>
      <c r="G53" s="506"/>
      <c r="I53" s="502"/>
      <c r="J53" s="502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V53" s="500"/>
      <c r="W53" s="705" t="s">
        <v>19</v>
      </c>
      <c r="X53" s="691"/>
      <c r="Y53" s="661" t="s">
        <v>1622</v>
      </c>
      <c r="Z53" s="661"/>
      <c r="AA53" s="661"/>
      <c r="AB53" s="661"/>
      <c r="AC53" s="661"/>
      <c r="AD53" s="662"/>
    </row>
    <row r="54" spans="3:30">
      <c r="C54" s="501"/>
      <c r="D54" s="423"/>
      <c r="E54" s="423"/>
      <c r="F54" s="423"/>
      <c r="G54" s="423"/>
      <c r="I54" s="502"/>
      <c r="J54" s="502"/>
      <c r="K54" s="502"/>
      <c r="L54" s="502"/>
      <c r="M54" s="502"/>
      <c r="N54" s="502"/>
      <c r="O54" s="502"/>
      <c r="P54" s="502"/>
      <c r="Q54" s="502"/>
      <c r="R54" s="502"/>
      <c r="S54" s="502"/>
      <c r="T54" s="502"/>
      <c r="V54" s="500"/>
      <c r="W54" s="705" t="s">
        <v>20</v>
      </c>
      <c r="X54" s="691"/>
      <c r="Y54" s="661" t="s">
        <v>1622</v>
      </c>
      <c r="Z54" s="661"/>
      <c r="AA54" s="661"/>
      <c r="AB54" s="661"/>
      <c r="AC54" s="661"/>
      <c r="AD54" s="662"/>
    </row>
    <row r="55" spans="3:30" ht="12.75" thickBot="1">
      <c r="C55" s="508"/>
      <c r="D55" s="509"/>
      <c r="E55" s="509"/>
      <c r="F55" s="509"/>
      <c r="G55" s="509"/>
      <c r="H55" s="509"/>
      <c r="I55" s="509"/>
      <c r="J55" s="509"/>
      <c r="K55" s="509"/>
      <c r="L55" s="509"/>
      <c r="M55" s="509"/>
      <c r="N55" s="509"/>
      <c r="O55" s="509"/>
      <c r="P55" s="509"/>
      <c r="Q55" s="509"/>
      <c r="R55" s="509"/>
      <c r="S55" s="509"/>
      <c r="T55" s="509"/>
      <c r="U55" s="510"/>
      <c r="V55" s="511"/>
      <c r="W55" s="706" t="s">
        <v>21</v>
      </c>
      <c r="X55" s="707"/>
      <c r="Y55" s="708" t="s">
        <v>1621</v>
      </c>
      <c r="Z55" s="708"/>
      <c r="AA55" s="708"/>
      <c r="AB55" s="708"/>
      <c r="AC55" s="708"/>
      <c r="AD55" s="709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D7" sqref="D7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16" t="s">
        <v>1619</v>
      </c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717"/>
      <c r="U3" s="717"/>
      <c r="V3" s="717"/>
      <c r="W3" s="717"/>
      <c r="X3" s="717"/>
      <c r="Y3" s="717"/>
      <c r="Z3" s="717"/>
      <c r="AA3" s="717"/>
      <c r="AB3" s="718"/>
      <c r="AC3" s="430"/>
      <c r="AD3" s="428"/>
      <c r="AE3" s="428"/>
    </row>
    <row r="4" spans="2:31" ht="13.5" customHeight="1" thickBot="1">
      <c r="B4" s="429"/>
      <c r="C4" s="719"/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1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50" sqref="AD50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22" t="s">
        <v>1620</v>
      </c>
      <c r="E4" s="723"/>
      <c r="F4" s="723"/>
      <c r="G4" s="723"/>
      <c r="H4" s="723"/>
      <c r="I4" s="723"/>
      <c r="J4" s="723"/>
      <c r="K4" s="723"/>
      <c r="L4" s="723"/>
      <c r="M4" s="723"/>
      <c r="N4" s="723"/>
      <c r="O4" s="723"/>
      <c r="P4" s="723"/>
      <c r="Q4" s="723"/>
      <c r="R4" s="723"/>
      <c r="S4" s="723"/>
      <c r="T4" s="723"/>
      <c r="U4" s="723"/>
      <c r="V4" s="723"/>
      <c r="W4" s="723"/>
      <c r="X4" s="723"/>
      <c r="Y4" s="723"/>
      <c r="Z4" s="723"/>
      <c r="AA4" s="723"/>
      <c r="AB4" s="723"/>
      <c r="AC4" s="724"/>
      <c r="AD4" s="206"/>
      <c r="AE4" s="205"/>
      <c r="AF4" s="205"/>
    </row>
    <row r="5" spans="2:32" ht="13.5" customHeight="1" thickBot="1">
      <c r="B5" s="204"/>
      <c r="C5" s="204"/>
      <c r="D5" s="725"/>
      <c r="E5" s="726"/>
      <c r="F5" s="726"/>
      <c r="G5" s="726"/>
      <c r="H5" s="726"/>
      <c r="I5" s="726"/>
      <c r="J5" s="726"/>
      <c r="K5" s="726"/>
      <c r="L5" s="726"/>
      <c r="M5" s="726"/>
      <c r="N5" s="726"/>
      <c r="O5" s="726"/>
      <c r="P5" s="726"/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6"/>
      <c r="AC5" s="727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8"/>
    </row>
    <row r="76" spans="2:32" ht="15" customHeight="1">
      <c r="F76" s="459"/>
      <c r="N76" s="458"/>
    </row>
    <row r="77" spans="2:32" ht="15" customHeight="1">
      <c r="F77" s="459"/>
      <c r="N77" s="458"/>
    </row>
    <row r="78" spans="2:32" ht="15" customHeight="1">
      <c r="F78" s="459"/>
      <c r="N78" s="458"/>
    </row>
    <row r="79" spans="2:32" ht="15" customHeight="1">
      <c r="F79" s="459"/>
      <c r="N79" s="458"/>
    </row>
    <row r="80" spans="2:32" ht="15" customHeight="1">
      <c r="F80" s="459"/>
      <c r="N80" s="458"/>
    </row>
    <row r="81" spans="6:14" ht="15" customHeight="1">
      <c r="F81" s="459"/>
      <c r="N81" s="458"/>
    </row>
    <row r="82" spans="6:14" ht="15" customHeight="1">
      <c r="F82" s="459"/>
      <c r="N82" s="458"/>
    </row>
    <row r="83" spans="6:14" ht="15" customHeight="1">
      <c r="F83" s="459"/>
      <c r="N83" s="458"/>
    </row>
    <row r="84" spans="6:14" ht="15" customHeight="1">
      <c r="F84" s="459"/>
      <c r="N84" s="458"/>
    </row>
    <row r="85" spans="6:14" ht="15" customHeight="1">
      <c r="F85" s="459"/>
      <c r="N85" s="458"/>
    </row>
    <row r="86" spans="6:14" ht="15" customHeight="1">
      <c r="F86" s="459"/>
      <c r="N86" s="458"/>
    </row>
    <row r="87" spans="6:14" ht="15" customHeight="1">
      <c r="F87" s="459"/>
      <c r="N87" s="458"/>
    </row>
    <row r="88" spans="6:14" ht="15" customHeight="1">
      <c r="F88" s="459"/>
      <c r="N88" s="458"/>
    </row>
    <row r="89" spans="6:14" ht="15" customHeight="1">
      <c r="F89" s="459"/>
      <c r="N89" s="458"/>
    </row>
    <row r="90" spans="6:14" ht="15" customHeight="1">
      <c r="F90" s="459"/>
      <c r="N90" s="458"/>
    </row>
    <row r="91" spans="6:14" ht="15" customHeight="1">
      <c r="F91" s="459"/>
      <c r="N91" s="458"/>
    </row>
    <row r="92" spans="6:14" ht="15" customHeight="1">
      <c r="F92" s="459"/>
      <c r="N92" s="458"/>
    </row>
    <row r="93" spans="6:14" ht="15" customHeight="1">
      <c r="F93" s="459"/>
      <c r="N93" s="458"/>
    </row>
    <row r="94" spans="6:14" ht="15" customHeight="1">
      <c r="F94" s="459"/>
      <c r="N94" s="458"/>
    </row>
    <row r="95" spans="6:14" ht="15" customHeight="1">
      <c r="F95" s="459"/>
      <c r="N95" s="458"/>
    </row>
    <row r="96" spans="6:14" ht="15" customHeight="1">
      <c r="F96" s="459"/>
      <c r="N96" s="458"/>
    </row>
    <row r="97" spans="6:14" ht="15" customHeight="1">
      <c r="F97" s="459"/>
      <c r="N97" s="458"/>
    </row>
    <row r="98" spans="6:14" ht="15" customHeight="1">
      <c r="F98" s="459"/>
    </row>
    <row r="99" spans="6:14" ht="15" customHeight="1">
      <c r="F99" s="459"/>
    </row>
    <row r="100" spans="6:14" ht="15" customHeight="1">
      <c r="F100" s="459"/>
    </row>
    <row r="101" spans="6:14" ht="15" customHeight="1">
      <c r="F101" s="459"/>
    </row>
    <row r="102" spans="6:14" ht="15" customHeight="1">
      <c r="F102" s="459"/>
    </row>
    <row r="103" spans="6:14" ht="15" customHeight="1">
      <c r="F103" s="459"/>
    </row>
    <row r="104" spans="6:14" ht="15" customHeight="1">
      <c r="F104" s="459"/>
    </row>
    <row r="105" spans="6:14" ht="15" customHeight="1">
      <c r="F105" s="459"/>
    </row>
    <row r="106" spans="6:14" ht="15" customHeight="1">
      <c r="F106" s="459"/>
    </row>
    <row r="107" spans="6:14" ht="15" customHeight="1">
      <c r="F107" s="459"/>
    </row>
    <row r="108" spans="6:14" ht="15" customHeight="1">
      <c r="F108" s="459"/>
    </row>
    <row r="109" spans="6:14" ht="15" customHeight="1">
      <c r="F109" s="459"/>
    </row>
    <row r="110" spans="6:14" ht="15" customHeight="1">
      <c r="F110" s="459"/>
    </row>
    <row r="111" spans="6:14" ht="15" customHeight="1">
      <c r="F111" s="459"/>
    </row>
    <row r="112" spans="6:14" ht="15" customHeight="1">
      <c r="F112" s="459"/>
    </row>
    <row r="113" spans="6:6" ht="15" customHeight="1">
      <c r="F113" s="459"/>
    </row>
    <row r="114" spans="6:6" ht="15" customHeight="1">
      <c r="F114" s="459"/>
    </row>
    <row r="115" spans="6:6" ht="15" customHeight="1">
      <c r="F115" s="459"/>
    </row>
    <row r="116" spans="6:6" ht="15" customHeight="1">
      <c r="F116" s="459"/>
    </row>
    <row r="117" spans="6:6" ht="15" customHeight="1">
      <c r="F117" s="459"/>
    </row>
    <row r="118" spans="6:6" ht="15" customHeight="1">
      <c r="F118" s="459"/>
    </row>
    <row r="119" spans="6:6" ht="15" customHeight="1">
      <c r="F119" s="459"/>
    </row>
    <row r="120" spans="6:6" ht="15" customHeight="1">
      <c r="F120" s="459"/>
    </row>
    <row r="121" spans="6:6" ht="15" customHeight="1">
      <c r="F121" s="459"/>
    </row>
    <row r="122" spans="6:6">
      <c r="F122" s="459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2024-05-13T06:46:48Z</dcterms:modified>
</cp:coreProperties>
</file>