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287265E6-E60B-4546-9732-24CD5DD83E55}" xr6:coauthVersionLast="47" xr6:coauthVersionMax="47" xr10:uidLastSave="{00000000-0000-0000-0000-000000000000}"/>
  <bookViews>
    <workbookView xWindow="-120" yWindow="-120" windowWidth="15600" windowHeight="1116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1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[29]MENU1!$D$4:$T$15</definedName>
    <definedName name="BULAN" localSheetId="11">[29]MENU1!$D$4:$T$15</definedName>
    <definedName name="BULAN">[28]MENU1!$D$4:$T$15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RAB!$A$1:$K$99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69" i="11"/>
  <c r="F67" i="11"/>
  <c r="F66" i="11"/>
  <c r="F65" i="11"/>
  <c r="F38" i="11"/>
  <c r="F26" i="11"/>
  <c r="F25" i="11"/>
  <c r="F24" i="11"/>
  <c r="F20" i="11"/>
  <c r="G77" i="11"/>
  <c r="D77" i="11"/>
  <c r="H77" i="11" s="1"/>
  <c r="E77" i="11"/>
  <c r="G62" i="11"/>
  <c r="D62" i="11"/>
  <c r="H62" i="11" s="1"/>
  <c r="E62" i="11"/>
  <c r="F76" i="11"/>
  <c r="F75" i="11"/>
  <c r="F74" i="11"/>
  <c r="F73" i="11"/>
  <c r="F72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8" i="11"/>
  <c r="E78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D19" i="11"/>
  <c r="H19" i="11" s="1"/>
  <c r="E19" i="11"/>
  <c r="D20" i="11"/>
  <c r="J20" i="11" s="1"/>
  <c r="E20" i="11"/>
  <c r="D21" i="11"/>
  <c r="I21" i="11" s="1"/>
  <c r="E21" i="11"/>
  <c r="D22" i="11"/>
  <c r="E22" i="11"/>
  <c r="D23" i="11"/>
  <c r="H23" i="11" s="1"/>
  <c r="E23" i="11"/>
  <c r="D24" i="11"/>
  <c r="J24" i="11" s="1"/>
  <c r="E24" i="11"/>
  <c r="D25" i="11"/>
  <c r="I25" i="11" s="1"/>
  <c r="E25" i="11"/>
  <c r="D26" i="11"/>
  <c r="H26" i="11" s="1"/>
  <c r="E26" i="11"/>
  <c r="D27" i="11"/>
  <c r="H27" i="11" s="1"/>
  <c r="E27" i="11"/>
  <c r="D28" i="11"/>
  <c r="J28" i="11" s="1"/>
  <c r="E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E33" i="11"/>
  <c r="D34" i="11"/>
  <c r="H34" i="11" s="1"/>
  <c r="E34" i="11"/>
  <c r="D35" i="11"/>
  <c r="H35" i="11" s="1"/>
  <c r="E35" i="11"/>
  <c r="D36" i="11"/>
  <c r="J36" i="11" s="1"/>
  <c r="E36" i="11"/>
  <c r="D37" i="11"/>
  <c r="E37" i="11"/>
  <c r="D38" i="11"/>
  <c r="H38" i="11" s="1"/>
  <c r="E38" i="11"/>
  <c r="D39" i="11"/>
  <c r="H39" i="11" s="1"/>
  <c r="E39" i="11"/>
  <c r="D16" i="11"/>
  <c r="E16" i="11"/>
  <c r="D17" i="11"/>
  <c r="E17" i="11"/>
  <c r="J77" i="11" l="1"/>
  <c r="I77" i="11"/>
  <c r="I62" i="11"/>
  <c r="J62" i="11"/>
  <c r="I33" i="11"/>
  <c r="H22" i="11"/>
  <c r="J39" i="11"/>
  <c r="J31" i="11"/>
  <c r="J23" i="11"/>
  <c r="H33" i="11"/>
  <c r="H25" i="11"/>
  <c r="I37" i="11"/>
  <c r="I29" i="11"/>
  <c r="J35" i="11"/>
  <c r="J27" i="11"/>
  <c r="J19" i="11"/>
  <c r="H37" i="11"/>
  <c r="H29" i="11"/>
  <c r="H21" i="11"/>
  <c r="I36" i="11"/>
  <c r="I32" i="11"/>
  <c r="I28" i="11"/>
  <c r="I24" i="11"/>
  <c r="I20" i="11"/>
  <c r="I39" i="11"/>
  <c r="J38" i="11"/>
  <c r="H36" i="11"/>
  <c r="I35" i="11"/>
  <c r="J34" i="11"/>
  <c r="H32" i="11"/>
  <c r="I31" i="11"/>
  <c r="J30" i="11"/>
  <c r="H28" i="11"/>
  <c r="I27" i="11"/>
  <c r="J26" i="11"/>
  <c r="H24" i="11"/>
  <c r="I23" i="11"/>
  <c r="J22" i="11"/>
  <c r="H20" i="11"/>
  <c r="I19" i="11"/>
  <c r="I38" i="11"/>
  <c r="J37" i="11"/>
  <c r="I34" i="11"/>
  <c r="J33" i="11"/>
  <c r="I30" i="11"/>
  <c r="J29" i="11"/>
  <c r="I26" i="11"/>
  <c r="J25" i="11"/>
  <c r="I22" i="11"/>
  <c r="J21" i="11"/>
  <c r="K77" i="11" l="1"/>
  <c r="K62" i="11"/>
  <c r="K23" i="11"/>
  <c r="K30" i="11"/>
  <c r="K39" i="11"/>
  <c r="K33" i="11"/>
  <c r="K35" i="11"/>
  <c r="K34" i="11"/>
  <c r="K31" i="11"/>
  <c r="K21" i="11"/>
  <c r="K22" i="11"/>
  <c r="K38" i="11"/>
  <c r="K25" i="11"/>
  <c r="K29" i="11"/>
  <c r="K27" i="11"/>
  <c r="K32" i="11"/>
  <c r="K26" i="11"/>
  <c r="K37" i="11"/>
  <c r="K19" i="11"/>
  <c r="K24" i="11"/>
  <c r="K28" i="11"/>
  <c r="K20" i="11"/>
  <c r="K36" i="11"/>
  <c r="D63" i="11" l="1"/>
  <c r="H63" i="11" s="1"/>
  <c r="H64" i="11"/>
  <c r="I64" i="11"/>
  <c r="J64" i="11"/>
  <c r="G65" i="11"/>
  <c r="H65" i="11" s="1"/>
  <c r="J65" i="11"/>
  <c r="G66" i="11"/>
  <c r="H66" i="11" s="1"/>
  <c r="I66" i="11"/>
  <c r="J66" i="11"/>
  <c r="G67" i="11"/>
  <c r="H67" i="11" s="1"/>
  <c r="J67" i="11"/>
  <c r="G68" i="11"/>
  <c r="J68" i="11" s="1"/>
  <c r="H69" i="11"/>
  <c r="I69" i="11"/>
  <c r="G69" i="11"/>
  <c r="J69" i="11" s="1"/>
  <c r="H71" i="11"/>
  <c r="I71" i="11"/>
  <c r="J71" i="11"/>
  <c r="H72" i="11"/>
  <c r="G72" i="11"/>
  <c r="I72" i="11" s="1"/>
  <c r="J72" i="11"/>
  <c r="H73" i="11"/>
  <c r="G73" i="11"/>
  <c r="I73" i="11" s="1"/>
  <c r="J73" i="11"/>
  <c r="H74" i="11"/>
  <c r="G74" i="11"/>
  <c r="I74" i="11" s="1"/>
  <c r="J74" i="11"/>
  <c r="H75" i="11"/>
  <c r="G75" i="11"/>
  <c r="I75" i="11" s="1"/>
  <c r="J75" i="11"/>
  <c r="H76" i="11"/>
  <c r="I76" i="11"/>
  <c r="G76" i="11"/>
  <c r="J76" i="11" s="1"/>
  <c r="H78" i="11"/>
  <c r="D79" i="11"/>
  <c r="H79" i="11" s="1"/>
  <c r="G63" i="11"/>
  <c r="G64" i="11"/>
  <c r="G71" i="11"/>
  <c r="G78" i="11"/>
  <c r="D15" i="11"/>
  <c r="H15" i="11" s="1"/>
  <c r="H16" i="11"/>
  <c r="H17" i="11"/>
  <c r="D18" i="11"/>
  <c r="H18" i="11" s="1"/>
  <c r="G15" i="11"/>
  <c r="G16" i="11"/>
  <c r="G17" i="11"/>
  <c r="G18" i="11"/>
  <c r="D8" i="59"/>
  <c r="M80" i="11"/>
  <c r="M1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60" i="11"/>
  <c r="E60" i="11"/>
  <c r="D60" i="11"/>
  <c r="J60" i="11" s="1"/>
  <c r="G59" i="11"/>
  <c r="E59" i="11"/>
  <c r="D59" i="11"/>
  <c r="J59" i="11" s="1"/>
  <c r="G58" i="11"/>
  <c r="E58" i="11"/>
  <c r="D58" i="11"/>
  <c r="I58" i="11" s="1"/>
  <c r="G57" i="11"/>
  <c r="E57" i="11"/>
  <c r="D57" i="11"/>
  <c r="H57" i="11" s="1"/>
  <c r="G56" i="11"/>
  <c r="E56" i="11"/>
  <c r="D56" i="11"/>
  <c r="H56" i="11" s="1"/>
  <c r="G55" i="11"/>
  <c r="E55" i="11"/>
  <c r="D55" i="11"/>
  <c r="J55" i="11" s="1"/>
  <c r="G54" i="11"/>
  <c r="E54" i="11"/>
  <c r="D54" i="11"/>
  <c r="J54" i="11" s="1"/>
  <c r="G53" i="11"/>
  <c r="E53" i="11"/>
  <c r="D53" i="11"/>
  <c r="J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I50" i="11" s="1"/>
  <c r="G49" i="11"/>
  <c r="E49" i="11"/>
  <c r="D49" i="11"/>
  <c r="H49" i="11" s="1"/>
  <c r="G48" i="11"/>
  <c r="E48" i="11"/>
  <c r="D48" i="11"/>
  <c r="H48" i="11" s="1"/>
  <c r="G47" i="11"/>
  <c r="E47" i="11"/>
  <c r="D47" i="11"/>
  <c r="J47" i="11" s="1"/>
  <c r="G46" i="11"/>
  <c r="E46" i="11"/>
  <c r="D46" i="11"/>
  <c r="J46" i="11" s="1"/>
  <c r="G45" i="11"/>
  <c r="E45" i="11"/>
  <c r="D45" i="11"/>
  <c r="H45" i="11" s="1"/>
  <c r="G44" i="11"/>
  <c r="E44" i="11"/>
  <c r="D44" i="11"/>
  <c r="J44" i="11" s="1"/>
  <c r="G43" i="11"/>
  <c r="E43" i="11"/>
  <c r="D43" i="11"/>
  <c r="J43" i="11" s="1"/>
  <c r="G42" i="11"/>
  <c r="E42" i="11"/>
  <c r="D42" i="11"/>
  <c r="I42" i="11" s="1"/>
  <c r="G41" i="11"/>
  <c r="E41" i="11"/>
  <c r="D41" i="11"/>
  <c r="H41" i="11" s="1"/>
  <c r="G40" i="11"/>
  <c r="E40" i="11"/>
  <c r="D40" i="11"/>
  <c r="H40" i="11" s="1"/>
  <c r="M22" i="11"/>
  <c r="D14" i="59"/>
  <c r="F3" i="54" s="1"/>
  <c r="E18" i="11"/>
  <c r="E15" i="11"/>
  <c r="A15" i="11"/>
  <c r="D19" i="59"/>
  <c r="D18" i="59"/>
  <c r="M16" i="11"/>
  <c r="E63" i="11"/>
  <c r="D61" i="11"/>
  <c r="J61" i="11" s="1"/>
  <c r="E61" i="11"/>
  <c r="M62" i="11"/>
  <c r="E79" i="11"/>
  <c r="G79" i="11"/>
  <c r="D14" i="11"/>
  <c r="H14" i="11" s="1"/>
  <c r="E14" i="11"/>
  <c r="G14" i="11"/>
  <c r="K19" i="60"/>
  <c r="D19" i="60"/>
  <c r="M79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18" i="60"/>
  <c r="K17" i="60"/>
  <c r="D17" i="60"/>
  <c r="D18" i="60"/>
  <c r="D20" i="60" s="1"/>
  <c r="D6" i="60"/>
  <c r="D9" i="60"/>
  <c r="D80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0" i="11"/>
  <c r="D81" i="11"/>
  <c r="H81" i="11" s="1"/>
  <c r="E81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81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0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8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1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F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65" i="11" l="1"/>
  <c r="I67" i="11"/>
  <c r="K67" i="11" s="1"/>
  <c r="H68" i="11"/>
  <c r="I68" i="11"/>
  <c r="J45" i="11"/>
  <c r="I61" i="11"/>
  <c r="D9" i="59"/>
  <c r="K7" i="54" s="1"/>
  <c r="C7" i="54"/>
  <c r="C8" i="54"/>
  <c r="I8" i="54" s="1"/>
  <c r="D22" i="59"/>
  <c r="K8" i="60" s="1"/>
  <c r="D21" i="59"/>
  <c r="K7" i="60" s="1"/>
  <c r="K9" i="60" s="1"/>
  <c r="K16" i="60" s="1"/>
  <c r="K20" i="60" s="1"/>
  <c r="K72" i="11"/>
  <c r="M72" i="11" s="1"/>
  <c r="D345" i="29"/>
  <c r="E345" i="29" s="1"/>
  <c r="K75" i="11"/>
  <c r="M75" i="11" s="1"/>
  <c r="D339" i="29"/>
  <c r="E339" i="29" s="1"/>
  <c r="H7" i="54"/>
  <c r="D5" i="60"/>
  <c r="K5" i="60" s="1"/>
  <c r="K74" i="11"/>
  <c r="M74" i="11" s="1"/>
  <c r="F717" i="41"/>
  <c r="F739" i="41"/>
  <c r="D802" i="41"/>
  <c r="E802" i="41" s="1"/>
  <c r="D312" i="29"/>
  <c r="E312" i="29" s="1"/>
  <c r="K65" i="11"/>
  <c r="K71" i="11"/>
  <c r="M71" i="11" s="1"/>
  <c r="K66" i="11"/>
  <c r="K64" i="11"/>
  <c r="K73" i="11"/>
  <c r="M73" i="11" s="1"/>
  <c r="F762" i="41"/>
  <c r="E247" i="29"/>
  <c r="F866" i="41"/>
  <c r="E858" i="41"/>
  <c r="F315" i="29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60" i="11"/>
  <c r="F776" i="41"/>
  <c r="F302" i="29"/>
  <c r="F304" i="29"/>
  <c r="I44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81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760" i="41"/>
  <c r="E760" i="41"/>
  <c r="E1020" i="41"/>
  <c r="E1037" i="41"/>
  <c r="E1004" i="41"/>
  <c r="E1216" i="41"/>
  <c r="E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F294" i="29"/>
  <c r="E282" i="29"/>
  <c r="F316" i="29"/>
  <c r="E1097" i="41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40" i="11"/>
  <c r="E1116" i="41"/>
  <c r="E1123" i="41"/>
  <c r="E938" i="41"/>
  <c r="E1099" i="41"/>
  <c r="E326" i="29"/>
  <c r="F326" i="29"/>
  <c r="F839" i="41"/>
  <c r="E1029" i="41"/>
  <c r="F847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44" i="11"/>
  <c r="F290" i="29"/>
  <c r="E307" i="29"/>
  <c r="F232" i="29"/>
  <c r="F246" i="29"/>
  <c r="J42" i="11"/>
  <c r="F819" i="41"/>
  <c r="E990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55" i="11"/>
  <c r="H47" i="11"/>
  <c r="E880" i="41"/>
  <c r="E722" i="41"/>
  <c r="E286" i="29"/>
  <c r="E872" i="41"/>
  <c r="E1121" i="41"/>
  <c r="E245" i="29"/>
  <c r="I53" i="11"/>
  <c r="E1128" i="41"/>
  <c r="E1057" i="41"/>
  <c r="E966" i="41"/>
  <c r="E1226" i="41"/>
  <c r="E882" i="41"/>
  <c r="E784" i="41"/>
  <c r="F784" i="41"/>
  <c r="E728" i="41"/>
  <c r="F728" i="41"/>
  <c r="E1289" i="41"/>
  <c r="E792" i="41"/>
  <c r="F792" i="41"/>
  <c r="F352" i="29"/>
  <c r="E352" i="29"/>
  <c r="E946" i="41"/>
  <c r="F805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F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81" i="11"/>
  <c r="I46" i="11"/>
  <c r="J18" i="11"/>
  <c r="F340" i="29"/>
  <c r="F318" i="29"/>
  <c r="E262" i="29"/>
  <c r="E281" i="29"/>
  <c r="F305" i="29"/>
  <c r="J36" i="39"/>
  <c r="M29" i="11"/>
  <c r="H58" i="11"/>
  <c r="J50" i="11"/>
  <c r="J40" i="11"/>
  <c r="I48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51" i="11"/>
  <c r="H59" i="11"/>
  <c r="H43" i="11"/>
  <c r="I54" i="11"/>
  <c r="I49" i="11"/>
  <c r="H54" i="11"/>
  <c r="H50" i="11"/>
  <c r="I52" i="11"/>
  <c r="H60" i="11"/>
  <c r="J58" i="11"/>
  <c r="H55" i="11"/>
  <c r="J41" i="11"/>
  <c r="M20" i="11"/>
  <c r="I59" i="11"/>
  <c r="I43" i="11"/>
  <c r="H51" i="11"/>
  <c r="H52" i="11"/>
  <c r="I57" i="11"/>
  <c r="J57" i="11"/>
  <c r="J49" i="11"/>
  <c r="J56" i="11"/>
  <c r="H53" i="11"/>
  <c r="I56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337" i="29" s="1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63" i="11"/>
  <c r="H42" i="11"/>
  <c r="I41" i="11"/>
  <c r="H46" i="11"/>
  <c r="I47" i="11"/>
  <c r="J48" i="11"/>
  <c r="I45" i="11"/>
  <c r="J16" i="11"/>
  <c r="J79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E60" i="39"/>
  <c r="E327" i="29"/>
  <c r="E361" i="29"/>
  <c r="F361" i="29"/>
  <c r="E68" i="39"/>
  <c r="E366" i="29"/>
  <c r="E57" i="39"/>
  <c r="E61" i="39"/>
  <c r="F61" i="39"/>
  <c r="E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H61" i="11"/>
  <c r="F274" i="29"/>
  <c r="E267" i="29"/>
  <c r="K76" i="11"/>
  <c r="M76" i="11" s="1"/>
  <c r="K69" i="11"/>
  <c r="M69" i="11" s="1"/>
  <c r="I79" i="11"/>
  <c r="J78" i="11"/>
  <c r="I63" i="11"/>
  <c r="I18" i="11"/>
  <c r="J17" i="11"/>
  <c r="I16" i="11"/>
  <c r="J15" i="11"/>
  <c r="I78" i="11"/>
  <c r="I17" i="11"/>
  <c r="I15" i="11"/>
  <c r="F853" i="41" l="1"/>
  <c r="F291" i="29"/>
  <c r="F781" i="41"/>
  <c r="F804" i="41"/>
  <c r="F314" i="29"/>
  <c r="F837" i="41"/>
  <c r="F347" i="29"/>
  <c r="F827" i="41"/>
  <c r="F335" i="29"/>
  <c r="F334" i="29"/>
  <c r="F825" i="41"/>
  <c r="F824" i="41"/>
  <c r="F60" i="39"/>
  <c r="F908" i="41"/>
  <c r="F63" i="39"/>
  <c r="F1221" i="41"/>
  <c r="F59" i="39"/>
  <c r="F1176" i="41"/>
  <c r="F1308" i="41"/>
  <c r="F368" i="29"/>
  <c r="F72" i="39"/>
  <c r="F925" i="41"/>
  <c r="F367" i="29"/>
  <c r="F1145" i="41"/>
  <c r="F1198" i="41"/>
  <c r="F881" i="41"/>
  <c r="F1071" i="41"/>
  <c r="F1154" i="41"/>
  <c r="F364" i="29"/>
  <c r="K15" i="11"/>
  <c r="M15" i="11" s="1"/>
  <c r="K68" i="11"/>
  <c r="K45" i="11"/>
  <c r="M45" i="11" s="1"/>
  <c r="F292" i="29"/>
  <c r="K53" i="11"/>
  <c r="M53" i="11" s="1"/>
  <c r="F228" i="29"/>
  <c r="K14" i="11"/>
  <c r="M14" i="11" s="1"/>
  <c r="F854" i="41"/>
  <c r="F782" i="41"/>
  <c r="F718" i="41"/>
  <c r="K52" i="11"/>
  <c r="M52" i="11" s="1"/>
  <c r="F838" i="41"/>
  <c r="F332" i="29"/>
  <c r="K61" i="11"/>
  <c r="M61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60" i="11"/>
  <c r="M60" i="11" s="1"/>
  <c r="K18" i="11"/>
  <c r="M18" i="11" s="1"/>
  <c r="M31" i="11"/>
  <c r="K51" i="11"/>
  <c r="M51" i="11" s="1"/>
  <c r="K55" i="11"/>
  <c r="M55" i="11" s="1"/>
  <c r="K50" i="11"/>
  <c r="M50" i="11" s="1"/>
  <c r="K46" i="11"/>
  <c r="M46" i="11" s="1"/>
  <c r="M39" i="11"/>
  <c r="K44" i="11"/>
  <c r="M44" i="11" s="1"/>
  <c r="K81" i="11"/>
  <c r="K48" i="11"/>
  <c r="M48" i="11" s="1"/>
  <c r="K47" i="11"/>
  <c r="M47" i="11" s="1"/>
  <c r="M24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3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43" i="11"/>
  <c r="M43" i="11" s="1"/>
  <c r="K59" i="11"/>
  <c r="M59" i="11" s="1"/>
  <c r="K56" i="11"/>
  <c r="M56" i="11" s="1"/>
  <c r="K40" i="11"/>
  <c r="M40" i="11" s="1"/>
  <c r="K57" i="11"/>
  <c r="M57" i="11" s="1"/>
  <c r="K54" i="11"/>
  <c r="M54" i="11" s="1"/>
  <c r="K16" i="11"/>
  <c r="K42" i="11"/>
  <c r="M42" i="11" s="1"/>
  <c r="K58" i="11"/>
  <c r="M58" i="11" s="1"/>
  <c r="K36" i="39"/>
  <c r="K41" i="11"/>
  <c r="M41" i="11" s="1"/>
  <c r="M27" i="11"/>
  <c r="K49" i="11"/>
  <c r="M49" i="11" s="1"/>
  <c r="F802" i="41"/>
  <c r="F346" i="29"/>
  <c r="M25" i="11"/>
  <c r="K17" i="11"/>
  <c r="M17" i="11" s="1"/>
  <c r="K63" i="11"/>
  <c r="M63" i="11" s="1"/>
  <c r="F836" i="41"/>
  <c r="F345" i="29"/>
  <c r="K78" i="11"/>
  <c r="M78" i="11" s="1"/>
  <c r="K79" i="11"/>
  <c r="M28" i="11"/>
  <c r="M30" i="11"/>
  <c r="F339" i="29"/>
  <c r="F729" i="41"/>
  <c r="M26" i="11"/>
  <c r="F312" i="29"/>
  <c r="F829" i="41"/>
  <c r="F350" i="29"/>
  <c r="F840" i="41"/>
  <c r="I80" i="11"/>
  <c r="I83" i="11" s="1"/>
  <c r="J80" i="11"/>
  <c r="J83" i="11" s="1"/>
  <c r="F239" i="29"/>
  <c r="F835" i="41"/>
  <c r="M21" i="11"/>
  <c r="H80" i="11"/>
  <c r="H83" i="11" s="1"/>
  <c r="F12" i="41" l="1"/>
  <c r="F16" i="39"/>
  <c r="C16" i="29"/>
  <c r="D16" i="29" s="1"/>
  <c r="I16" i="29" s="1"/>
  <c r="C12" i="41"/>
  <c r="B12" i="41" s="1"/>
  <c r="H12" i="41" s="1"/>
  <c r="L8" i="54"/>
  <c r="M8" i="54" s="1"/>
  <c r="D9" i="54"/>
  <c r="C10" i="54"/>
  <c r="I9" i="54"/>
  <c r="H9" i="54"/>
  <c r="C16" i="39"/>
  <c r="D16" i="39" s="1"/>
  <c r="C14" i="41"/>
  <c r="F16" i="29"/>
  <c r="C35" i="39"/>
  <c r="D35" i="39" s="1"/>
  <c r="F25" i="39"/>
  <c r="F30" i="39"/>
  <c r="F28" i="39"/>
  <c r="F36" i="39"/>
  <c r="F27" i="39"/>
  <c r="C21" i="39"/>
  <c r="F29" i="39"/>
  <c r="F35" i="39"/>
  <c r="C30" i="39"/>
  <c r="G30" i="39" s="1"/>
  <c r="C25" i="39"/>
  <c r="C20" i="39"/>
  <c r="G20" i="39" s="1"/>
  <c r="C17" i="39"/>
  <c r="G17" i="39" s="1"/>
  <c r="C22" i="39"/>
  <c r="G22" i="39" s="1"/>
  <c r="F18" i="39"/>
  <c r="C33" i="39"/>
  <c r="D33" i="39" s="1"/>
  <c r="C31" i="39"/>
  <c r="B31" i="39" s="1"/>
  <c r="E31" i="39" s="1"/>
  <c r="F21" i="39"/>
  <c r="C18" i="39"/>
  <c r="F33" i="39"/>
  <c r="C28" i="39"/>
  <c r="D28" i="39" s="1"/>
  <c r="F24" i="39"/>
  <c r="C27" i="39"/>
  <c r="F19" i="39"/>
  <c r="C19" i="39"/>
  <c r="G19" i="39" s="1"/>
  <c r="F34" i="39"/>
  <c r="F26" i="39"/>
  <c r="C23" i="39"/>
  <c r="B23" i="39" s="1"/>
  <c r="E23" i="39" s="1"/>
  <c r="F17" i="39"/>
  <c r="C24" i="39"/>
  <c r="B24" i="39" s="1"/>
  <c r="E24" i="39" s="1"/>
  <c r="C34" i="39"/>
  <c r="C29" i="39"/>
  <c r="B29" i="39" s="1"/>
  <c r="E29" i="39" s="1"/>
  <c r="F23" i="39"/>
  <c r="C26" i="39"/>
  <c r="B26" i="39" s="1"/>
  <c r="E26" i="39" s="1"/>
  <c r="F22" i="39"/>
  <c r="C32" i="39"/>
  <c r="B32" i="39" s="1"/>
  <c r="E32" i="39" s="1"/>
  <c r="F32" i="39"/>
  <c r="F31" i="39"/>
  <c r="F20" i="39"/>
  <c r="F547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G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B517" i="41" s="1"/>
  <c r="F590" i="41"/>
  <c r="C423" i="41"/>
  <c r="D423" i="41" s="1"/>
  <c r="C78" i="41"/>
  <c r="B78" i="41" s="1"/>
  <c r="C458" i="41"/>
  <c r="B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84" i="11"/>
  <c r="J85" i="11" s="1"/>
  <c r="I84" i="11"/>
  <c r="I85" i="11" s="1"/>
  <c r="H84" i="11"/>
  <c r="H85" i="11" s="1"/>
  <c r="B397" i="41"/>
  <c r="B593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D25" i="39"/>
  <c r="B25" i="39"/>
  <c r="E25" i="39" s="1"/>
  <c r="G25" i="39"/>
  <c r="B21" i="39"/>
  <c r="E21" i="39" s="1"/>
  <c r="D21" i="39"/>
  <c r="G21" i="39"/>
  <c r="G14" i="41"/>
  <c r="D14" i="41"/>
  <c r="L14" i="41"/>
  <c r="B14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B27" i="39"/>
  <c r="E27" i="39" s="1"/>
  <c r="G27" i="39"/>
  <c r="D27" i="3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80" i="11"/>
  <c r="K83" i="11" s="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G34" i="39"/>
  <c r="D34" i="39"/>
  <c r="B34" i="39"/>
  <c r="E34" i="39" s="1"/>
  <c r="G29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L517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B22" i="39"/>
  <c r="E22" i="39" s="1"/>
  <c r="D18" i="39"/>
  <c r="G18" i="39"/>
  <c r="B18" i="39"/>
  <c r="E18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D458" i="41" l="1"/>
  <c r="L596" i="41"/>
  <c r="D305" i="41"/>
  <c r="L461" i="41"/>
  <c r="L15" i="41"/>
  <c r="G486" i="41"/>
  <c r="B15" i="41"/>
  <c r="E15" i="41" s="1"/>
  <c r="D15" i="41"/>
  <c r="D32" i="39"/>
  <c r="H32" i="39" s="1"/>
  <c r="D23" i="39"/>
  <c r="I23" i="39" s="1"/>
  <c r="J12" i="41"/>
  <c r="G12" i="41"/>
  <c r="E12" i="41"/>
  <c r="G458" i="41"/>
  <c r="G517" i="41"/>
  <c r="G669" i="41"/>
  <c r="L458" i="41"/>
  <c r="D596" i="41"/>
  <c r="D517" i="41"/>
  <c r="G392" i="41"/>
  <c r="G26" i="39"/>
  <c r="B20" i="39"/>
  <c r="E20" i="39" s="1"/>
  <c r="D20" i="39"/>
  <c r="H20" i="39" s="1"/>
  <c r="B33" i="39"/>
  <c r="E33" i="39" s="1"/>
  <c r="G32" i="39"/>
  <c r="D29" i="39"/>
  <c r="J29" i="39" s="1"/>
  <c r="G23" i="39"/>
  <c r="G33" i="39"/>
  <c r="G35" i="39"/>
  <c r="G672" i="41"/>
  <c r="B426" i="41"/>
  <c r="H426" i="41" s="1"/>
  <c r="B672" i="41"/>
  <c r="E672" i="41" s="1"/>
  <c r="D426" i="41"/>
  <c r="L426" i="41"/>
  <c r="D672" i="41"/>
  <c r="G16" i="39"/>
  <c r="I16" i="39" s="1"/>
  <c r="B16" i="39"/>
  <c r="E16" i="39" s="1"/>
  <c r="D26" i="39"/>
  <c r="H26" i="39" s="1"/>
  <c r="G24" i="39"/>
  <c r="J16" i="29"/>
  <c r="B30" i="39"/>
  <c r="E30" i="39" s="1"/>
  <c r="D22" i="39"/>
  <c r="I22" i="39" s="1"/>
  <c r="B35" i="39"/>
  <c r="E35" i="39" s="1"/>
  <c r="B486" i="41"/>
  <c r="I486" i="41" s="1"/>
  <c r="D24" i="39"/>
  <c r="J24" i="39" s="1"/>
  <c r="D30" i="39"/>
  <c r="I30" i="39" s="1"/>
  <c r="B16" i="29"/>
  <c r="E16" i="29" s="1"/>
  <c r="B461" i="41"/>
  <c r="J461" i="41" s="1"/>
  <c r="D389" i="41"/>
  <c r="D256" i="41"/>
  <c r="G16" i="29"/>
  <c r="H16" i="29" s="1"/>
  <c r="K12" i="41"/>
  <c r="L12" i="41"/>
  <c r="I12" i="41"/>
  <c r="D12" i="41"/>
  <c r="D193" i="41"/>
  <c r="L544" i="41"/>
  <c r="B389" i="41"/>
  <c r="H389" i="41" s="1"/>
  <c r="D544" i="41"/>
  <c r="B510" i="41"/>
  <c r="I510" i="41" s="1"/>
  <c r="B13" i="41"/>
  <c r="J13" i="41" s="1"/>
  <c r="L13" i="41"/>
  <c r="L423" i="41"/>
  <c r="D17" i="39"/>
  <c r="I17" i="39" s="1"/>
  <c r="B423" i="41"/>
  <c r="K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K609" i="41" s="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H282" i="41" s="1"/>
  <c r="D316" i="41"/>
  <c r="B451" i="41"/>
  <c r="K451" i="41" s="1"/>
  <c r="L427" i="41"/>
  <c r="L355" i="41"/>
  <c r="L191" i="41"/>
  <c r="L311" i="41"/>
  <c r="B345" i="41"/>
  <c r="E345" i="41" s="1"/>
  <c r="B191" i="41"/>
  <c r="E191" i="41" s="1"/>
  <c r="G282" i="41"/>
  <c r="B141" i="41"/>
  <c r="E141" i="41" s="1"/>
  <c r="D222" i="41"/>
  <c r="L107" i="41"/>
  <c r="L84" i="41"/>
  <c r="B150" i="41"/>
  <c r="J150" i="41" s="1"/>
  <c r="D19" i="39"/>
  <c r="H19" i="39" s="1"/>
  <c r="B28" i="39"/>
  <c r="E28" i="39" s="1"/>
  <c r="D31" i="39"/>
  <c r="H31" i="39" s="1"/>
  <c r="G609" i="41"/>
  <c r="D492" i="41"/>
  <c r="B311" i="41"/>
  <c r="K311" i="41" s="1"/>
  <c r="B625" i="41"/>
  <c r="I625" i="41" s="1"/>
  <c r="L248" i="41"/>
  <c r="L641" i="41"/>
  <c r="L60" i="41"/>
  <c r="G596" i="41"/>
  <c r="B527" i="41"/>
  <c r="E527" i="41" s="1"/>
  <c r="L79" i="41"/>
  <c r="D41" i="41"/>
  <c r="D383" i="41"/>
  <c r="D155" i="41"/>
  <c r="L342" i="41"/>
  <c r="G353" i="41"/>
  <c r="D527" i="41"/>
  <c r="D60" i="41"/>
  <c r="L510" i="41"/>
  <c r="B294" i="41"/>
  <c r="J294" i="41" s="1"/>
  <c r="G575" i="41"/>
  <c r="G204" i="41"/>
  <c r="D139" i="41"/>
  <c r="L78" i="41"/>
  <c r="D642" i="41"/>
  <c r="B148" i="41"/>
  <c r="H148" i="41" s="1"/>
  <c r="B177" i="41"/>
  <c r="J177" i="41" s="1"/>
  <c r="B261" i="41"/>
  <c r="E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K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J288" i="41" s="1"/>
  <c r="G118" i="41"/>
  <c r="D20" i="41"/>
  <c r="D395" i="41"/>
  <c r="D667" i="41"/>
  <c r="B293" i="41"/>
  <c r="I293" i="41" s="1"/>
  <c r="B455" i="41"/>
  <c r="K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H666" i="41" s="1"/>
  <c r="D355" i="41"/>
  <c r="G141" i="41"/>
  <c r="B316" i="41"/>
  <c r="K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H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I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H94" i="41" s="1"/>
  <c r="G209" i="41"/>
  <c r="D89" i="41"/>
  <c r="D147" i="41"/>
  <c r="B428" i="41"/>
  <c r="E428" i="41" s="1"/>
  <c r="B564" i="41"/>
  <c r="I564" i="41" s="1"/>
  <c r="L151" i="41"/>
  <c r="B507" i="41"/>
  <c r="K507" i="41" s="1"/>
  <c r="B226" i="41"/>
  <c r="K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I656" i="41" s="1"/>
  <c r="L471" i="41"/>
  <c r="L565" i="41"/>
  <c r="B616" i="41"/>
  <c r="J616" i="41" s="1"/>
  <c r="L475" i="41"/>
  <c r="B92" i="41"/>
  <c r="H92" i="41" s="1"/>
  <c r="G653" i="41"/>
  <c r="G468" i="41"/>
  <c r="G390" i="41"/>
  <c r="B511" i="41"/>
  <c r="E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I653" i="41" s="1"/>
  <c r="D209" i="41"/>
  <c r="B37" i="41"/>
  <c r="I37" i="41" s="1"/>
  <c r="L468" i="41"/>
  <c r="L261" i="41"/>
  <c r="B390" i="41"/>
  <c r="K390" i="41" s="1"/>
  <c r="B691" i="41"/>
  <c r="E691" i="41" s="1"/>
  <c r="D172" i="41"/>
  <c r="L147" i="41"/>
  <c r="L511" i="41"/>
  <c r="D428" i="41"/>
  <c r="L324" i="41"/>
  <c r="B140" i="41"/>
  <c r="I140" i="41" s="1"/>
  <c r="B164" i="41"/>
  <c r="I164" i="41" s="1"/>
  <c r="L27" i="41"/>
  <c r="D564" i="41"/>
  <c r="L256" i="41"/>
  <c r="G151" i="41"/>
  <c r="B639" i="41"/>
  <c r="I639" i="41" s="1"/>
  <c r="D239" i="41"/>
  <c r="B275" i="41"/>
  <c r="I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E468" i="41" s="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H228" i="41" s="1"/>
  <c r="G21" i="41"/>
  <c r="G616" i="41"/>
  <c r="B111" i="41"/>
  <c r="H111" i="41" s="1"/>
  <c r="B595" i="41"/>
  <c r="K595" i="41" s="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H489" i="41" s="1"/>
  <c r="D406" i="41"/>
  <c r="D453" i="41"/>
  <c r="B418" i="41"/>
  <c r="J418" i="41" s="1"/>
  <c r="B305" i="41"/>
  <c r="K305" i="41" s="1"/>
  <c r="L669" i="41"/>
  <c r="B392" i="41"/>
  <c r="E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K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I322" i="41" s="1"/>
  <c r="G281" i="41"/>
  <c r="D339" i="41"/>
  <c r="G308" i="41"/>
  <c r="B657" i="41"/>
  <c r="K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H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J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K323" i="41" s="1"/>
  <c r="B529" i="41"/>
  <c r="H529" i="41" s="1"/>
  <c r="L145" i="41"/>
  <c r="L593" i="41"/>
  <c r="D78" i="41"/>
  <c r="B387" i="41"/>
  <c r="K387" i="41" s="1"/>
  <c r="B193" i="41"/>
  <c r="J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J299" i="41" s="1"/>
  <c r="D294" i="41"/>
  <c r="G247" i="41"/>
  <c r="D238" i="41"/>
  <c r="G41" i="41"/>
  <c r="L466" i="41"/>
  <c r="B575" i="41"/>
  <c r="H575" i="41" s="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E383" i="41" s="1"/>
  <c r="G516" i="41"/>
  <c r="G323" i="41"/>
  <c r="B259" i="41"/>
  <c r="E259" i="41" s="1"/>
  <c r="L529" i="41"/>
  <c r="D35" i="41"/>
  <c r="D593" i="41"/>
  <c r="G78" i="41"/>
  <c r="B98" i="41"/>
  <c r="K98" i="41" s="1"/>
  <c r="G387" i="41"/>
  <c r="D477" i="41"/>
  <c r="L375" i="41"/>
  <c r="B56" i="41"/>
  <c r="K56" i="41" s="1"/>
  <c r="G193" i="41"/>
  <c r="L386" i="41"/>
  <c r="B353" i="41"/>
  <c r="H353" i="41" s="1"/>
  <c r="B642" i="41"/>
  <c r="K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H596" i="41"/>
  <c r="J596" i="41"/>
  <c r="K596" i="41"/>
  <c r="I596" i="41"/>
  <c r="E596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93" i="41"/>
  <c r="H593" i="41"/>
  <c r="J593" i="41"/>
  <c r="I593" i="41"/>
  <c r="K593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J536" i="41"/>
  <c r="I377" i="41"/>
  <c r="E377" i="41"/>
  <c r="H377" i="41"/>
  <c r="K377" i="41"/>
  <c r="J377" i="41"/>
  <c r="E172" i="41"/>
  <c r="I172" i="41"/>
  <c r="K172" i="41"/>
  <c r="J172" i="41"/>
  <c r="H172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J235" i="41"/>
  <c r="I235" i="41"/>
  <c r="E235" i="41"/>
  <c r="K235" i="41"/>
  <c r="H235" i="41"/>
  <c r="I517" i="41"/>
  <c r="H517" i="41"/>
  <c r="J517" i="41"/>
  <c r="K517" i="41"/>
  <c r="E517" i="41"/>
  <c r="K84" i="11"/>
  <c r="K85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E84" i="41"/>
  <c r="K84" i="41"/>
  <c r="H84" i="41"/>
  <c r="I84" i="41"/>
  <c r="J84" i="41"/>
  <c r="J147" i="41"/>
  <c r="H170" i="41"/>
  <c r="I170" i="41"/>
  <c r="K170" i="41"/>
  <c r="J170" i="41"/>
  <c r="E170" i="41"/>
  <c r="I427" i="41"/>
  <c r="K427" i="41"/>
  <c r="E427" i="41"/>
  <c r="H427" i="41"/>
  <c r="J427" i="41"/>
  <c r="H324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I45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K527" i="41"/>
  <c r="I222" i="41"/>
  <c r="K222" i="41"/>
  <c r="H222" i="41"/>
  <c r="J222" i="41"/>
  <c r="E222" i="41"/>
  <c r="J426" i="41"/>
  <c r="I426" i="41"/>
  <c r="E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E574" i="41"/>
  <c r="E455" i="41"/>
  <c r="I650" i="41"/>
  <c r="J650" i="41"/>
  <c r="E650" i="41"/>
  <c r="K650" i="41"/>
  <c r="H650" i="41"/>
  <c r="K641" i="41"/>
  <c r="E641" i="41"/>
  <c r="H641" i="41"/>
  <c r="I641" i="41"/>
  <c r="J641" i="41"/>
  <c r="H564" i="41"/>
  <c r="E150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J19" i="39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J30" i="39"/>
  <c r="J16" i="39"/>
  <c r="H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K15" i="41"/>
  <c r="H15" i="41"/>
  <c r="I15" i="41"/>
  <c r="J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I588" i="41"/>
  <c r="H339" i="41"/>
  <c r="K21" i="41"/>
  <c r="E21" i="41"/>
  <c r="I21" i="41"/>
  <c r="H21" i="41"/>
  <c r="J21" i="41"/>
  <c r="J78" i="41"/>
  <c r="I78" i="41"/>
  <c r="H78" i="41"/>
  <c r="K78" i="41"/>
  <c r="E78" i="41"/>
  <c r="K616" i="41"/>
  <c r="E609" i="41" l="1"/>
  <c r="J468" i="41"/>
  <c r="H609" i="41"/>
  <c r="K228" i="41"/>
  <c r="E288" i="41"/>
  <c r="H23" i="39"/>
  <c r="K41" i="41"/>
  <c r="E226" i="41"/>
  <c r="K288" i="41"/>
  <c r="J23" i="39"/>
  <c r="K23" i="39" s="1"/>
  <c r="H22" i="39"/>
  <c r="J226" i="41"/>
  <c r="E595" i="41"/>
  <c r="J31" i="39"/>
  <c r="K468" i="41"/>
  <c r="J609" i="41"/>
  <c r="E56" i="41"/>
  <c r="J275" i="41"/>
  <c r="I29" i="39"/>
  <c r="E94" i="41"/>
  <c r="H56" i="41"/>
  <c r="J653" i="41"/>
  <c r="I428" i="41"/>
  <c r="J26" i="39"/>
  <c r="I657" i="41"/>
  <c r="H461" i="41"/>
  <c r="J345" i="41"/>
  <c r="K345" i="41"/>
  <c r="H350" i="41"/>
  <c r="I544" i="41"/>
  <c r="J672" i="41"/>
  <c r="J37" i="41"/>
  <c r="I193" i="41"/>
  <c r="J32" i="39"/>
  <c r="I261" i="41"/>
  <c r="K570" i="41"/>
  <c r="I312" i="41"/>
  <c r="E507" i="41"/>
  <c r="H261" i="41"/>
  <c r="I24" i="39"/>
  <c r="I32" i="39"/>
  <c r="K395" i="41"/>
  <c r="I511" i="41"/>
  <c r="J316" i="41"/>
  <c r="H423" i="41"/>
  <c r="J395" i="41"/>
  <c r="E294" i="41"/>
  <c r="K511" i="41"/>
  <c r="I13" i="41"/>
  <c r="J92" i="41"/>
  <c r="H595" i="41"/>
  <c r="H30" i="39"/>
  <c r="K30" i="39" s="1"/>
  <c r="I31" i="39"/>
  <c r="I288" i="41"/>
  <c r="H288" i="41"/>
  <c r="K653" i="41"/>
  <c r="H140" i="41"/>
  <c r="K428" i="41"/>
  <c r="I26" i="39"/>
  <c r="K94" i="41"/>
  <c r="I666" i="41"/>
  <c r="I609" i="41"/>
  <c r="J228" i="41"/>
  <c r="J56" i="41"/>
  <c r="E228" i="41"/>
  <c r="I575" i="41"/>
  <c r="H653" i="41"/>
  <c r="K275" i="41"/>
  <c r="E140" i="41"/>
  <c r="H681" i="41"/>
  <c r="H29" i="39"/>
  <c r="K29" i="39" s="1"/>
  <c r="I94" i="41"/>
  <c r="J666" i="41"/>
  <c r="J625" i="41"/>
  <c r="K389" i="41"/>
  <c r="I98" i="41"/>
  <c r="K489" i="41"/>
  <c r="J41" i="41"/>
  <c r="I56" i="41"/>
  <c r="I228" i="41"/>
  <c r="K681" i="41"/>
  <c r="J669" i="41"/>
  <c r="I595" i="41"/>
  <c r="K575" i="41"/>
  <c r="I468" i="41"/>
  <c r="I323" i="41"/>
  <c r="K383" i="41"/>
  <c r="I489" i="41"/>
  <c r="J595" i="41"/>
  <c r="H468" i="41"/>
  <c r="E653" i="41"/>
  <c r="E323" i="41"/>
  <c r="H383" i="41"/>
  <c r="K140" i="41"/>
  <c r="H41" i="41"/>
  <c r="I472" i="41"/>
  <c r="E529" i="41"/>
  <c r="K282" i="41"/>
  <c r="I238" i="41"/>
  <c r="E531" i="41"/>
  <c r="H625" i="41"/>
  <c r="E625" i="41"/>
  <c r="E389" i="41"/>
  <c r="E575" i="41"/>
  <c r="J323" i="41"/>
  <c r="H323" i="41"/>
  <c r="H275" i="41"/>
  <c r="J489" i="41"/>
  <c r="J140" i="41"/>
  <c r="J428" i="41"/>
  <c r="H428" i="41"/>
  <c r="J681" i="41"/>
  <c r="E41" i="41"/>
  <c r="J94" i="41"/>
  <c r="I642" i="41"/>
  <c r="J22" i="39"/>
  <c r="I669" i="41"/>
  <c r="I226" i="41"/>
  <c r="H226" i="41"/>
  <c r="E666" i="41"/>
  <c r="K536" i="41"/>
  <c r="K625" i="41"/>
  <c r="I389" i="41"/>
  <c r="J575" i="41"/>
  <c r="E98" i="41"/>
  <c r="E275" i="41"/>
  <c r="E489" i="41"/>
  <c r="E681" i="41"/>
  <c r="K666" i="41"/>
  <c r="H536" i="41"/>
  <c r="J409" i="41"/>
  <c r="J389" i="41"/>
  <c r="H656" i="41"/>
  <c r="K574" i="41"/>
  <c r="E281" i="41"/>
  <c r="K267" i="41"/>
  <c r="I18" i="41"/>
  <c r="I177" i="41"/>
  <c r="H392" i="41"/>
  <c r="H639" i="41"/>
  <c r="I691" i="41"/>
  <c r="E267" i="41"/>
  <c r="I455" i="41"/>
  <c r="I600" i="41"/>
  <c r="K424" i="41"/>
  <c r="I345" i="41"/>
  <c r="E639" i="41"/>
  <c r="E424" i="41"/>
  <c r="J656" i="41"/>
  <c r="E657" i="41"/>
  <c r="H255" i="41"/>
  <c r="E322" i="41"/>
  <c r="I19" i="39"/>
  <c r="H267" i="41"/>
  <c r="H455" i="41"/>
  <c r="H345" i="41"/>
  <c r="E299" i="41"/>
  <c r="I574" i="41"/>
  <c r="K193" i="41"/>
  <c r="J281" i="41"/>
  <c r="J639" i="41"/>
  <c r="K691" i="41"/>
  <c r="J691" i="41"/>
  <c r="K37" i="41"/>
  <c r="E37" i="41"/>
  <c r="I461" i="41"/>
  <c r="I672" i="41"/>
  <c r="J392" i="41"/>
  <c r="K656" i="41"/>
  <c r="E656" i="41"/>
  <c r="J255" i="41"/>
  <c r="K322" i="41"/>
  <c r="J267" i="41"/>
  <c r="H574" i="41"/>
  <c r="H193" i="41"/>
  <c r="J45" i="41"/>
  <c r="H691" i="41"/>
  <c r="H37" i="41"/>
  <c r="K544" i="41"/>
  <c r="I350" i="41"/>
  <c r="E461" i="41"/>
  <c r="K461" i="41"/>
  <c r="K672" i="41"/>
  <c r="J424" i="41"/>
  <c r="J657" i="41"/>
  <c r="I255" i="41"/>
  <c r="J455" i="41"/>
  <c r="H299" i="41"/>
  <c r="H281" i="41"/>
  <c r="K639" i="41"/>
  <c r="H247" i="41"/>
  <c r="H544" i="41"/>
  <c r="J350" i="41"/>
  <c r="H486" i="41"/>
  <c r="I424" i="41"/>
  <c r="K392" i="41"/>
  <c r="H657" i="41"/>
  <c r="K255" i="41"/>
  <c r="H322" i="41"/>
  <c r="I299" i="41"/>
  <c r="E193" i="41"/>
  <c r="I281" i="41"/>
  <c r="K45" i="41"/>
  <c r="E558" i="41"/>
  <c r="I247" i="41"/>
  <c r="J558" i="41"/>
  <c r="E45" i="41"/>
  <c r="I392" i="41"/>
  <c r="J322" i="41"/>
  <c r="K299" i="41"/>
  <c r="K247" i="41"/>
  <c r="E65" i="41"/>
  <c r="J98" i="41"/>
  <c r="H98" i="41"/>
  <c r="J383" i="41"/>
  <c r="E642" i="41"/>
  <c r="E669" i="41"/>
  <c r="H531" i="41"/>
  <c r="E409" i="41"/>
  <c r="I383" i="41"/>
  <c r="J642" i="41"/>
  <c r="H669" i="41"/>
  <c r="K409" i="41"/>
  <c r="J585" i="41"/>
  <c r="I570" i="41"/>
  <c r="E316" i="41"/>
  <c r="J311" i="41"/>
  <c r="E423" i="41"/>
  <c r="H395" i="41"/>
  <c r="K261" i="41"/>
  <c r="I294" i="41"/>
  <c r="H294" i="41"/>
  <c r="J282" i="41"/>
  <c r="J511" i="41"/>
  <c r="E13" i="41"/>
  <c r="I459" i="41"/>
  <c r="H507" i="41"/>
  <c r="E570" i="41"/>
  <c r="H511" i="41"/>
  <c r="J204" i="41"/>
  <c r="E111" i="41"/>
  <c r="J507" i="41"/>
  <c r="I507" i="41"/>
  <c r="J261" i="41"/>
  <c r="K294" i="41"/>
  <c r="I282" i="41"/>
  <c r="E282" i="41"/>
  <c r="I332" i="41"/>
  <c r="J570" i="41"/>
  <c r="H24" i="39"/>
  <c r="H13" i="41"/>
  <c r="I316" i="41"/>
  <c r="K475" i="41"/>
  <c r="E311" i="41"/>
  <c r="I423" i="41"/>
  <c r="J423" i="41"/>
  <c r="E395" i="41"/>
  <c r="H332" i="41"/>
  <c r="K13" i="41"/>
  <c r="H316" i="41"/>
  <c r="J475" i="41"/>
  <c r="H312" i="41"/>
  <c r="J308" i="41"/>
  <c r="H342" i="41"/>
  <c r="E430" i="41"/>
  <c r="I92" i="41"/>
  <c r="K600" i="41"/>
  <c r="E177" i="41"/>
  <c r="E247" i="41"/>
  <c r="I558" i="41"/>
  <c r="H672" i="41"/>
  <c r="E544" i="41"/>
  <c r="E350" i="41"/>
  <c r="K558" i="41"/>
  <c r="H65" i="41"/>
  <c r="K480" i="41"/>
  <c r="J486" i="41"/>
  <c r="K486" i="41"/>
  <c r="K510" i="41"/>
  <c r="H642" i="41"/>
  <c r="J480" i="41"/>
  <c r="E486" i="41"/>
  <c r="J17" i="39"/>
  <c r="I403" i="41"/>
  <c r="J510" i="41"/>
  <c r="K16" i="29"/>
  <c r="H600" i="41"/>
  <c r="H480" i="41"/>
  <c r="H510" i="41"/>
  <c r="K353" i="41"/>
  <c r="H585" i="41"/>
  <c r="E204" i="41"/>
  <c r="H475" i="41"/>
  <c r="J111" i="41"/>
  <c r="J312" i="41"/>
  <c r="H459" i="41"/>
  <c r="K92" i="41"/>
  <c r="I585" i="41"/>
  <c r="I204" i="41"/>
  <c r="I136" i="41"/>
  <c r="K707" i="41"/>
  <c r="H375" i="41"/>
  <c r="H259" i="41"/>
  <c r="I353" i="41"/>
  <c r="E92" i="41"/>
  <c r="E387" i="41"/>
  <c r="I150" i="41"/>
  <c r="E564" i="41"/>
  <c r="I527" i="41"/>
  <c r="E621" i="41"/>
  <c r="K529" i="41"/>
  <c r="I147" i="41"/>
  <c r="E550" i="41"/>
  <c r="E451" i="41"/>
  <c r="I402" i="41"/>
  <c r="K462" i="41"/>
  <c r="J588" i="41"/>
  <c r="J402" i="41"/>
  <c r="E260" i="41"/>
  <c r="J182" i="41"/>
  <c r="E462" i="41"/>
  <c r="K339" i="41"/>
  <c r="E588" i="41"/>
  <c r="K150" i="41"/>
  <c r="E26" i="41"/>
  <c r="H527" i="41"/>
  <c r="J621" i="41"/>
  <c r="K472" i="41"/>
  <c r="I607" i="41"/>
  <c r="J18" i="41"/>
  <c r="I35" i="41"/>
  <c r="H550" i="41"/>
  <c r="E627" i="41"/>
  <c r="K293" i="41"/>
  <c r="I27" i="41"/>
  <c r="K141" i="41"/>
  <c r="E616" i="41"/>
  <c r="I616" i="41"/>
  <c r="H387" i="41"/>
  <c r="H402" i="41"/>
  <c r="K260" i="41"/>
  <c r="I182" i="41"/>
  <c r="I462" i="41"/>
  <c r="J339" i="41"/>
  <c r="H150" i="41"/>
  <c r="K26" i="41"/>
  <c r="J527" i="41"/>
  <c r="H621" i="41"/>
  <c r="E472" i="41"/>
  <c r="J607" i="41"/>
  <c r="H18" i="41"/>
  <c r="J324" i="41"/>
  <c r="E466" i="41"/>
  <c r="I141" i="41"/>
  <c r="H451" i="41"/>
  <c r="E600" i="41"/>
  <c r="J65" i="41"/>
  <c r="K65" i="41"/>
  <c r="I480" i="41"/>
  <c r="I536" i="41"/>
  <c r="H177" i="41"/>
  <c r="H17" i="39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5" i="39"/>
  <c r="K34" i="39"/>
  <c r="D10" i="59"/>
  <c r="B86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22" i="39" l="1"/>
  <c r="K26" i="39"/>
  <c r="K31" i="39"/>
  <c r="K32" i="39"/>
  <c r="K24" i="39"/>
  <c r="I38" i="39"/>
  <c r="J38" i="39"/>
  <c r="J39" i="39" s="1"/>
  <c r="J40" i="39" s="1"/>
  <c r="K19" i="39"/>
  <c r="K17" i="39"/>
  <c r="H38" i="39"/>
  <c r="H39" i="39" s="1"/>
  <c r="H40" i="39" s="1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D11" i="59"/>
  <c r="F7" i="54"/>
  <c r="K38" i="39" l="1"/>
  <c r="K39" i="39" s="1"/>
  <c r="K40" i="39" s="1"/>
  <c r="E12" i="54"/>
  <c r="L12" i="54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/>
  <c r="M23" i="54" s="1"/>
  <c r="S15" i="54"/>
  <c r="Q16" i="54"/>
  <c r="T15" i="54"/>
  <c r="N23" i="54" l="1"/>
  <c r="P23" i="54" s="1"/>
  <c r="J24" i="54"/>
  <c r="I25" i="54"/>
  <c r="H25" i="54"/>
  <c r="J25" i="54" s="1"/>
  <c r="C26" i="54"/>
  <c r="D25" i="54"/>
  <c r="E25" i="54" s="1"/>
  <c r="E24" i="54"/>
  <c r="L24" i="54" s="1"/>
  <c r="M24" i="54" s="1"/>
  <c r="Q17" i="54"/>
  <c r="S16" i="54"/>
  <c r="T16" i="54"/>
  <c r="N24" i="54" l="1"/>
  <c r="P24" i="54" s="1"/>
  <c r="L25" i="54"/>
  <c r="M25" i="54" s="1"/>
  <c r="N25" i="54" s="1"/>
  <c r="P25" i="54" s="1"/>
  <c r="H26" i="54"/>
  <c r="C27" i="54"/>
  <c r="I26" i="54"/>
  <c r="D26" i="54"/>
  <c r="Q18" i="54"/>
  <c r="S17" i="54"/>
  <c r="T17" i="54"/>
  <c r="H27" i="54" l="1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/>
  <c r="M28" i="54" s="1"/>
  <c r="N28" i="54" s="1"/>
  <c r="P28" i="54" s="1"/>
  <c r="N27" i="54"/>
  <c r="P27" i="54" s="1"/>
  <c r="I29" i="54"/>
  <c r="C30" i="54"/>
  <c r="D29" i="54"/>
  <c r="H29" i="54"/>
  <c r="E29" i="54"/>
  <c r="L29" i="54" s="1"/>
  <c r="M29" i="54" s="1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<sst xmlns="http://schemas.openxmlformats.org/spreadsheetml/2006/main" count="4745" uniqueCount="1638">
  <si>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</si>
  <si>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</si>
  <si>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</si>
  <si>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</si>
  <si>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</si>
  <si>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</si>
  <si>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</si>
  <si>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</si>
  <si>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</si>
  <si>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</si>
  <si>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</si>
  <si>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</si>
  <si>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</si>
  <si>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</si>
  <si>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</si>
  <si>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</si>
  <si>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</si>
  <si>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</si>
  <si>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</si>
  <si>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</si>
  <si>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</si>
  <si>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</si>
  <si>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</si>
  <si>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</si>
  <si>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</si>
  <si>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</si>
  <si>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</si>
  <si>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</si>
  <si>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</si>
  <si>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</si>
  <si>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</si>
  <si>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</si>
  <si>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</si>
  <si>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</si>
  <si>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</si>
  <si>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</si>
  <si>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</si>
  <si>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</si>
  <si>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</si>
  <si>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</si>
  <si>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</si>
  <si>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</si>
  <si>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</si>
  <si>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</si>
  <si>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</si>
  <si>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</si>
  <si>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</si>
  <si>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</si>
  <si>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</si>
  <si>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</si>
  <si>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</si>
  <si>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</si>
  <si>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</si>
  <si>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</si>
  <si>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</si>
  <si>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</si>
  <si>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</si>
  <si>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</si>
  <si>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</si>
  <si>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</si>
  <si>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</si>
  <si>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</si>
  <si>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</si>
  <si>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</si>
  <si>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</si>
  <si>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</si>
  <si>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</si>
  <si>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</si>
  <si>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</si>
  <si>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</si>
  <si>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</si>
  <si>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</si>
  <si>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</si>
  <si>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</si>
  <si>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</si>
  <si>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</si>
  <si>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</si>
  <si>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</si>
  <si>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</si>
  <si>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</si>
  <si>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</si>
  <si>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</si>
  <si>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</si>
  <si>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</si>
  <si>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</si>
  <si>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</si>
  <si>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</si>
  <si>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</si>
  <si>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</si>
  <si>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</si>
  <si>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</si>
  <si>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</si>
  <si>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</si>
  <si>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</si>
  <si>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</si>
  <si>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</si>
  <si>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</si>
  <si>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</si>
  <si>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</si>
  <si>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</si>
  <si>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</si>
  <si>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</si>
  <si>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</si>
  <si>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</si>
  <si>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</si>
  <si>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</si>
  <si>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</si>
  <si>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</si>
  <si>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</si>
  <si>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</si>
  <si>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</si>
  <si>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</si>
  <si>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</si>
  <si>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</si>
  <si>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</si>
  <si>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</si>
  <si>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</si>
  <si>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</si>
  <si>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</si>
  <si>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</si>
  <si>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</si>
  <si>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</si>
  <si>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</si>
  <si>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</si>
  <si>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</si>
  <si>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</si>
  <si>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</si>
  <si>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</si>
  <si>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</si>
  <si>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</si>
  <si>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</si>
  <si>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</si>
  <si>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</si>
  <si>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</si>
  <si>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</si>
  <si>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</si>
  <si>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</si>
  <si>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</si>
  <si>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</si>
  <si>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</si>
  <si>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</si>
  <si>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</si>
  <si>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</si>
  <si>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</si>
  <si>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</si>
  <si>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</si>
  <si>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</si>
  <si>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</si>
  <si>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</si>
  <si>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</si>
  <si>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</si>
  <si>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</si>
  <si>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</si>
  <si>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</si>
  <si>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</si>
  <si>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</si>
  <si>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</si>
  <si>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</si>
  <si>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</si>
  <si>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</si>
  <si>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</si>
  <si>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</si>
  <si>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</si>
  <si>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</si>
  <si>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</si>
  <si>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</si>
  <si>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</si>
  <si>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</si>
  <si>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</si>
  <si>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</si>
  <si>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</si>
  <si>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</si>
  <si>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</si>
  <si>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</si>
  <si>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</si>
  <si>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</si>
  <si>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</si>
  <si>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</si>
  <si>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</si>
  <si>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</si>
  <si>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</si>
  <si>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</si>
  <si>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</si>
  <si>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</si>
  <si>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</si>
  <si>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</si>
  <si>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</si>
  <si>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</si>
  <si>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</si>
  <si>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</si>
  <si>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</si>
  <si>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</si>
  <si>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</si>
  <si>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</si>
  <si>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</si>
  <si>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</si>
  <si>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</si>
  <si>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</si>
  <si>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</si>
  <si>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</si>
  <si>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</si>
  <si>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</si>
  <si>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</si>
  <si>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</si>
  <si>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</si>
  <si>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</si>
  <si>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</si>
  <si>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</si>
  <si>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</si>
  <si>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</si>
  <si>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</si>
  <si>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</si>
  <si>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</si>
  <si>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</si>
  <si>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</si>
  <si>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</si>
  <si>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</si>
  <si>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</si>
  <si>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</si>
  <si>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</si>
  <si>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</si>
  <si>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</si>
  <si>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</si>
  <si>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</si>
  <si>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</si>
  <si>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</si>
  <si>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</si>
  <si>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</si>
  <si>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</si>
  <si>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</si>
  <si>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</si>
  <si>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</si>
  <si>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</si>
  <si>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</si>
  <si>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</si>
  <si>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</si>
  <si>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</si>
  <si>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</si>
  <si>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</si>
  <si>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</si>
  <si>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</si>
  <si>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</si>
  <si>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</si>
  <si>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</si>
  <si>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</si>
  <si>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</si>
  <si>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</si>
  <si>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</si>
  <si>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</si>
  <si>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</si>
  <si>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</si>
  <si>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</si>
  <si>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</si>
  <si>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</si>
  <si>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</si>
  <si>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</si>
  <si>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</si>
  <si>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</si>
  <si>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</si>
  <si>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</si>
  <si>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</si>
  <si>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</si>
  <si>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</si>
  <si>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</si>
  <si>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</si>
  <si>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</si>
  <si>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</si>
  <si>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</si>
  <si>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</si>
  <si>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</si>
  <si>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</si>
  <si>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</si>
  <si>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</si>
  <si>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</si>
  <si>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</si>
  <si>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</si>
  <si>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</si>
  <si>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</si>
  <si>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</si>
  <si>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</si>
  <si>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</si>
  <si>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</si>
  <si>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</si>
  <si>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</si>
  <si>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</si>
  <si>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</si>
  <si>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</si>
  <si>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</si>
  <si>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</si>
  <si>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</si>
  <si>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</si>
  <si>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</si>
  <si>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</si>
  <si>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</si>
  <si>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</si>
  <si>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</si>
  <si>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</si>
  <si>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</si>
  <si>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</si>
  <si>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</si>
  <si>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</si>
  <si>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</si>
  <si>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</si>
  <si>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</si>
  <si>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</si>
  <si>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</si>
  <si>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</si>
  <si>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</si>
  <si>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</si>
  <si>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</si>
  <si>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</si>
  <si>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</si>
  <si>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</si>
  <si>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</si>
  <si>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</si>
  <si>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</si>
  <si>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</si>
  <si>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</si>
  <si>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</si>
  <si>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</si>
  <si>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</si>
  <si>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</si>
  <si>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</si>
  <si>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</si>
  <si>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</si>
  <si>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</si>
  <si>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</si>
  <si>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</si>
  <si>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</si>
  <si>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</si>
  <si>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</si>
  <si>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</si>
  <si>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</si>
  <si>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</si>
  <si>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</si>
  <si>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</si>
  <si>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</si>
  <si>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</si>
  <si>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</si>
  <si>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</si>
  <si>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</si>
  <si>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</si>
  <si>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</si>
  <si>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</si>
  <si>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</si>
  <si>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</si>
  <si>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</si>
  <si>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</si>
  <si>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</si>
  <si>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</si>
  <si>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</si>
  <si>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</si>
  <si>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</si>
  <si>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</si>
  <si>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</si>
  <si>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</si>
  <si>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</si>
  <si>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</si>
  <si>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</si>
  <si>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</si>
  <si>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</si>
  <si>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</si>
  <si>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</si>
  <si>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</si>
  <si>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</si>
  <si>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</si>
  <si>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</si>
  <si>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</si>
  <si>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</si>
  <si>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</si>
  <si>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</si>
  <si>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</si>
  <si>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</si>
  <si>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</si>
  <si>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</si>
  <si>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</si>
  <si>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</si>
  <si>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</si>
  <si>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</si>
  <si>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</si>
  <si>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</si>
  <si>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</si>
  <si>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</si>
  <si>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</si>
  <si>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</si>
  <si>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</si>
  <si>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</si>
  <si>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</si>
  <si>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</si>
  <si>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</si>
  <si>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</si>
  <si>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</si>
  <si>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</si>
  <si>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</si>
  <si>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</si>
  <si>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</si>
  <si>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</si>
  <si>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</si>
  <si>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</si>
  <si>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</si>
  <si>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</si>
  <si>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</si>
  <si>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</si>
  <si>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</si>
  <si>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</si>
  <si>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</si>
  <si>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</si>
  <si>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</si>
  <si>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</si>
  <si>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</si>
  <si>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</si>
  <si>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</si>
  <si>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</si>
  <si>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</si>
  <si>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</si>
  <si>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</si>
  <si>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</si>
  <si>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</si>
  <si>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</si>
  <si>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</si>
  <si>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</si>
  <si>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</si>
  <si>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</si>
  <si>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</si>
  <si>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</si>
  <si>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</si>
  <si>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</si>
  <si>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</si>
  <si>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</si>
  <si>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</si>
  <si>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</si>
  <si>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</si>
  <si>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</si>
  <si>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</si>
  <si>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</si>
  <si>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</si>
  <si>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</si>
  <si>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</si>
  <si>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</si>
  <si>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</si>
  <si>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</si>
  <si>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</si>
  <si>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</si>
  <si>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</si>
  <si>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</si>
  <si>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</si>
  <si>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</si>
  <si>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</si>
  <si>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</si>
  <si>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</si>
  <si>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</si>
  <si>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</si>
  <si>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</si>
  <si>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</si>
  <si>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</si>
  <si>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</si>
  <si>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</si>
  <si>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</si>
  <si>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</si>
  <si>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</si>
  <si>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</si>
  <si>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</si>
  <si>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</si>
  <si>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</si>
  <si>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</si>
  <si>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</si>
  <si>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</si>
  <si>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</si>
  <si>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</si>
  <si>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</si>
  <si>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</si>
  <si>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</si>
  <si>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</si>
  <si>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</si>
  <si>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</si>
  <si>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</si>
  <si>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</si>
  <si>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</si>
  <si>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</si>
  <si>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</si>
  <si>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</si>
  <si>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</si>
  <si>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</si>
  <si>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</si>
  <si>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</si>
  <si>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</si>
  <si>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</si>
  <si>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</si>
  <si>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</si>
  <si>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</si>
  <si>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</si>
  <si>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</si>
  <si>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</si>
  <si>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</si>
  <si>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</si>
  <si>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</si>
  <si>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</si>
  <si>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</si>
  <si>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</si>
  <si>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</si>
  <si>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</si>
  <si>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</si>
  <si>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</si>
  <si>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</si>
  <si>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</si>
  <si>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</si>
  <si>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</si>
  <si>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</si>
  <si>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</si>
  <si>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</si>
  <si>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</si>
  <si>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</si>
  <si>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</si>
  <si>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</si>
  <si>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</si>
  <si>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</si>
  <si>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</si>
  <si>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</si>
  <si>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</si>
  <si>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</si>
  <si>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</si>
  <si>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</si>
  <si>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</si>
  <si>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</si>
  <si>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</si>
  <si>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</si>
  <si>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</si>
  <si>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</si>
  <si>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</si>
  <si>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</si>
  <si>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</si>
  <si>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</si>
  <si>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</si>
  <si>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</si>
  <si>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</si>
  <si>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</si>
  <si>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</si>
  <si>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</si>
  <si>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</si>
  <si>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</si>
  <si>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</si>
  <si>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</si>
  <si>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</si>
  <si>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</si>
  <si>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</si>
  <si>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</si>
  <si>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</si>
  <si>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</si>
  <si>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</si>
  <si>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</si>
  <si>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</si>
  <si>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</si>
  <si>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</si>
  <si>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</si>
  <si>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</si>
  <si>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</si>
  <si>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</si>
  <si>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</si>
  <si>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</si>
  <si>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</si>
  <si>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</si>
  <si>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</si>
  <si>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</si>
  <si>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</si>
  <si>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</si>
  <si>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</si>
  <si>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</si>
  <si>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</si>
  <si>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</si>
  <si>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</si>
  <si>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</si>
  <si>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</si>
  <si>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</si>
  <si>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</si>
  <si>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</si>
  <si>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</si>
  <si>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</si>
  <si>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</si>
  <si>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</si>
  <si>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</si>
  <si>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</si>
  <si>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</si>
  <si>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</si>
  <si>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</si>
  <si>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</si>
  <si>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</si>
  <si>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</si>
  <si>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</si>
  <si>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</si>
  <si>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</si>
  <si>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</si>
  <si>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</si>
  <si>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</si>
  <si>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</si>
  <si>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</si>
  <si>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</si>
  <si>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</si>
  <si>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</si>
  <si>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</si>
  <si>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</si>
  <si>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</si>
  <si>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</si>
  <si>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</si>
  <si>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</si>
  <si>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</si>
  <si>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</si>
  <si>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</si>
  <si>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</si>
  <si>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</si>
  <si>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</si>
  <si>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</si>
  <si>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</si>
  <si>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</si>
  <si>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</si>
  <si>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</si>
  <si>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</si>
  <si>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</si>
  <si>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</si>
  <si>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</si>
  <si>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</si>
  <si>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</si>
  <si>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</si>
  <si>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</si>
  <si>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</si>
  <si>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</si>
  <si>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</si>
  <si>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</si>
  <si>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</si>
  <si>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</si>
  <si>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</si>
  <si>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</si>
  <si>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</si>
  <si>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</si>
  <si>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</si>
  <si>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</si>
  <si>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</si>
  <si>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</si>
  <si>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</si>
  <si>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</si>
  <si>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</si>
  <si>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</si>
  <si>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</si>
  <si>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</si>
  <si>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</si>
  <si>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</si>
  <si>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</si>
  <si>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</si>
  <si>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</si>
  <si>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</si>
  <si>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</si>
  <si>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</si>
  <si>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</si>
  <si>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</si>
  <si>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</si>
  <si>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</si>
  <si>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</si>
  <si>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</si>
  <si>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</si>
  <si>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</si>
  <si>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</si>
  <si>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</si>
  <si>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</si>
  <si>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</si>
  <si>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</si>
  <si>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</si>
  <si>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</si>
  <si>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</si>
  <si>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</si>
  <si>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</si>
  <si>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</si>
  <si>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</si>
  <si>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</si>
  <si>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</si>
  <si>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</si>
  <si>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</si>
  <si>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</si>
  <si>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</si>
  <si>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</si>
  <si>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</si>
  <si>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</si>
  <si>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</si>
  <si>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</si>
  <si>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</si>
  <si>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</si>
  <si>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</si>
  <si>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</si>
  <si>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</si>
  <si>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</si>
  <si>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</si>
  <si>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</si>
  <si>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</si>
  <si>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</si>
  <si>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</si>
  <si>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</si>
  <si>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</si>
  <si>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</si>
  <si>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</si>
  <si>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</si>
  <si>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</si>
  <si>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</si>
  <si>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</si>
  <si>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</si>
  <si>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</si>
  <si>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</si>
  <si>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</si>
  <si>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</si>
  <si>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</si>
  <si>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</si>
  <si>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</si>
  <si>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</si>
  <si>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</si>
  <si>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</si>
  <si>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</si>
  <si>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</si>
  <si>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</si>
  <si>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</si>
  <si>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</si>
  <si>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</si>
  <si>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</si>
  <si>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</si>
  <si>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</si>
  <si>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</si>
  <si>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</si>
  <si>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</si>
  <si>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</si>
  <si>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</si>
  <si>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</si>
  <si>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</si>
  <si>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</si>
  <si>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</si>
  <si>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</si>
  <si>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</si>
  <si>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</si>
  <si>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</si>
  <si>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</si>
  <si>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</si>
  <si>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</si>
  <si>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</si>
  <si>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</si>
  <si>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</si>
  <si>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</si>
  <si>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</si>
  <si>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</si>
  <si>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</si>
  <si>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</si>
  <si>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</si>
  <si>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</si>
  <si>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</si>
  <si>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</si>
  <si>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</si>
  <si>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</si>
  <si>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</si>
  <si>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</si>
  <si>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</si>
  <si>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</si>
  <si>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</si>
  <si>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</si>
  <si>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</si>
  <si>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</si>
  <si>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</si>
  <si>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</si>
  <si>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</si>
  <si>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</si>
  <si>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</si>
  <si>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</si>
  <si>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</si>
  <si>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</si>
  <si>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</si>
  <si>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</si>
  <si>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</si>
  <si>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</si>
  <si>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</si>
  <si>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</si>
  <si>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</si>
  <si>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</si>
  <si>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</si>
  <si>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</si>
  <si>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</si>
  <si>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</si>
  <si>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</si>
  <si>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</si>
  <si>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</si>
  <si>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</si>
  <si>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</si>
  <si>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</si>
  <si>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</si>
  <si>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</si>
  <si>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</si>
  <si>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</si>
  <si>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</si>
  <si>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</si>
  <si>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</si>
  <si>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</si>
  <si>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</si>
  <si>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</si>
  <si>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</si>
  <si>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</si>
  <si>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</si>
  <si>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</si>
  <si>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</si>
  <si>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</si>
  <si>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</si>
  <si>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</si>
  <si>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</si>
  <si>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</si>
  <si>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</si>
  <si>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</si>
  <si>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</si>
  <si>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</si>
  <si>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</si>
  <si>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</si>
  <si>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</si>
  <si>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</si>
  <si>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</si>
  <si>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</si>
  <si>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</si>
  <si>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</si>
  <si>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</si>
  <si>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</si>
  <si>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</si>
  <si>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</si>
  <si>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</si>
  <si>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</si>
  <si>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</si>
  <si>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</si>
  <si>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</si>
  <si>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</si>
  <si>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</si>
  <si>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</si>
  <si>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</si>
  <si>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</si>
  <si>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</si>
  <si>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</si>
  <si>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</si>
  <si>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</si>
  <si>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</si>
  <si>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</si>
  <si>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</si>
  <si>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</si>
  <si>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</si>
  <si>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</si>
  <si>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</si>
  <si>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</si>
  <si>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</si>
  <si>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</si>
  <si>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</si>
  <si>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</si>
  <si>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</si>
  <si>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</si>
  <si>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</si>
  <si>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</si>
  <si>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</si>
  <si>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</si>
  <si>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</si>
  <si>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</si>
  <si>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</si>
  <si>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</si>
  <si>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</si>
  <si>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</si>
  <si>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</si>
  <si>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</si>
  <si>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</si>
  <si>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</si>
  <si>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</si>
  <si>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</si>
  <si>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</si>
  <si>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</si>
  <si>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</si>
  <si>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</si>
  <si>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</si>
  <si>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</si>
  <si>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</si>
  <si>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</si>
  <si>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</si>
  <si>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</si>
  <si>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</si>
  <si>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</si>
  <si>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</si>
  <si>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</si>
  <si>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</si>
  <si>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</si>
  <si>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</si>
  <si>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</si>
  <si>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</si>
  <si>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</si>
  <si>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</si>
  <si>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</si>
  <si>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</si>
  <si>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</si>
  <si>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</si>
  <si>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</si>
  <si>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</si>
  <si>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</si>
  <si>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</si>
  <si>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</si>
  <si>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</si>
  <si>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</si>
  <si>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</si>
  <si>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</si>
  <si>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</si>
  <si>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</si>
  <si>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</si>
  <si>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</si>
  <si>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</si>
  <si>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</si>
  <si>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</si>
  <si>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</si>
  <si>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</si>
  <si>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</si>
  <si>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</si>
  <si>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</si>
  <si>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</si>
  <si>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</si>
  <si>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</si>
  <si>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</si>
  <si>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</si>
  <si>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</si>
  <si>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</si>
  <si>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</si>
  <si>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</si>
  <si>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</si>
  <si>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</si>
  <si>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</si>
  <si>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</si>
  <si>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</si>
  <si>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</si>
  <si>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</si>
  <si>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</si>
  <si>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</si>
  <si>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</si>
  <si>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</si>
  <si>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</si>
  <si>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</si>
  <si>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</si>
  <si>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</si>
  <si>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</si>
  <si>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</si>
  <si>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</si>
  <si>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</si>
  <si>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</si>
  <si>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</si>
  <si>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</si>
  <si>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</si>
  <si>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</si>
  <si>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</si>
  <si>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</si>
  <si>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</si>
  <si>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</si>
  <si>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</si>
  <si>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</si>
  <si>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</si>
  <si>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</si>
  <si>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</si>
  <si>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</si>
  <si>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</si>
  <si>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</si>
  <si>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</si>
  <si>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</si>
  <si>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</si>
  <si>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</si>
  <si>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</si>
  <si>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</si>
  <si>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</si>
  <si>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</si>
  <si>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</si>
  <si>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</si>
  <si>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</si>
  <si>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</si>
  <si>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</si>
  <si>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</si>
  <si>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</si>
  <si>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</si>
  <si>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</si>
  <si>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</si>
  <si>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</si>
  <si>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</si>
  <si>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</si>
  <si>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</si>
  <si>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</si>
  <si>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</si>
  <si>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</si>
  <si>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</si>
  <si>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</si>
  <si>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</si>
  <si>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</si>
  <si>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</si>
  <si>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</si>
  <si>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</si>
  <si>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</si>
  <si>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</si>
  <si>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</si>
  <si>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</si>
  <si>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</si>
  <si>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</si>
  <si>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</si>
  <si>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</si>
  <si>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</si>
  <si>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</si>
  <si>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</si>
  <si>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</si>
  <si>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</si>
  <si>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</si>
  <si>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</si>
  <si>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</si>
  <si>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</si>
  <si>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</si>
  <si>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</si>
  <si>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</si>
  <si>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</si>
  <si>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</si>
  <si>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</si>
  <si>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</si>
  <si>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</si>
  <si>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</si>
  <si>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</si>
  <si>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</si>
  <si>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</si>
  <si>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</si>
  <si>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</si>
  <si>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</si>
  <si>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</si>
  <si>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</si>
  <si>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</si>
  <si>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</si>
  <si>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</si>
  <si>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</si>
  <si>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</si>
  <si>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</si>
  <si>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</si>
  <si>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</si>
  <si>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</si>
  <si>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</si>
  <si>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</si>
  <si>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</si>
  <si>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</si>
  <si>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</si>
  <si>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</si>
  <si>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</si>
  <si>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</si>
  <si>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</si>
  <si>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</si>
  <si>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</si>
  <si>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</si>
  <si>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</si>
  <si>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</si>
  <si>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</si>
  <si>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</si>
  <si>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</si>
  <si>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</si>
  <si>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</si>
  <si>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</si>
  <si>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</si>
  <si>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</si>
  <si>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</si>
  <si>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</si>
  <si>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</si>
  <si>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</si>
  <si>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</si>
  <si>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</si>
  <si>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</si>
  <si>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</si>
  <si>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</si>
  <si>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</si>
  <si>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</si>
  <si>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</si>
  <si>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</si>
  <si>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</si>
  <si>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</si>
  <si>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</si>
  <si>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</si>
  <si>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</si>
  <si>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</si>
  <si>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</si>
  <si>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</si>
  <si>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</si>
  <si>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</si>
  <si>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</si>
  <si>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</si>
  <si>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</si>
  <si>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</si>
  <si>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</si>
  <si>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</si>
  <si>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</si>
  <si>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</si>
  <si>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</si>
  <si>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</si>
  <si>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</si>
  <si>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</si>
  <si>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</si>
  <si>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</si>
  <si>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</si>
  <si>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</si>
  <si>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</si>
  <si>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</si>
  <si>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</si>
  <si>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</si>
  <si>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</si>
  <si>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</si>
  <si>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</si>
  <si>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</si>
  <si>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</si>
  <si>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</si>
  <si>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</si>
  <si>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</si>
  <si>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</si>
  <si>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</si>
  <si>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</si>
  <si>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</si>
  <si>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</si>
  <si>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</si>
  <si>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</si>
  <si>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</si>
  <si>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</si>
  <si>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</si>
  <si>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</si>
  <si>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</si>
  <si>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</si>
  <si>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</si>
  <si>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</si>
  <si>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</si>
  <si>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</si>
  <si>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</si>
  <si>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</si>
  <si>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</si>
  <si>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</si>
  <si>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</si>
  <si>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</si>
  <si>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</si>
  <si>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</si>
  <si>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</si>
  <si>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</si>
  <si>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</si>
  <si>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</si>
  <si>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</si>
  <si>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</si>
  <si>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</si>
  <si>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</si>
  <si>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</si>
  <si>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</si>
  <si>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</si>
  <si>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</si>
  <si>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</si>
  <si>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</si>
  <si>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</si>
  <si>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</si>
  <si>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</si>
  <si>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</si>
  <si>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</si>
  <si>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</si>
  <si>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</si>
  <si>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</si>
  <si>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</si>
  <si>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</si>
  <si>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</si>
  <si>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</si>
  <si>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</si>
  <si>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</si>
  <si>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</si>
  <si>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</si>
  <si>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</si>
  <si>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</si>
  <si>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</si>
  <si>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</si>
  <si>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</si>
  <si>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</si>
  <si>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</si>
  <si>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</si>
  <si>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</si>
  <si>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</si>
  <si>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</si>
  <si>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</si>
  <si>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</si>
  <si>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</si>
  <si>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</si>
  <si>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</si>
  <si>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</si>
  <si>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</si>
  <si>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</si>
  <si>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</si>
  <si>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</si>
  <si>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</si>
  <si>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</si>
  <si>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</si>
  <si>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</si>
  <si>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</si>
  <si>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</si>
  <si>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</si>
  <si>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</si>
  <si>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</si>
  <si>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</si>
  <si>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</si>
  <si>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</si>
  <si>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</si>
  <si>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</si>
  <si>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</si>
  <si>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</si>
  <si>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</si>
  <si>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</si>
  <si>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</si>
  <si>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</si>
  <si>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</si>
  <si>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</si>
  <si>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</si>
  <si>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</si>
  <si>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</si>
  <si>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</si>
  <si>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</si>
  <si>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</si>
  <si>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</si>
  <si>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</si>
  <si>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</si>
  <si>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</si>
  <si>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</si>
  <si>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</si>
  <si>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</si>
  <si>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</si>
  <si>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</si>
  <si>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</si>
  <si>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</si>
  <si>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</si>
  <si>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</si>
  <si>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</si>
  <si>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</si>
  <si>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</si>
  <si>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</si>
  <si>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</si>
  <si>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</si>
  <si>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</si>
  <si>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</si>
  <si>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</si>
  <si>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</si>
  <si>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</si>
  <si>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</si>
  <si>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</si>
  <si>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</si>
  <si>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</si>
  <si>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</si>
  <si>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</si>
  <si>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</si>
  <si>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</si>
  <si>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</si>
  <si>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</si>
  <si>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</si>
  <si>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</si>
  <si>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</si>
  <si>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</si>
  <si>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</si>
  <si>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</si>
  <si>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</si>
  <si>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</si>
  <si>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</si>
  <si>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</si>
  <si>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</si>
  <si>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</si>
  <si>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</si>
  <si>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</si>
  <si>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</si>
  <si>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</si>
  <si>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</si>
  <si>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</si>
  <si>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</si>
  <si>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</si>
  <si>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</si>
  <si>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</si>
  <si>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</si>
  <si>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</si>
  <si>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</si>
  <si>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</si>
  <si>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</si>
  <si>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</si>
  <si>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</si>
  <si>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</si>
  <si>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</si>
  <si>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</si>
  <si>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</si>
  <si>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</si>
  <si>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</si>
  <si>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</si>
  <si>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</si>
  <si>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</si>
  <si>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</si>
  <si>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</si>
  <si>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</si>
  <si>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</si>
  <si>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</si>
  <si>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</si>
  <si>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</si>
  <si>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</si>
  <si>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</si>
  <si>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</si>
  <si>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</si>
  <si>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</si>
  <si>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</si>
  <si>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</si>
  <si>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</si>
  <si>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</si>
  <si>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</si>
  <si>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</si>
  <si>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</si>
  <si>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</si>
  <si>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</si>
  <si>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</si>
  <si>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</si>
  <si>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</si>
  <si>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</si>
  <si>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</si>
  <si>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</si>
  <si>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</si>
  <si>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</si>
  <si>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</si>
  <si>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</si>
  <si>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</si>
  <si>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</si>
  <si>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</si>
  <si>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</si>
  <si>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</si>
  <si>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</si>
  <si>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</si>
  <si>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</si>
  <si>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</si>
  <si>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</si>
  <si>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</si>
  <si>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</si>
  <si>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</si>
  <si>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</si>
  <si>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</si>
  <si>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</si>
  <si>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</si>
  <si>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</si>
  <si>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</si>
  <si>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</si>
  <si>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</si>
  <si>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</si>
  <si>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</si>
  <si>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</si>
  <si>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</si>
  <si>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</si>
  <si>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</si>
  <si>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</si>
  <si>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</si>
  <si>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</si>
  <si>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</si>
  <si>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</si>
  <si>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</si>
  <si>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</si>
  <si>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</si>
  <si>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</si>
  <si>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</si>
  <si>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</si>
  <si>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</si>
  <si>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</si>
  <si>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</si>
  <si>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</si>
  <si>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</si>
  <si>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</si>
  <si>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</si>
  <si>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</si>
  <si>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</si>
  <si>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</si>
  <si>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</si>
  <si>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</si>
  <si>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</si>
  <si>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</si>
  <si>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</si>
  <si>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</si>
  <si>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</si>
  <si>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</si>
  <si>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</si>
  <si>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</si>
  <si>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</si>
  <si>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</si>
  <si>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</si>
  <si>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</si>
  <si>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</si>
  <si>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</si>
  <si>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</si>
  <si>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</si>
  <si>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</si>
  <si>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</si>
  <si>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</si>
  <si>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</si>
  <si>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</si>
  <si>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</si>
  <si>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</si>
  <si>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</si>
  <si>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</si>
  <si>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</si>
  <si>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</si>
  <si>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</si>
  <si>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</si>
  <si>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</si>
  <si>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</si>
  <si>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</si>
  <si>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</si>
  <si>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</si>
  <si>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</si>
  <si>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</si>
  <si>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</si>
  <si>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</si>
  <si>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</si>
  <si>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</si>
  <si>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</si>
  <si>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</si>
  <si>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</si>
  <si>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</si>
  <si>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</si>
  <si>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</si>
  <si>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</si>
  <si>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</si>
  <si>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</si>
  <si>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</si>
  <si>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</si>
  <si>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</si>
  <si>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</si>
  <si>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</si>
  <si>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</si>
  <si>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</si>
  <si>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</si>
  <si>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</si>
  <si>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</si>
  <si>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</si>
  <si>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</si>
  <si>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</si>
  <si>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</si>
  <si>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</si>
  <si>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</si>
  <si>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</si>
  <si>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</si>
  <si>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</si>
  <si>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</si>
  <si>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</si>
  <si>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</si>
  <si>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</si>
  <si>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</si>
  <si>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</si>
  <si>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</si>
  <si>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</si>
  <si>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</si>
  <si>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</si>
  <si>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</si>
  <si>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</si>
  <si>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</si>
  <si>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</si>
  <si>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</si>
  <si>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</si>
  <si>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</si>
  <si>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</si>
  <si>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</si>
  <si>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</si>
  <si>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</si>
  <si>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</si>
  <si>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</si>
  <si>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</si>
  <si>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</si>
  <si>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</si>
  <si>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</si>
  <si>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</si>
  <si>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</si>
  <si>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</si>
  <si>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</si>
  <si>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</si>
  <si>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</si>
  <si>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</si>
  <si>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</si>
  <si>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</si>
  <si>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</si>
  <si>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</si>
  <si>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</si>
  <si>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</si>
  <si>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</si>
  <si>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</si>
  <si>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</si>
  <si>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</si>
  <si>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</si>
  <si>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</si>
  <si>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</si>
  <si>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</si>
  <si>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</si>
  <si>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</si>
  <si>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</si>
  <si>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</si>
  <si>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</si>
  <si>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</si>
  <si>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</si>
  <si>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</si>
  <si>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</si>
  <si>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</si>
  <si>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</si>
  <si>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</si>
  <si>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</si>
  <si>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</si>
  <si>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</si>
  <si>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</si>
  <si>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</si>
  <si>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</si>
  <si>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</si>
  <si>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</si>
  <si>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</si>
  <si>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</si>
  <si>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</si>
  <si>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</si>
  <si>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</si>
  <si>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</si>
  <si>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</si>
  <si>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</si>
  <si>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</si>
  <si>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</si>
  <si>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</si>
  <si>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</si>
  <si>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</si>
  <si>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</si>
  <si>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</si>
  <si>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</si>
  <si>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</si>
  <si>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</si>
  <si>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</si>
  <si>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</si>
  <si>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</si>
  <si>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</si>
  <si>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</si>
  <si>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</si>
  <si>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</si>
  <si>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</si>
  <si>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</si>
  <si>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</si>
  <si>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</si>
  <si>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</si>
  <si>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</si>
  <si>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</si>
  <si>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</si>
  <si>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</si>
  <si>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</si>
  <si>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</si>
  <si>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</si>
  <si>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</si>
  <si>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</si>
  <si>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</si>
  <si>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</si>
  <si>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</si>
  <si>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</si>
  <si>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</si>
  <si>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</si>
  <si>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</si>
  <si>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</si>
  <si>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</si>
  <si>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</si>
  <si>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</si>
  <si>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</si>
  <si>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</si>
  <si>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</si>
  <si>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</si>
  <si>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</si>
  <si>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</si>
  <si>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</si>
  <si>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</si>
  <si>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</si>
  <si>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</si>
  <si>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</si>
  <si>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</si>
  <si>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</si>
  <si>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</si>
  <si>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</si>
  <si>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</si>
  <si>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</si>
  <si>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</si>
  <si>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</si>
  <si>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</si>
  <si>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</si>
  <si>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</si>
  <si>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</si>
  <si>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</si>
  <si>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</si>
  <si>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</si>
  <si>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</si>
  <si>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</si>
  <si>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</si>
  <si>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</si>
  <si>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</si>
  <si>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</si>
  <si>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</si>
  <si>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</si>
  <si>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</si>
  <si>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</si>
  <si>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</si>
  <si>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</si>
  <si>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</si>
  <si>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</si>
  <si>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</si>
  <si>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</si>
  <si>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</si>
  <si>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</si>
  <si>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</si>
  <si>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</si>
  <si>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</si>
  <si>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</si>
  <si>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</si>
  <si>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</si>
  <si>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</si>
  <si>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</si>
  <si>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</si>
  <si>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</si>
  <si>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</si>
  <si>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</si>
  <si>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</si>
  <si>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</si>
  <si>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</si>
  <si>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</si>
  <si>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</si>
  <si>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</si>
  <si>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</si>
  <si>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</si>
  <si>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</si>
  <si>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</si>
  <si>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</si>
  <si>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</si>
  <si>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</si>
  <si>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</si>
  <si>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Demak, 30Agustus 2023</t>
  </si>
  <si>
    <t>UNIT</t>
  </si>
  <si>
    <t>CM2-11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</si>
  <si>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</si>
  <si>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</si>
  <si>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</si>
  <si>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</si>
  <si>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</si>
  <si>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</si>
  <si>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NFA2X-T 3 x 70 + N 50 mm²</t>
  </si>
  <si>
    <t>G312-A 50KVA</t>
  </si>
  <si>
    <t>-7.061294, 110.912677</t>
  </si>
  <si>
    <t>DS JANGKUNGHARJO</t>
  </si>
  <si>
    <t>K2-573/29</t>
  </si>
  <si>
    <t>PWI04</t>
  </si>
  <si>
    <t>APP 3P PRA 33KVA</t>
  </si>
  <si>
    <t>PB TRI WAHYUNINGSIH 33 KVA</t>
  </si>
  <si>
    <t>PB TRI WAHYUNINGSIH</t>
  </si>
  <si>
    <t>Trafo 3 Fasa 100 KVA 1 Tiang (G312-A)</t>
  </si>
  <si>
    <t>Daya 33.000 VA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</si>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</sst>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/>
      <top style="thin">
        <color theme="1"/>
      </top>
      <bottom/>
      <diagonal/>
    </border>
    <border>
      <left style="thin">
        <color theme="1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/>
      <bottom style="thin">
        <color rgb="FFFF0000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  <xf numFmtId="0" fontId="108" fillId="0" borderId="0"/>
  </cellStyleXfs>
  <cellXfs count="76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70" fillId="0" borderId="21" xfId="0" applyFont="1" applyBorder="1" applyAlignment="1">
      <alignment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51" fillId="33" borderId="21" xfId="1615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7" fillId="0" borderId="21" xfId="2678" applyFont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0" xfId="2677" applyFont="1" applyFill="1" applyAlignment="1">
      <alignment horizontal="center" vertical="center"/>
    </xf>
    <xf numFmtId="0" fontId="89" fillId="33" borderId="0" xfId="2677" applyFont="1" applyFill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89" fillId="33" borderId="95" xfId="2677" applyFont="1" applyFill="1" applyBorder="1" applyAlignment="1">
      <alignment horizontal="center" vertical="center"/>
    </xf>
    <xf numFmtId="0" fontId="172" fillId="33" borderId="96" xfId="2677" applyFont="1" applyFill="1" applyBorder="1" applyAlignment="1">
      <alignment horizontal="left" vertical="center"/>
    </xf>
    <xf numFmtId="0" fontId="172" fillId="33" borderId="97" xfId="2677" applyFont="1" applyFill="1" applyBorder="1" applyAlignment="1">
      <alignment horizontal="left" vertical="center"/>
    </xf>
    <xf numFmtId="0" fontId="172" fillId="33" borderId="98" xfId="2677" applyFont="1" applyFill="1" applyBorder="1" applyAlignment="1">
      <alignment horizontal="center" vertical="center"/>
    </xf>
    <xf numFmtId="0" fontId="116" fillId="33" borderId="99" xfId="2677" applyFont="1" applyFill="1" applyBorder="1" applyAlignment="1">
      <alignment horizontal="center" vertical="top" wrapText="1"/>
    </xf>
    <xf numFmtId="0" fontId="116" fillId="33" borderId="100" xfId="2677" applyFont="1" applyFill="1" applyBorder="1" applyAlignment="1">
      <alignment horizontal="center" vertical="top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2" fillId="33" borderId="101" xfId="2677" applyFont="1" applyFill="1" applyBorder="1" applyAlignment="1">
      <alignment vertical="top" wrapText="1"/>
    </xf>
    <xf numFmtId="0" fontId="112" fillId="33" borderId="102" xfId="2677" applyFont="1" applyFill="1" applyBorder="1" applyAlignment="1">
      <alignment vertical="top" wrapText="1"/>
    </xf>
    <xf numFmtId="0" fontId="116" fillId="33" borderId="105" xfId="2677" applyFont="1" applyFill="1" applyBorder="1" applyAlignment="1">
      <alignment horizontal="center" vertical="top" wrapText="1"/>
    </xf>
    <xf numFmtId="0" fontId="116" fillId="33" borderId="106" xfId="2677" applyFont="1" applyFill="1" applyBorder="1" applyAlignment="1">
      <alignment horizontal="center" vertical="top" wrapText="1"/>
    </xf>
    <xf numFmtId="0" fontId="112" fillId="33" borderId="109" xfId="2677" applyFont="1" applyFill="1" applyBorder="1" applyAlignment="1">
      <alignment vertical="top" wrapText="1"/>
    </xf>
    <xf numFmtId="0" fontId="112" fillId="33" borderId="110" xfId="2677" applyFont="1" applyFill="1" applyBorder="1" applyAlignment="1">
      <alignment vertical="top" wrapText="1"/>
    </xf>
    <xf numFmtId="0" fontId="112" fillId="33" borderId="109" xfId="2677" applyFont="1" applyFill="1" applyBorder="1" applyAlignment="1">
      <alignment horizontal="center"/>
    </xf>
    <xf numFmtId="0" fontId="116" fillId="33" borderId="18" xfId="2677" applyFont="1" applyFill="1" applyBorder="1" applyAlignment="1">
      <alignment horizontal="center" vertical="top" wrapText="1"/>
    </xf>
    <xf numFmtId="0" fontId="112" fillId="33" borderId="113" xfId="2677" applyFont="1" applyFill="1" applyBorder="1" applyAlignment="1">
      <alignment vertical="top" wrapText="1"/>
    </xf>
    <xf numFmtId="0" fontId="112" fillId="33" borderId="114" xfId="2677" applyFont="1" applyFill="1" applyBorder="1" applyAlignment="1">
      <alignment vertical="top" wrapText="1"/>
    </xf>
    <xf numFmtId="0" fontId="116" fillId="33" borderId="115" xfId="2677" applyFont="1" applyFill="1" applyBorder="1" applyAlignment="1">
      <alignment horizontal="center" vertical="top" wrapText="1"/>
    </xf>
    <xf numFmtId="0" fontId="116" fillId="33" borderId="103" xfId="2677" applyFont="1" applyFill="1" applyBorder="1" applyAlignment="1">
      <alignment horizontal="center" vertical="top" wrapText="1"/>
    </xf>
    <xf numFmtId="0" fontId="112" fillId="33" borderId="118" xfId="2677" applyFont="1" applyFill="1" applyBorder="1" applyAlignment="1">
      <alignment vertical="top" wrapText="1"/>
    </xf>
    <xf numFmtId="0" fontId="112" fillId="33" borderId="119" xfId="2677" applyFont="1" applyFill="1" applyBorder="1" applyAlignment="1">
      <alignment vertical="top" wrapText="1"/>
    </xf>
    <xf numFmtId="0" fontId="112" fillId="33" borderId="120" xfId="2677" applyFont="1" applyFill="1" applyBorder="1" applyAlignment="1">
      <alignment horizontal="center"/>
    </xf>
    <xf numFmtId="0" fontId="116" fillId="33" borderId="3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72" fillId="33" borderId="0" xfId="2677" applyFont="1" applyFill="1" applyAlignment="1">
      <alignment horizontal="left" vertical="center"/>
    </xf>
    <xf numFmtId="20" fontId="112" fillId="33" borderId="39" xfId="2677" applyNumberFormat="1" applyFont="1" applyFill="1" applyBorder="1" applyAlignment="1">
      <alignment horizontal="center"/>
    </xf>
    <xf numFmtId="0" fontId="17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top" wrapText="1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70" fillId="0" borderId="20" xfId="0" quotePrefix="1" applyFont="1" applyBorder="1" applyAlignment="1">
      <alignment horizontal="center" wrapText="1"/>
    </xf>
    <xf numFmtId="0" fontId="170" fillId="0" borderId="20" xfId="0" applyFont="1" applyBorder="1" applyAlignment="1">
      <alignment horizontal="center" wrapText="1"/>
    </xf>
    <xf numFmtId="0" fontId="173" fillId="0" borderId="20" xfId="0" applyFont="1" applyBorder="1" applyAlignment="1">
      <alignment horizontal="center" wrapText="1"/>
    </xf>
    <xf numFmtId="0" fontId="173" fillId="0" borderId="21" xfId="0" applyFont="1" applyBorder="1" applyAlignment="1">
      <alignment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6" fillId="33" borderId="50" xfId="2677" applyFont="1" applyFill="1" applyBorder="1" applyAlignment="1">
      <alignment horizontal="center" vertical="center" wrapText="1"/>
    </xf>
    <xf numFmtId="0" fontId="116" fillId="33" borderId="41" xfId="2677" applyFont="1" applyFill="1" applyBorder="1" applyAlignment="1">
      <alignment horizontal="center" vertical="center" wrapText="1"/>
    </xf>
    <xf numFmtId="0" fontId="112" fillId="33" borderId="50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0" xfId="2677" applyFont="1" applyFill="1" applyAlignment="1">
      <alignment horizontal="left" vertical="top" wrapText="1"/>
    </xf>
    <xf numFmtId="0" fontId="113" fillId="33" borderId="3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0" xfId="2677" applyFont="1" applyFill="1" applyAlignment="1">
      <alignment horizontal="left" vertical="center"/>
    </xf>
    <xf numFmtId="0" fontId="116" fillId="33" borderId="103" xfId="2677" applyFont="1" applyFill="1" applyBorder="1" applyAlignment="1">
      <alignment horizontal="center" vertical="center" wrapText="1"/>
    </xf>
    <xf numFmtId="0" fontId="116" fillId="33" borderId="104" xfId="2677" applyFont="1" applyFill="1" applyBorder="1" applyAlignment="1">
      <alignment horizontal="center" vertical="center" wrapText="1"/>
    </xf>
    <xf numFmtId="0" fontId="112" fillId="33" borderId="107" xfId="2677" applyFont="1" applyFill="1" applyBorder="1" applyAlignment="1">
      <alignment horizontal="center" vertical="top" wrapText="1"/>
    </xf>
    <xf numFmtId="0" fontId="112" fillId="33" borderId="108" xfId="2677" applyFont="1" applyFill="1" applyBorder="1" applyAlignment="1">
      <alignment horizontal="center" vertical="top" wrapText="1"/>
    </xf>
    <xf numFmtId="0" fontId="116" fillId="33" borderId="99" xfId="2677" applyFont="1" applyFill="1" applyBorder="1" applyAlignment="1">
      <alignment horizontal="left" vertical="center" wrapText="1"/>
    </xf>
    <xf numFmtId="0" fontId="112" fillId="33" borderId="111" xfId="2677" applyFont="1" applyFill="1" applyBorder="1" applyAlignment="1">
      <alignment horizontal="center" vertical="top" wrapText="1"/>
    </xf>
    <xf numFmtId="0" fontId="112" fillId="33" borderId="112" xfId="2677" applyFont="1" applyFill="1" applyBorder="1" applyAlignment="1">
      <alignment horizontal="center" vertical="top" wrapText="1"/>
    </xf>
    <xf numFmtId="0" fontId="116" fillId="33" borderId="33" xfId="2677" applyFont="1" applyFill="1" applyBorder="1" applyAlignment="1">
      <alignment horizontal="left" vertical="center" wrapText="1"/>
    </xf>
    <xf numFmtId="0" fontId="116" fillId="33" borderId="21" xfId="2677" applyFont="1" applyFill="1" applyBorder="1" applyAlignment="1">
      <alignment horizontal="left" vertical="center" wrapText="1"/>
    </xf>
    <xf numFmtId="0" fontId="112" fillId="33" borderId="116" xfId="2677" applyFont="1" applyFill="1" applyBorder="1" applyAlignment="1">
      <alignment horizontal="center" vertical="top" wrapText="1"/>
    </xf>
    <xf numFmtId="0" fontId="112" fillId="33" borderId="117" xfId="2677" applyFont="1" applyFill="1" applyBorder="1" applyAlignment="1">
      <alignment horizontal="center" vertical="top" wrapText="1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2" fillId="33" borderId="56" xfId="2677" applyFont="1" applyFill="1" applyBorder="1" applyAlignment="1">
      <alignment horizontal="center" vertical="top" wrapText="1"/>
    </xf>
    <xf numFmtId="0" fontId="112" fillId="33" borderId="65" xfId="2677" applyFont="1" applyFill="1" applyBorder="1" applyAlignment="1">
      <alignment horizontal="center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89" fillId="33" borderId="0" xfId="2677" applyNumberFormat="1" applyFont="1" applyFill="1" applyAlignment="1">
      <alignment horizontal="left" vertical="center"/>
    </xf>
    <xf numFmtId="0" fontId="89" fillId="33" borderId="94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94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94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2.2246460572414657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94</xdr:row>
      <xdr:rowOff>68515</xdr:rowOff>
    </xdr:from>
    <xdr:to>
      <xdr:col>12</xdr:col>
      <xdr:colOff>189677</xdr:colOff>
      <xdr:row>97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96098</xdr:colOff>
      <xdr:row>6</xdr:row>
      <xdr:rowOff>40406</xdr:rowOff>
    </xdr:from>
    <xdr:to>
      <xdr:col>20</xdr:col>
      <xdr:colOff>12770</xdr:colOff>
      <xdr:row>37</xdr:row>
      <xdr:rowOff>120249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3325F-12FA-4028-8C50-8B85E156AE55}"/>
            </a:ext>
          </a:extLst>
        </xdr:cNvPr>
        <xdr:cNvSpPr txBox="1"/>
      </xdr:nvSpPr>
      <xdr:spPr>
        <a:xfrm rot="16793663" flipV="1">
          <a:off x="4619850" y="3231904"/>
          <a:ext cx="4813768" cy="297672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136028</xdr:colOff>
      <xdr:row>70</xdr:row>
      <xdr:rowOff>76200</xdr:rowOff>
    </xdr:from>
    <xdr:to>
      <xdr:col>16</xdr:col>
      <xdr:colOff>334510</xdr:colOff>
      <xdr:row>76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4BFDA7A-8880-42C3-BE5C-B6A9421C23F3}"/>
            </a:ext>
          </a:extLst>
        </xdr:cNvPr>
        <xdr:cNvSpPr/>
      </xdr:nvSpPr>
      <xdr:spPr>
        <a:xfrm>
          <a:off x="4250828" y="10896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57</xdr:row>
      <xdr:rowOff>85727</xdr:rowOff>
    </xdr:from>
    <xdr:to>
      <xdr:col>36</xdr:col>
      <xdr:colOff>310923</xdr:colOff>
      <xdr:row>58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D304DA9-8CF9-4891-BDC5-2610BA8B95D0}"/>
            </a:ext>
          </a:extLst>
        </xdr:cNvPr>
        <xdr:cNvCxnSpPr/>
      </xdr:nvCxnSpPr>
      <xdr:spPr>
        <a:xfrm flipH="1">
          <a:off x="13655744" y="8915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FE6528F7-DE70-4425-AB1B-610DACD2781E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8E5358D-9481-78F4-EABE-EAC2EBC107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52895657-8A05-01EF-F188-6BE3EE7DD257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225329A9-E0F2-55A2-405A-02B722ACFB72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441778-0D84-49F2-8EC6-3FC93F79C9BF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7340C2FF-7055-4DFC-BBC7-CE5F74829CF6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EEFE9745-0130-A8F6-316C-40AC17D6F9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F29AFAE-4FE0-03B4-C21A-A7A76006F70A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6CFCFEB8-68FD-0D12-63A5-7236345899A1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EE6922A-EECD-4EA1-A6E5-CEB983954E1A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6D08473-36FD-43BD-9369-C8BE7288FF83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3ECDED9-C927-44E0-A779-1D8EE64F2DF3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3F2B98-8B47-4155-BFE0-14416F5B2700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3D110B3-ACB4-48E6-9D25-275B96FA3B5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7D8C2BF5-FDEB-48F2-981A-A87DFC3EE5FB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CB803E8-753D-4F16-A65F-46A4240C67D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E53A787-1C03-4276-85BB-F7F4F0888DD8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BCAE59C-D650-482D-9A36-F91996FC0E0D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135A015-4A8C-485A-A8CE-6BD4CD61747E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D78F730F-5A97-4FED-B534-9C8622609E37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E726984-1B64-4531-9B22-B63EBC90C68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F83CA5D-80CA-4443-96B6-B9358FB7BFC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BBDB6B04-9D9F-4B7E-B9E7-95241E0A4F4F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A14B8E28-919B-4D77-A620-8403DEF7DF4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54C3DE56-FFD4-417A-B56F-B6B1CE21255E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AACDAC73-E9FA-4A40-91B9-CD42733DF39C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52CE7098-29EC-4721-806D-F5AF89579968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35D1F40D-8C8B-4EEF-A67B-E46F7991B14B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1C62FFC-745D-477A-B377-B97EDF64051F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54AEA5B3-1CD0-4215-AE52-140846A4B41D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F922E8D-A956-444B-9A78-ADAC58B575CD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813F2BFC-37A0-4E15-BDA0-67C1E91CDAAC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E0D3F427-8E49-4611-9C72-652BEB8962A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BCC2C36E-C12D-4480-BF94-F0E2F7A930AB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0B88EFB-0ACC-4ED9-AC3D-2207DED26D40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33430E0-E8B4-39F8-0169-B1F2AC0DBA2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68D2EA2C-A7C4-6914-1A59-81B04A04D7D8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8FB82D6-9AE7-46AC-A383-59B242190759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A4F3F02-FC0C-E32D-9D45-AB5C9D751A1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9ADD71C-560D-FDB3-6DDB-A66EF18D1DAC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B718719-FAC5-4456-83B9-144EADC64DFA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5C35AE9-D2C1-8E5D-221F-A63520A84CD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F1AC5F02-F92D-B147-7476-F49C705CD11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CAF5DD20-B8CA-EDD2-63B6-9D670E7FB0E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40EB11D-6B9E-A025-0159-5F6C0FA5D6C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82933D60-1C82-4148-B851-D9028C207B3E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F1DE217-4D97-1814-2833-C35C44FC3EB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039C008-6DCC-09EC-01B5-FDA628A9AAC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C48B38B-95B4-FFA7-1FD3-DFF24995BC1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1BDA4EF2-4C71-E40D-877A-8D524615F0F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8002B55-F83C-42B4-A66C-77E091983B2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B51E099-AFEF-4BC7-AB75-0A985E20AB30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F051D74-0974-4D0A-B12E-4F9EA85B958B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8E88B20-C2B1-4B6E-9003-6081723FF12A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980342D1-EA89-4F48-A0B8-191AB9058BD8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6B191FDE-2820-2BDB-9EA0-0E3C2BB42F2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277F7B07-CAF6-2696-4048-DE6CBB99A31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DDE5242-7F54-656D-D952-F409AC7F744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BC655CE-8C8B-4A54-A732-B81FA490471F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A810C7C8-5C96-8039-1E46-1BB72640D7A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92E8C91B-1511-E63D-FA11-451BB9D5D81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1CDDBBC0-20A6-C466-809B-CA5140E7D5C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348135</xdr:colOff>
      <xdr:row>1</xdr:row>
      <xdr:rowOff>34613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BE760945-302B-4206-8A8B-0990ACC6B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129935" y="196538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0BB2F96-7549-41B5-A410-D3E3CC9CD586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2CCBD977-A732-47F7-BC1C-6B020996FECF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A70F8D2-8137-4849-B211-F4F4DC19891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8F3252B-1477-41A2-AE96-3F100140920B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BE0C1D49-B206-46FD-96E9-E7D65B21AABE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DA36F48C-CA5F-4710-9CDA-BD88C93CBEED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62</xdr:row>
      <xdr:rowOff>117730</xdr:rowOff>
    </xdr:from>
    <xdr:to>
      <xdr:col>20</xdr:col>
      <xdr:colOff>52443</xdr:colOff>
      <xdr:row>63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CD742D90-84C2-485E-AE2A-7A680C20B1F5}"/>
            </a:ext>
          </a:extLst>
        </xdr:cNvPr>
        <xdr:cNvGrpSpPr/>
      </xdr:nvGrpSpPr>
      <xdr:grpSpPr>
        <a:xfrm rot="21429191">
          <a:off x="7136184" y="9880855"/>
          <a:ext cx="83822" cy="85252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DA8C749-4CD3-9BB0-0E2D-FCC7CBD42ED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31868B9D-4A50-36B7-F6A0-BC60378BAFC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3C9757C0-1531-ED21-AD4B-667A03F93F0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6004D6D5-8057-4260-B575-E3AF9A300D0A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8759ACA7-3E4A-142F-50CF-E6B7864F6DD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10BF9871-5827-6EDF-B568-19AC964EB4D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92A0473-6C70-F00C-5B8B-9587A6E4715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D0540EE2-FBBC-478B-B0AF-3229C943722F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A39AFE6-97DF-8DED-113E-E7031C221CE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816FC2F-0797-97A7-DD6F-12C507583C4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5C53835-B778-8ACD-F070-4D73E879053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12216583-FF0E-2141-217B-3D3E5601A0B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A9E7001A-B617-4ADB-87BF-D70966D88CB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96D10A63-63F0-4D6B-8FBA-38A273973EB7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A6A69D2C-754B-42CE-8196-D35A0D1A9B39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56941BF3-4811-7453-A50F-51B30C3EE4D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6320B679-DC9C-BDBC-B68B-FD3C3D1267F6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C7500CA5-A97A-48BF-8096-F2A99152F6F7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775595D1-59C8-BF2F-9248-A12FDD41009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F88428F-1BFF-0525-FF2F-245EDA9244D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FD5F7FFE-3386-45EA-990A-BFDC9BFD5C38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A465BD90-7A62-D21E-93D0-5E03D375423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6D7A17A8-134F-E060-D114-A94CA400D7A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8DFAB80D-A634-4B58-4357-2044A5CE95A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17C31EC2-519F-88F8-4ABB-F3DFC105F85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0204D867-EEDF-4247-9873-23275B7FB02C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A4D490E0-CA62-5600-39AE-41B63166D44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B74AFC5-133F-B1D2-6A6B-426CBED9A6A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943C8DE-5F0A-451B-5B4D-D4271899ED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AA8D4C3-9665-DB02-EDAF-DA00B40F463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C618C14-ECE3-487E-B22A-991C86E38EA7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379B6015-251F-42B0-A6FF-92E3ADFB13AA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262975C2-D665-4099-B015-D2C17411956D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B21E1CC3-F4C1-4CFD-BF28-0F7F21C3C713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8BF9FA60-B123-4B1D-A241-3BEF0AFC26A1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F33F44A1-FBC7-26A9-F715-35009C2B6C9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50B4D22-DA17-AC94-5567-3A0B442C9D2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6AC58A9D-9279-AB0C-AB0C-24F5E9C4726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807FC933-3C47-4C2B-B299-EA2EDD2068D9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58B18D7-784F-CA3C-E287-3B4069F4829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DB5203F8-7A20-D3C9-6636-E18365C5C3A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A79F924E-931F-AC0A-8788-7EAD775ABC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19</xdr:col>
      <xdr:colOff>1303</xdr:colOff>
      <xdr:row>5</xdr:row>
      <xdr:rowOff>73414</xdr:rowOff>
    </xdr:from>
    <xdr:to>
      <xdr:col>19</xdr:col>
      <xdr:colOff>242616</xdr:colOff>
      <xdr:row>27</xdr:row>
      <xdr:rowOff>118417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42F5B07-8675-4634-8167-3EF24C73E755}"/>
            </a:ext>
          </a:extLst>
        </xdr:cNvPr>
        <xdr:cNvSpPr txBox="1"/>
      </xdr:nvSpPr>
      <xdr:spPr>
        <a:xfrm rot="6031839">
          <a:off x="5200096" y="2437471"/>
          <a:ext cx="3407328" cy="24131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71</xdr:row>
      <xdr:rowOff>140158</xdr:rowOff>
    </xdr:from>
    <xdr:to>
      <xdr:col>12</xdr:col>
      <xdr:colOff>109399</xdr:colOff>
      <xdr:row>74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DA088DAA-6A52-4D5E-9B35-EC177F10EB31}"/>
            </a:ext>
          </a:extLst>
        </xdr:cNvPr>
        <xdr:cNvSpPr txBox="1"/>
      </xdr:nvSpPr>
      <xdr:spPr>
        <a:xfrm>
          <a:off x="2230416" y="11112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70</xdr:row>
      <xdr:rowOff>11038</xdr:rowOff>
    </xdr:from>
    <xdr:to>
      <xdr:col>6</xdr:col>
      <xdr:colOff>305994</xdr:colOff>
      <xdr:row>71</xdr:row>
      <xdr:rowOff>109715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5C70BA69-F50F-4041-88BD-D47A36D99438}"/>
            </a:ext>
          </a:extLst>
        </xdr:cNvPr>
        <xdr:cNvSpPr/>
      </xdr:nvSpPr>
      <xdr:spPr>
        <a:xfrm>
          <a:off x="1890543" y="10831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63</xdr:row>
      <xdr:rowOff>74365</xdr:rowOff>
    </xdr:from>
    <xdr:to>
      <xdr:col>4</xdr:col>
      <xdr:colOff>330975</xdr:colOff>
      <xdr:row>70</xdr:row>
      <xdr:rowOff>109539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3CB9AE2-CBE7-450A-B261-FB8537365715}"/>
            </a:ext>
          </a:extLst>
        </xdr:cNvPr>
        <xdr:cNvSpPr txBox="1"/>
      </xdr:nvSpPr>
      <xdr:spPr>
        <a:xfrm>
          <a:off x="426252" y="9827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69</xdr:row>
      <xdr:rowOff>2547</xdr:rowOff>
    </xdr:from>
    <xdr:to>
      <xdr:col>12</xdr:col>
      <xdr:colOff>52892</xdr:colOff>
      <xdr:row>72</xdr:row>
      <xdr:rowOff>79589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DD4784A-B54D-4043-88DF-2DB8D9A253D2}"/>
            </a:ext>
          </a:extLst>
        </xdr:cNvPr>
        <xdr:cNvSpPr txBox="1"/>
      </xdr:nvSpPr>
      <xdr:spPr>
        <a:xfrm>
          <a:off x="2417039" y="10670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70</xdr:row>
      <xdr:rowOff>58653</xdr:rowOff>
    </xdr:from>
    <xdr:to>
      <xdr:col>19</xdr:col>
      <xdr:colOff>43083</xdr:colOff>
      <xdr:row>71</xdr:row>
      <xdr:rowOff>98620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4A639780-67BB-4944-B89C-0825D1EA95A2}"/>
            </a:ext>
          </a:extLst>
        </xdr:cNvPr>
        <xdr:cNvSpPr txBox="1"/>
      </xdr:nvSpPr>
      <xdr:spPr>
        <a:xfrm>
          <a:off x="6462356" y="10879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64</xdr:row>
      <xdr:rowOff>104775</xdr:rowOff>
    </xdr:from>
    <xdr:to>
      <xdr:col>7</xdr:col>
      <xdr:colOff>52388</xdr:colOff>
      <xdr:row>70</xdr:row>
      <xdr:rowOff>11038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604526E4-5CA6-462E-9FD7-8171F4DDD96A}"/>
            </a:ext>
          </a:extLst>
        </xdr:cNvPr>
        <xdr:cNvCxnSpPr>
          <a:cxnSpLocks/>
          <a:endCxn id="119" idx="0"/>
        </xdr:cNvCxnSpPr>
      </xdr:nvCxnSpPr>
      <xdr:spPr bwMode="auto">
        <a:xfrm flipH="1">
          <a:off x="2012669" y="10010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75</xdr:row>
      <xdr:rowOff>0</xdr:rowOff>
    </xdr:from>
    <xdr:to>
      <xdr:col>4</xdr:col>
      <xdr:colOff>362274</xdr:colOff>
      <xdr:row>80</xdr:row>
      <xdr:rowOff>68189</xdr:rowOff>
    </xdr:to>
    <xdr:sp macro="" textlink="">
      <xdr:nvSpPr>
        <xdr:cNvPr id="124" name="TextBox 162">
          <a:extLst>
            <a:ext uri="{FF2B5EF4-FFF2-40B4-BE49-F238E27FC236}">
              <a16:creationId xmlns:a16="http://schemas.microsoft.com/office/drawing/2014/main" id="{8F2FA98C-6BC4-4745-8DA1-E726DBE17CDF}"/>
            </a:ext>
          </a:extLst>
        </xdr:cNvPr>
        <xdr:cNvSpPr txBox="1"/>
      </xdr:nvSpPr>
      <xdr:spPr>
        <a:xfrm>
          <a:off x="685800" y="11582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75</xdr:row>
      <xdr:rowOff>34290</xdr:rowOff>
    </xdr:from>
    <xdr:to>
      <xdr:col>7</xdr:col>
      <xdr:colOff>177596</xdr:colOff>
      <xdr:row>81</xdr:row>
      <xdr:rowOff>12222</xdr:rowOff>
    </xdr:to>
    <xdr:sp macro="" textlink="">
      <xdr:nvSpPr>
        <xdr:cNvPr id="125" name="TextBox 145">
          <a:extLst>
            <a:ext uri="{FF2B5EF4-FFF2-40B4-BE49-F238E27FC236}">
              <a16:creationId xmlns:a16="http://schemas.microsoft.com/office/drawing/2014/main" id="{3D40B99C-ACB8-4560-88CF-A7931FEEDF85}"/>
            </a:ext>
          </a:extLst>
        </xdr:cNvPr>
        <xdr:cNvSpPr txBox="1"/>
      </xdr:nvSpPr>
      <xdr:spPr>
        <a:xfrm>
          <a:off x="1693545" y="11616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75</xdr:row>
      <xdr:rowOff>17145</xdr:rowOff>
    </xdr:from>
    <xdr:to>
      <xdr:col>10</xdr:col>
      <xdr:colOff>277372</xdr:colOff>
      <xdr:row>79</xdr:row>
      <xdr:rowOff>97177</xdr:rowOff>
    </xdr:to>
    <xdr:sp macro="" textlink="">
      <xdr:nvSpPr>
        <xdr:cNvPr id="126" name="TextBox 157">
          <a:extLst>
            <a:ext uri="{FF2B5EF4-FFF2-40B4-BE49-F238E27FC236}">
              <a16:creationId xmlns:a16="http://schemas.microsoft.com/office/drawing/2014/main" id="{D278D9D4-78C0-4F01-A926-EDD267E1B638}"/>
            </a:ext>
          </a:extLst>
        </xdr:cNvPr>
        <xdr:cNvSpPr txBox="1"/>
      </xdr:nvSpPr>
      <xdr:spPr>
        <a:xfrm>
          <a:off x="2665095" y="11599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61</xdr:row>
      <xdr:rowOff>0</xdr:rowOff>
    </xdr:from>
    <xdr:to>
      <xdr:col>9</xdr:col>
      <xdr:colOff>147007</xdr:colOff>
      <xdr:row>61</xdr:row>
      <xdr:rowOff>131649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304D745A-EE84-4C65-974D-CAFE226DDCD1}"/>
            </a:ext>
          </a:extLst>
        </xdr:cNvPr>
        <xdr:cNvGrpSpPr/>
      </xdr:nvGrpSpPr>
      <xdr:grpSpPr>
        <a:xfrm>
          <a:off x="2976563" y="9608344"/>
          <a:ext cx="147007" cy="131649"/>
          <a:chOff x="9937028" y="802652"/>
          <a:chExt cx="83991" cy="77961"/>
        </a:xfrm>
      </xdr:grpSpPr>
      <xdr:sp macro="" textlink="">
        <xdr:nvSpPr>
          <xdr:cNvPr id="128" name="Oval 1">
            <a:extLst>
              <a:ext uri="{FF2B5EF4-FFF2-40B4-BE49-F238E27FC236}">
                <a16:creationId xmlns:a16="http://schemas.microsoft.com/office/drawing/2014/main" id="{D4DE10BA-14DB-0C9F-AF20-0FD85A21144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3">
            <a:extLst>
              <a:ext uri="{FF2B5EF4-FFF2-40B4-BE49-F238E27FC236}">
                <a16:creationId xmlns:a16="http://schemas.microsoft.com/office/drawing/2014/main" id="{8C1A05B7-6A03-88CD-3475-DA0D587C012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7">
            <a:extLst>
              <a:ext uri="{FF2B5EF4-FFF2-40B4-BE49-F238E27FC236}">
                <a16:creationId xmlns:a16="http://schemas.microsoft.com/office/drawing/2014/main" id="{0E2E27F0-39FA-AE4E-A642-78A14022D11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60</xdr:row>
      <xdr:rowOff>131446</xdr:rowOff>
    </xdr:from>
    <xdr:to>
      <xdr:col>10</xdr:col>
      <xdr:colOff>181246</xdr:colOff>
      <xdr:row>61</xdr:row>
      <xdr:rowOff>120219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0971A1B2-B222-4364-A1DC-EBF5352AEF4A}"/>
            </a:ext>
          </a:extLst>
        </xdr:cNvPr>
        <xdr:cNvGrpSpPr/>
      </xdr:nvGrpSpPr>
      <xdr:grpSpPr>
        <a:xfrm>
          <a:off x="3380423" y="9585009"/>
          <a:ext cx="158386" cy="143554"/>
          <a:chOff x="9937028" y="802652"/>
          <a:chExt cx="83991" cy="77961"/>
        </a:xfrm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2C2464E2-BCB8-758D-141F-C9D3F9E762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221A6C54-79F8-3A7B-B903-D8E876141C4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840EA1D9-9FA2-C372-9821-F8B9E7BCA31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61</xdr:row>
      <xdr:rowOff>17144</xdr:rowOff>
    </xdr:from>
    <xdr:to>
      <xdr:col>11</xdr:col>
      <xdr:colOff>334443</xdr:colOff>
      <xdr:row>62</xdr:row>
      <xdr:rowOff>5919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5E70F2C4-0C93-4F63-B904-37ACCC6CF353}"/>
            </a:ext>
          </a:extLst>
        </xdr:cNvPr>
        <xdr:cNvGrpSpPr/>
      </xdr:nvGrpSpPr>
      <xdr:grpSpPr>
        <a:xfrm>
          <a:off x="3915728" y="9625488"/>
          <a:ext cx="157278" cy="143556"/>
          <a:chOff x="9937028" y="802652"/>
          <a:chExt cx="83991" cy="77961"/>
        </a:xfrm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9F1A7299-C4FA-16E2-090A-042B3E0C00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EAD2D4E7-27FE-5B88-714C-72AA30C1357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837245FB-1130-F966-C5A2-F44E2416F36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120015</xdr:colOff>
      <xdr:row>19</xdr:row>
      <xdr:rowOff>17145</xdr:rowOff>
    </xdr:from>
    <xdr:to>
      <xdr:col>18</xdr:col>
      <xdr:colOff>264567</xdr:colOff>
      <xdr:row>20</xdr:row>
      <xdr:rowOff>13578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78EADD54-9024-411A-BC56-4DB5B48981DE}"/>
            </a:ext>
          </a:extLst>
        </xdr:cNvPr>
        <xdr:cNvGrpSpPr/>
      </xdr:nvGrpSpPr>
      <xdr:grpSpPr>
        <a:xfrm>
          <a:off x="6525578" y="2993708"/>
          <a:ext cx="144552" cy="151214"/>
          <a:chOff x="9937028" y="802652"/>
          <a:chExt cx="83991" cy="77961"/>
        </a:xfrm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1A1AF1D6-1116-3048-220C-60EECED445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CA097C9A-0D1E-B0D5-CE58-E2F431A1B1F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940D4351-49A3-741D-2CFC-146A280150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61</xdr:row>
      <xdr:rowOff>11429</xdr:rowOff>
    </xdr:from>
    <xdr:to>
      <xdr:col>14</xdr:col>
      <xdr:colOff>7392</xdr:colOff>
      <xdr:row>62</xdr:row>
      <xdr:rowOff>647</xdr:rowOff>
    </xdr:to>
    <xdr:grpSp>
      <xdr:nvGrpSpPr>
        <xdr:cNvPr id="143" name="Group 13">
          <a:extLst>
            <a:ext uri="{FF2B5EF4-FFF2-40B4-BE49-F238E27FC236}">
              <a16:creationId xmlns:a16="http://schemas.microsoft.com/office/drawing/2014/main" id="{7AC8E56C-A0E8-4FC0-B0FC-D68CB5A26985}"/>
            </a:ext>
          </a:extLst>
        </xdr:cNvPr>
        <xdr:cNvGrpSpPr/>
      </xdr:nvGrpSpPr>
      <xdr:grpSpPr>
        <a:xfrm>
          <a:off x="4763453" y="9619773"/>
          <a:ext cx="125502" cy="143999"/>
          <a:chOff x="9937028" y="802652"/>
          <a:chExt cx="83991" cy="77961"/>
        </a:xfrm>
      </xdr:grpSpPr>
      <xdr:sp macro="" textlink="">
        <xdr:nvSpPr>
          <xdr:cNvPr id="144" name="Oval 1">
            <a:extLst>
              <a:ext uri="{FF2B5EF4-FFF2-40B4-BE49-F238E27FC236}">
                <a16:creationId xmlns:a16="http://schemas.microsoft.com/office/drawing/2014/main" id="{87CEBDC0-1F60-0873-DA6F-A66CCA2A12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" name="Straight Connector 3">
            <a:extLst>
              <a:ext uri="{FF2B5EF4-FFF2-40B4-BE49-F238E27FC236}">
                <a16:creationId xmlns:a16="http://schemas.microsoft.com/office/drawing/2014/main" id="{530B4BF3-7F13-B3D1-653D-A207380DEC3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7">
            <a:extLst>
              <a:ext uri="{FF2B5EF4-FFF2-40B4-BE49-F238E27FC236}">
                <a16:creationId xmlns:a16="http://schemas.microsoft.com/office/drawing/2014/main" id="{2A7FD651-27EE-E14F-B5B5-A5CC82469A5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61</xdr:row>
      <xdr:rowOff>85724</xdr:rowOff>
    </xdr:from>
    <xdr:to>
      <xdr:col>20</xdr:col>
      <xdr:colOff>371475</xdr:colOff>
      <xdr:row>61</xdr:row>
      <xdr:rowOff>97154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B9E38E56-BE77-4643-A28A-2B121E9F729F}"/>
            </a:ext>
          </a:extLst>
        </xdr:cNvPr>
        <xdr:cNvCxnSpPr>
          <a:cxnSpLocks/>
        </xdr:cNvCxnSpPr>
      </xdr:nvCxnSpPr>
      <xdr:spPr bwMode="auto">
        <a:xfrm flipH="1">
          <a:off x="6884670" y="9534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60</xdr:row>
      <xdr:rowOff>108585</xdr:rowOff>
    </xdr:from>
    <xdr:to>
      <xdr:col>17</xdr:col>
      <xdr:colOff>382905</xdr:colOff>
      <xdr:row>63</xdr:row>
      <xdr:rowOff>68579</xdr:rowOff>
    </xdr:to>
    <xdr:cxnSp macro="">
      <xdr:nvCxnSpPr>
        <xdr:cNvPr id="148" name="Straight Connector 139">
          <a:extLst>
            <a:ext uri="{FF2B5EF4-FFF2-40B4-BE49-F238E27FC236}">
              <a16:creationId xmlns:a16="http://schemas.microsoft.com/office/drawing/2014/main" id="{2A3B44EE-3A37-4D87-B90E-31F769420741}"/>
            </a:ext>
          </a:extLst>
        </xdr:cNvPr>
        <xdr:cNvCxnSpPr>
          <a:cxnSpLocks/>
        </xdr:cNvCxnSpPr>
      </xdr:nvCxnSpPr>
      <xdr:spPr bwMode="auto">
        <a:xfrm>
          <a:off x="6396990" y="9404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60</xdr:row>
      <xdr:rowOff>125730</xdr:rowOff>
    </xdr:from>
    <xdr:to>
      <xdr:col>15</xdr:col>
      <xdr:colOff>104547</xdr:colOff>
      <xdr:row>61</xdr:row>
      <xdr:rowOff>122164</xdr:rowOff>
    </xdr:to>
    <xdr:grpSp>
      <xdr:nvGrpSpPr>
        <xdr:cNvPr id="149" name="Group 13">
          <a:extLst>
            <a:ext uri="{FF2B5EF4-FFF2-40B4-BE49-F238E27FC236}">
              <a16:creationId xmlns:a16="http://schemas.microsoft.com/office/drawing/2014/main" id="{4BAD7C2F-8B49-44E2-9FAE-CB54A17C9A3D}"/>
            </a:ext>
          </a:extLst>
        </xdr:cNvPr>
        <xdr:cNvGrpSpPr/>
      </xdr:nvGrpSpPr>
      <xdr:grpSpPr>
        <a:xfrm>
          <a:off x="5241608" y="9579293"/>
          <a:ext cx="125502" cy="151215"/>
          <a:chOff x="9937028" y="802652"/>
          <a:chExt cx="83991" cy="77961"/>
        </a:xfrm>
      </xdr:grpSpPr>
      <xdr:sp macro="" textlink="">
        <xdr:nvSpPr>
          <xdr:cNvPr id="150" name="Oval 1">
            <a:extLst>
              <a:ext uri="{FF2B5EF4-FFF2-40B4-BE49-F238E27FC236}">
                <a16:creationId xmlns:a16="http://schemas.microsoft.com/office/drawing/2014/main" id="{8D55A10C-7377-FAE6-0F49-E295AF7716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3">
            <a:extLst>
              <a:ext uri="{FF2B5EF4-FFF2-40B4-BE49-F238E27FC236}">
                <a16:creationId xmlns:a16="http://schemas.microsoft.com/office/drawing/2014/main" id="{68A5B335-5378-508B-363B-FB5CC38AC8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7">
            <a:extLst>
              <a:ext uri="{FF2B5EF4-FFF2-40B4-BE49-F238E27FC236}">
                <a16:creationId xmlns:a16="http://schemas.microsoft.com/office/drawing/2014/main" id="{A87D1E72-830E-663B-AB50-FEBD93D014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61</xdr:row>
      <xdr:rowOff>34290</xdr:rowOff>
    </xdr:from>
    <xdr:to>
      <xdr:col>16</xdr:col>
      <xdr:colOff>253008</xdr:colOff>
      <xdr:row>62</xdr:row>
      <xdr:rowOff>36818</xdr:rowOff>
    </xdr:to>
    <xdr:grpSp>
      <xdr:nvGrpSpPr>
        <xdr:cNvPr id="153" name="Group 13">
          <a:extLst>
            <a:ext uri="{FF2B5EF4-FFF2-40B4-BE49-F238E27FC236}">
              <a16:creationId xmlns:a16="http://schemas.microsoft.com/office/drawing/2014/main" id="{23791CF7-F561-4797-9B9C-D144F3A33A11}"/>
            </a:ext>
          </a:extLst>
        </xdr:cNvPr>
        <xdr:cNvGrpSpPr/>
      </xdr:nvGrpSpPr>
      <xdr:grpSpPr>
        <a:xfrm>
          <a:off x="5752148" y="9642634"/>
          <a:ext cx="144423" cy="157309"/>
          <a:chOff x="9937028" y="802652"/>
          <a:chExt cx="83991" cy="77961"/>
        </a:xfrm>
      </xdr:grpSpPr>
      <xdr:sp macro="" textlink="">
        <xdr:nvSpPr>
          <xdr:cNvPr id="154" name="Oval 1">
            <a:extLst>
              <a:ext uri="{FF2B5EF4-FFF2-40B4-BE49-F238E27FC236}">
                <a16:creationId xmlns:a16="http://schemas.microsoft.com/office/drawing/2014/main" id="{7928AE25-7B5E-2186-216B-F11340A06F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3">
            <a:extLst>
              <a:ext uri="{FF2B5EF4-FFF2-40B4-BE49-F238E27FC236}">
                <a16:creationId xmlns:a16="http://schemas.microsoft.com/office/drawing/2014/main" id="{F5917B5F-51B6-6740-E2FA-42D577061F8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7">
            <a:extLst>
              <a:ext uri="{FF2B5EF4-FFF2-40B4-BE49-F238E27FC236}">
                <a16:creationId xmlns:a16="http://schemas.microsoft.com/office/drawing/2014/main" id="{3B30A315-2821-79FA-0A16-2AC3AFE58B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63</xdr:row>
      <xdr:rowOff>51434</xdr:rowOff>
    </xdr:from>
    <xdr:to>
      <xdr:col>19</xdr:col>
      <xdr:colOff>5715</xdr:colOff>
      <xdr:row>63</xdr:row>
      <xdr:rowOff>62864</xdr:rowOff>
    </xdr:to>
    <xdr:cxnSp macro="">
      <xdr:nvCxnSpPr>
        <xdr:cNvPr id="157" name="Straight Arrow Connector 166">
          <a:extLst>
            <a:ext uri="{FF2B5EF4-FFF2-40B4-BE49-F238E27FC236}">
              <a16:creationId xmlns:a16="http://schemas.microsoft.com/office/drawing/2014/main" id="{81ACD34B-E640-4ED3-A011-179CEFCA1209}"/>
            </a:ext>
          </a:extLst>
        </xdr:cNvPr>
        <xdr:cNvCxnSpPr>
          <a:cxnSpLocks/>
        </xdr:cNvCxnSpPr>
      </xdr:nvCxnSpPr>
      <xdr:spPr>
        <a:xfrm flipV="1">
          <a:off x="6595110" y="9805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70</xdr:row>
      <xdr:rowOff>57150</xdr:rowOff>
    </xdr:from>
    <xdr:to>
      <xdr:col>20</xdr:col>
      <xdr:colOff>4387</xdr:colOff>
      <xdr:row>71</xdr:row>
      <xdr:rowOff>97117</xdr:rowOff>
    </xdr:to>
    <xdr:sp macro="" textlink="">
      <xdr:nvSpPr>
        <xdr:cNvPr id="158" name="TextBox 161">
          <a:extLst>
            <a:ext uri="{FF2B5EF4-FFF2-40B4-BE49-F238E27FC236}">
              <a16:creationId xmlns:a16="http://schemas.microsoft.com/office/drawing/2014/main" id="{73DEF6C2-426A-48F6-9071-0D2BD61F5748}"/>
            </a:ext>
          </a:extLst>
        </xdr:cNvPr>
        <xdr:cNvSpPr txBox="1"/>
      </xdr:nvSpPr>
      <xdr:spPr>
        <a:xfrm>
          <a:off x="6804660" y="10877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63</xdr:row>
      <xdr:rowOff>85724</xdr:rowOff>
    </xdr:from>
    <xdr:to>
      <xdr:col>23</xdr:col>
      <xdr:colOff>154305</xdr:colOff>
      <xdr:row>63</xdr:row>
      <xdr:rowOff>120014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23B8B2-4D1B-4B64-9888-0870A3101222}"/>
            </a:ext>
          </a:extLst>
        </xdr:cNvPr>
        <xdr:cNvCxnSpPr>
          <a:cxnSpLocks/>
        </xdr:cNvCxnSpPr>
      </xdr:nvCxnSpPr>
      <xdr:spPr>
        <a:xfrm>
          <a:off x="8119110" y="9839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61</xdr:row>
      <xdr:rowOff>17144</xdr:rowOff>
    </xdr:from>
    <xdr:to>
      <xdr:col>4</xdr:col>
      <xdr:colOff>325756</xdr:colOff>
      <xdr:row>61</xdr:row>
      <xdr:rowOff>18546</xdr:rowOff>
    </xdr:to>
    <xdr:cxnSp macro="">
      <xdr:nvCxnSpPr>
        <xdr:cNvPr id="160" name="Straight Connector 148">
          <a:extLst>
            <a:ext uri="{FF2B5EF4-FFF2-40B4-BE49-F238E27FC236}">
              <a16:creationId xmlns:a16="http://schemas.microsoft.com/office/drawing/2014/main" id="{49D19D75-B1CF-4F1C-8B7A-30C948328CC1}"/>
            </a:ext>
          </a:extLst>
        </xdr:cNvPr>
        <xdr:cNvCxnSpPr>
          <a:cxnSpLocks/>
        </xdr:cNvCxnSpPr>
      </xdr:nvCxnSpPr>
      <xdr:spPr bwMode="auto">
        <a:xfrm flipV="1">
          <a:off x="356236" y="9465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76</xdr:row>
      <xdr:rowOff>22860</xdr:rowOff>
    </xdr:from>
    <xdr:to>
      <xdr:col>20</xdr:col>
      <xdr:colOff>53701</xdr:colOff>
      <xdr:row>77</xdr:row>
      <xdr:rowOff>70589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C578FEBB-2230-443A-97D1-3621E7DF1CFD}"/>
            </a:ext>
          </a:extLst>
        </xdr:cNvPr>
        <xdr:cNvSpPr txBox="1"/>
      </xdr:nvSpPr>
      <xdr:spPr>
        <a:xfrm>
          <a:off x="6435091" y="11757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60</xdr:row>
      <xdr:rowOff>97155</xdr:rowOff>
    </xdr:from>
    <xdr:to>
      <xdr:col>8</xdr:col>
      <xdr:colOff>67173</xdr:colOff>
      <xdr:row>61</xdr:row>
      <xdr:rowOff>39470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ED234741-E8ED-43B4-A244-4AD669434088}"/>
            </a:ext>
          </a:extLst>
        </xdr:cNvPr>
        <xdr:cNvGrpSpPr/>
      </xdr:nvGrpSpPr>
      <xdr:grpSpPr>
        <a:xfrm>
          <a:off x="2431733" y="9550718"/>
          <a:ext cx="231003" cy="97096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6495B218-832A-B4FC-E21B-BC0227299C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519CDE9D-5387-F569-8EBC-311F234692B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B12EE6A3-6F56-CEC3-2491-4A3A3126128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60</xdr:row>
      <xdr:rowOff>45721</xdr:rowOff>
    </xdr:from>
    <xdr:to>
      <xdr:col>6</xdr:col>
      <xdr:colOff>309710</xdr:colOff>
      <xdr:row>60</xdr:row>
      <xdr:rowOff>130912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480A283C-1D2B-4432-A387-C2538C9E7375}"/>
            </a:ext>
          </a:extLst>
        </xdr:cNvPr>
        <xdr:cNvSpPr/>
      </xdr:nvSpPr>
      <xdr:spPr>
        <a:xfrm>
          <a:off x="1977391" y="9342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62</xdr:row>
      <xdr:rowOff>22861</xdr:rowOff>
    </xdr:from>
    <xdr:to>
      <xdr:col>6</xdr:col>
      <xdr:colOff>370068</xdr:colOff>
      <xdr:row>62</xdr:row>
      <xdr:rowOff>108052</xdr:rowOff>
    </xdr:to>
    <xdr:grpSp>
      <xdr:nvGrpSpPr>
        <xdr:cNvPr id="167" name="Group 134">
          <a:extLst>
            <a:ext uri="{FF2B5EF4-FFF2-40B4-BE49-F238E27FC236}">
              <a16:creationId xmlns:a16="http://schemas.microsoft.com/office/drawing/2014/main" id="{1F83A96E-8E62-4753-8226-79BD521ACE02}"/>
            </a:ext>
          </a:extLst>
        </xdr:cNvPr>
        <xdr:cNvGrpSpPr/>
      </xdr:nvGrpSpPr>
      <xdr:grpSpPr>
        <a:xfrm>
          <a:off x="1953578" y="978598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8" name="Isosceles Triangle 118">
            <a:extLst>
              <a:ext uri="{FF2B5EF4-FFF2-40B4-BE49-F238E27FC236}">
                <a16:creationId xmlns:a16="http://schemas.microsoft.com/office/drawing/2014/main" id="{F38EAE22-AE44-D581-A4E1-9F4D278952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19">
            <a:extLst>
              <a:ext uri="{FF2B5EF4-FFF2-40B4-BE49-F238E27FC236}">
                <a16:creationId xmlns:a16="http://schemas.microsoft.com/office/drawing/2014/main" id="{5FECE0D6-1058-0D1C-0F9A-4DD508FD5D4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0" name="Isosceles Triangle 120">
            <a:extLst>
              <a:ext uri="{FF2B5EF4-FFF2-40B4-BE49-F238E27FC236}">
                <a16:creationId xmlns:a16="http://schemas.microsoft.com/office/drawing/2014/main" id="{1DA9F5EF-3C90-D4D8-F26D-77EB66E2377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62</xdr:row>
      <xdr:rowOff>34291</xdr:rowOff>
    </xdr:from>
    <xdr:to>
      <xdr:col>8</xdr:col>
      <xdr:colOff>103969</xdr:colOff>
      <xdr:row>62</xdr:row>
      <xdr:rowOff>119482</xdr:rowOff>
    </xdr:to>
    <xdr:sp macro="" textlink="">
      <xdr:nvSpPr>
        <xdr:cNvPr id="171" name="Isosceles Triangle 120">
          <a:extLst>
            <a:ext uri="{FF2B5EF4-FFF2-40B4-BE49-F238E27FC236}">
              <a16:creationId xmlns:a16="http://schemas.microsoft.com/office/drawing/2014/main" id="{11D816F7-9B81-4B2A-A53A-D6AC002B765E}"/>
            </a:ext>
          </a:extLst>
        </xdr:cNvPr>
        <xdr:cNvSpPr/>
      </xdr:nvSpPr>
      <xdr:spPr>
        <a:xfrm>
          <a:off x="2552700" y="9635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62</xdr:row>
      <xdr:rowOff>131446</xdr:rowOff>
    </xdr:from>
    <xdr:to>
      <xdr:col>21</xdr:col>
      <xdr:colOff>34292</xdr:colOff>
      <xdr:row>63</xdr:row>
      <xdr:rowOff>61917</xdr:rowOff>
    </xdr:to>
    <xdr:grpSp>
      <xdr:nvGrpSpPr>
        <xdr:cNvPr id="172" name="Group 73">
          <a:extLst>
            <a:ext uri="{FF2B5EF4-FFF2-40B4-BE49-F238E27FC236}">
              <a16:creationId xmlns:a16="http://schemas.microsoft.com/office/drawing/2014/main" id="{44789963-133F-4E5E-A38A-A84E2658C2B5}"/>
            </a:ext>
          </a:extLst>
        </xdr:cNvPr>
        <xdr:cNvGrpSpPr/>
      </xdr:nvGrpSpPr>
      <xdr:grpSpPr>
        <a:xfrm rot="21429191">
          <a:off x="7499033" y="9894571"/>
          <a:ext cx="83822" cy="85252"/>
          <a:chOff x="12175074" y="2285812"/>
          <a:chExt cx="107252" cy="65186"/>
        </a:xfrm>
      </xdr:grpSpPr>
      <xdr:cxnSp macro="">
        <xdr:nvCxnSpPr>
          <xdr:cNvPr id="173" name="Straight Connector 74">
            <a:extLst>
              <a:ext uri="{FF2B5EF4-FFF2-40B4-BE49-F238E27FC236}">
                <a16:creationId xmlns:a16="http://schemas.microsoft.com/office/drawing/2014/main" id="{214F66F1-F357-FE4A-17F2-2A61059F9D2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5">
            <a:extLst>
              <a:ext uri="{FF2B5EF4-FFF2-40B4-BE49-F238E27FC236}">
                <a16:creationId xmlns:a16="http://schemas.microsoft.com/office/drawing/2014/main" id="{D07E7442-85F8-C69D-80F4-6B1B07C38D5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6">
            <a:extLst>
              <a:ext uri="{FF2B5EF4-FFF2-40B4-BE49-F238E27FC236}">
                <a16:creationId xmlns:a16="http://schemas.microsoft.com/office/drawing/2014/main" id="{4B0404E9-8C8F-76C0-060F-14A7D763C95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62</xdr:row>
      <xdr:rowOff>134303</xdr:rowOff>
    </xdr:from>
    <xdr:to>
      <xdr:col>21</xdr:col>
      <xdr:colOff>310585</xdr:colOff>
      <xdr:row>63</xdr:row>
      <xdr:rowOff>48661</xdr:rowOff>
    </xdr:to>
    <xdr:grpSp>
      <xdr:nvGrpSpPr>
        <xdr:cNvPr id="176" name="Grup 239">
          <a:extLst>
            <a:ext uri="{FF2B5EF4-FFF2-40B4-BE49-F238E27FC236}">
              <a16:creationId xmlns:a16="http://schemas.microsoft.com/office/drawing/2014/main" id="{9124EC2E-B111-40E4-86D8-F8257C9F88FC}"/>
            </a:ext>
          </a:extLst>
        </xdr:cNvPr>
        <xdr:cNvGrpSpPr/>
      </xdr:nvGrpSpPr>
      <xdr:grpSpPr>
        <a:xfrm>
          <a:off x="7720013" y="9897428"/>
          <a:ext cx="139135" cy="69139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87B2A21B-BF97-75A1-B3E8-A661547E272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ADFD8FE5-B62C-61B2-AED7-90D4EFB73D5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FEB4C98D-9059-5253-18AD-0CA11DC5B7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0B8E9B8B-2020-C939-618E-E431C1546A8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62</xdr:row>
      <xdr:rowOff>119062</xdr:rowOff>
    </xdr:from>
    <xdr:to>
      <xdr:col>22</xdr:col>
      <xdr:colOff>142945</xdr:colOff>
      <xdr:row>63</xdr:row>
      <xdr:rowOff>33420</xdr:rowOff>
    </xdr:to>
    <xdr:grpSp>
      <xdr:nvGrpSpPr>
        <xdr:cNvPr id="181" name="Grup 244">
          <a:extLst>
            <a:ext uri="{FF2B5EF4-FFF2-40B4-BE49-F238E27FC236}">
              <a16:creationId xmlns:a16="http://schemas.microsoft.com/office/drawing/2014/main" id="{C53B6673-DA4C-4A1F-8EC9-D2BD279D9F63}"/>
            </a:ext>
          </a:extLst>
        </xdr:cNvPr>
        <xdr:cNvGrpSpPr/>
      </xdr:nvGrpSpPr>
      <xdr:grpSpPr>
        <a:xfrm>
          <a:off x="7933373" y="9882187"/>
          <a:ext cx="139135" cy="69139"/>
          <a:chOff x="13302191" y="2320613"/>
          <a:chExt cx="139135" cy="57233"/>
        </a:xfrm>
      </xdr:grpSpPr>
      <xdr:cxnSp macro="">
        <xdr:nvCxnSpPr>
          <xdr:cNvPr id="182" name="Straight Connector 81">
            <a:extLst>
              <a:ext uri="{FF2B5EF4-FFF2-40B4-BE49-F238E27FC236}">
                <a16:creationId xmlns:a16="http://schemas.microsoft.com/office/drawing/2014/main" id="{66EDFF65-E845-CFD0-DDA9-184AF18236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2">
            <a:extLst>
              <a:ext uri="{FF2B5EF4-FFF2-40B4-BE49-F238E27FC236}">
                <a16:creationId xmlns:a16="http://schemas.microsoft.com/office/drawing/2014/main" id="{160D01E8-F8D8-AF4D-DEA3-39980CDF8F8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3">
            <a:extLst>
              <a:ext uri="{FF2B5EF4-FFF2-40B4-BE49-F238E27FC236}">
                <a16:creationId xmlns:a16="http://schemas.microsoft.com/office/drawing/2014/main" id="{D17DCDB0-BAC2-2D64-76D2-523C808D33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4">
            <a:extLst>
              <a:ext uri="{FF2B5EF4-FFF2-40B4-BE49-F238E27FC236}">
                <a16:creationId xmlns:a16="http://schemas.microsoft.com/office/drawing/2014/main" id="{32D920DC-5FA8-5790-AFDE-596A1C5F375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146814</xdr:colOff>
      <xdr:row>26</xdr:row>
      <xdr:rowOff>137248</xdr:rowOff>
    </xdr:from>
    <xdr:to>
      <xdr:col>19</xdr:col>
      <xdr:colOff>520</xdr:colOff>
      <xdr:row>29</xdr:row>
      <xdr:rowOff>56246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E38E978-6F26-4161-8C02-9D31E5A7EB61}"/>
            </a:ext>
          </a:extLst>
        </xdr:cNvPr>
        <xdr:cNvSpPr txBox="1"/>
      </xdr:nvSpPr>
      <xdr:spPr>
        <a:xfrm rot="3215411">
          <a:off x="6476868" y="4198969"/>
          <a:ext cx="376198" cy="23470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285815</xdr:colOff>
      <xdr:row>29</xdr:row>
      <xdr:rowOff>89190</xdr:rowOff>
    </xdr:from>
    <xdr:to>
      <xdr:col>20</xdr:col>
      <xdr:colOff>179588</xdr:colOff>
      <xdr:row>31</xdr:row>
      <xdr:rowOff>31392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7AC28C8-3F6E-490B-8E8B-1F57D725CCF1}"/>
            </a:ext>
          </a:extLst>
        </xdr:cNvPr>
        <xdr:cNvSpPr txBox="1"/>
      </xdr:nvSpPr>
      <xdr:spPr>
        <a:xfrm rot="2170161">
          <a:off x="6686615" y="4537365"/>
          <a:ext cx="655773" cy="2374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1009</xdr:colOff>
      <xdr:row>31</xdr:row>
      <xdr:rowOff>30614</xdr:rowOff>
    </xdr:from>
    <xdr:to>
      <xdr:col>20</xdr:col>
      <xdr:colOff>224068</xdr:colOff>
      <xdr:row>35</xdr:row>
      <xdr:rowOff>90040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CED08937-673C-4D10-B136-6B85278241CE}"/>
            </a:ext>
          </a:extLst>
        </xdr:cNvPr>
        <xdr:cNvSpPr txBox="1"/>
      </xdr:nvSpPr>
      <xdr:spPr>
        <a:xfrm rot="4859108">
          <a:off x="6940826" y="4997047"/>
          <a:ext cx="669026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41412</xdr:colOff>
      <xdr:row>35</xdr:row>
      <xdr:rowOff>15059</xdr:rowOff>
    </xdr:from>
    <xdr:to>
      <xdr:col>20</xdr:col>
      <xdr:colOff>264471</xdr:colOff>
      <xdr:row>52</xdr:row>
      <xdr:rowOff>55719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0977B52-CEEB-4DE7-BB23-FDF7F0B5ECAC}"/>
            </a:ext>
          </a:extLst>
        </xdr:cNvPr>
        <xdr:cNvSpPr txBox="1"/>
      </xdr:nvSpPr>
      <xdr:spPr>
        <a:xfrm rot="5400000">
          <a:off x="5990487" y="6581834"/>
          <a:ext cx="2650510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361950</xdr:colOff>
      <xdr:row>24</xdr:row>
      <xdr:rowOff>137039</xdr:rowOff>
    </xdr:from>
    <xdr:to>
      <xdr:col>17</xdr:col>
      <xdr:colOff>182218</xdr:colOff>
      <xdr:row>26</xdr:row>
      <xdr:rowOff>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FCA61DC-9BAA-4174-845B-867C570FC374}"/>
            </a:ext>
          </a:extLst>
        </xdr:cNvPr>
        <xdr:cNvSpPr txBox="1"/>
      </xdr:nvSpPr>
      <xdr:spPr>
        <a:xfrm>
          <a:off x="2571750" y="3823214"/>
          <a:ext cx="3630268" cy="16776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140804</xdr:colOff>
      <xdr:row>15</xdr:row>
      <xdr:rowOff>6023</xdr:rowOff>
    </xdr:from>
    <xdr:to>
      <xdr:col>19</xdr:col>
      <xdr:colOff>56650</xdr:colOff>
      <xdr:row>16</xdr:row>
      <xdr:rowOff>28575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64AAA604-78F5-4A98-A458-E2091F80FDC6}"/>
            </a:ext>
          </a:extLst>
        </xdr:cNvPr>
        <xdr:cNvSpPr txBox="1"/>
      </xdr:nvSpPr>
      <xdr:spPr>
        <a:xfrm rot="10800000" flipV="1">
          <a:off x="1207604" y="2320598"/>
          <a:ext cx="5630846" cy="174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293196</xdr:colOff>
      <xdr:row>14</xdr:row>
      <xdr:rowOff>152007</xdr:rowOff>
    </xdr:from>
    <xdr:to>
      <xdr:col>13</xdr:col>
      <xdr:colOff>72194</xdr:colOff>
      <xdr:row>37</xdr:row>
      <xdr:rowOff>102114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415DE75D-D154-4939-A7DD-6DF368E70998}"/>
            </a:ext>
          </a:extLst>
        </xdr:cNvPr>
        <xdr:cNvSpPr txBox="1"/>
      </xdr:nvSpPr>
      <xdr:spPr>
        <a:xfrm rot="5886753" flipV="1">
          <a:off x="2760341" y="3961837"/>
          <a:ext cx="3455307" cy="15999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154790</xdr:colOff>
      <xdr:row>22</xdr:row>
      <xdr:rowOff>47236</xdr:rowOff>
    </xdr:from>
    <xdr:to>
      <xdr:col>18</xdr:col>
      <xdr:colOff>287312</xdr:colOff>
      <xdr:row>25</xdr:row>
      <xdr:rowOff>134100</xdr:rowOff>
    </xdr:to>
    <xdr:sp macro="" textlink="">
      <xdr:nvSpPr>
        <xdr:cNvPr id="193" name="Block Arc 192">
          <a:extLst>
            <a:ext uri="{FF2B5EF4-FFF2-40B4-BE49-F238E27FC236}">
              <a16:creationId xmlns:a16="http://schemas.microsoft.com/office/drawing/2014/main" id="{964CA725-4428-43CA-BD24-EEA5E7ABE6F2}"/>
            </a:ext>
          </a:extLst>
        </xdr:cNvPr>
        <xdr:cNvSpPr/>
      </xdr:nvSpPr>
      <xdr:spPr>
        <a:xfrm rot="10496400">
          <a:off x="5793590" y="3428611"/>
          <a:ext cx="894522" cy="544064"/>
        </a:xfrm>
        <a:prstGeom prst="blockArc">
          <a:avLst>
            <a:gd name="adj1" fmla="val 10800000"/>
            <a:gd name="adj2" fmla="val 18005578"/>
            <a:gd name="adj3" fmla="val 24178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187749</xdr:colOff>
      <xdr:row>11</xdr:row>
      <xdr:rowOff>14051</xdr:rowOff>
    </xdr:from>
    <xdr:to>
      <xdr:col>17</xdr:col>
      <xdr:colOff>301426</xdr:colOff>
      <xdr:row>16</xdr:row>
      <xdr:rowOff>44023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52EB808-2930-474B-A18C-38E582D5FECE}"/>
            </a:ext>
          </a:extLst>
        </xdr:cNvPr>
        <xdr:cNvSpPr txBox="1"/>
      </xdr:nvSpPr>
      <xdr:spPr>
        <a:xfrm rot="16690983" flipV="1">
          <a:off x="5863639" y="2053411"/>
          <a:ext cx="801497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11902</xdr:colOff>
      <xdr:row>15</xdr:row>
      <xdr:rowOff>129278</xdr:rowOff>
    </xdr:from>
    <xdr:to>
      <xdr:col>18</xdr:col>
      <xdr:colOff>104426</xdr:colOff>
      <xdr:row>18</xdr:row>
      <xdr:rowOff>62075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28D21518-9C62-4A70-8503-8BE66FDFBB82}"/>
            </a:ext>
          </a:extLst>
        </xdr:cNvPr>
        <xdr:cNvSpPr txBox="1"/>
      </xdr:nvSpPr>
      <xdr:spPr>
        <a:xfrm rot="16690983" flipV="1">
          <a:off x="6263965" y="2592590"/>
          <a:ext cx="389997" cy="92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90951</xdr:colOff>
      <xdr:row>11</xdr:row>
      <xdr:rowOff>78212</xdr:rowOff>
    </xdr:from>
    <xdr:to>
      <xdr:col>15</xdr:col>
      <xdr:colOff>213291</xdr:colOff>
      <xdr:row>20</xdr:row>
      <xdr:rowOff>95343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25D3B2AA-271D-49F7-9E34-09EAA6C438D4}"/>
            </a:ext>
          </a:extLst>
        </xdr:cNvPr>
        <xdr:cNvSpPr txBox="1"/>
      </xdr:nvSpPr>
      <xdr:spPr>
        <a:xfrm rot="16690983" flipV="1">
          <a:off x="4710793" y="2411620"/>
          <a:ext cx="1398256" cy="1223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124239</xdr:colOff>
      <xdr:row>10</xdr:row>
      <xdr:rowOff>64002</xdr:rowOff>
    </xdr:from>
    <xdr:to>
      <xdr:col>14</xdr:col>
      <xdr:colOff>237916</xdr:colOff>
      <xdr:row>15</xdr:row>
      <xdr:rowOff>77408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4FD969C0-44E0-4AB1-A9C9-3972EDE62017}"/>
            </a:ext>
          </a:extLst>
        </xdr:cNvPr>
        <xdr:cNvSpPr txBox="1"/>
      </xdr:nvSpPr>
      <xdr:spPr>
        <a:xfrm rot="16690983" flipV="1">
          <a:off x="4665412" y="1942679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</xdr:colOff>
      <xdr:row>16</xdr:row>
      <xdr:rowOff>30872</xdr:rowOff>
    </xdr:from>
    <xdr:to>
      <xdr:col>12</xdr:col>
      <xdr:colOff>113678</xdr:colOff>
      <xdr:row>21</xdr:row>
      <xdr:rowOff>60845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41FF80F6-4771-497C-A8B1-2941460E3F64}"/>
            </a:ext>
          </a:extLst>
        </xdr:cNvPr>
        <xdr:cNvSpPr txBox="1"/>
      </xdr:nvSpPr>
      <xdr:spPr>
        <a:xfrm rot="16690983" flipV="1">
          <a:off x="3775653" y="2836995"/>
          <a:ext cx="791973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130076</xdr:colOff>
      <xdr:row>11</xdr:row>
      <xdr:rowOff>93663</xdr:rowOff>
    </xdr:from>
    <xdr:to>
      <xdr:col>10</xdr:col>
      <xdr:colOff>264157</xdr:colOff>
      <xdr:row>15</xdr:row>
      <xdr:rowOff>98409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2F587BEE-251C-444D-82EE-10C52ED5AED3}"/>
            </a:ext>
          </a:extLst>
        </xdr:cNvPr>
        <xdr:cNvSpPr txBox="1"/>
      </xdr:nvSpPr>
      <xdr:spPr>
        <a:xfrm rot="17082941" flipV="1">
          <a:off x="3237981" y="2034008"/>
          <a:ext cx="623871" cy="13408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74545</xdr:colOff>
      <xdr:row>10</xdr:row>
      <xdr:rowOff>55720</xdr:rowOff>
    </xdr:from>
    <xdr:to>
      <xdr:col>9</xdr:col>
      <xdr:colOff>188222</xdr:colOff>
      <xdr:row>15</xdr:row>
      <xdr:rowOff>69126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2215B2A-94A5-497F-955A-5A3FE1688689}"/>
            </a:ext>
          </a:extLst>
        </xdr:cNvPr>
        <xdr:cNvSpPr txBox="1"/>
      </xdr:nvSpPr>
      <xdr:spPr>
        <a:xfrm rot="16690983" flipV="1">
          <a:off x="2710718" y="1934397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117288</xdr:colOff>
      <xdr:row>15</xdr:row>
      <xdr:rowOff>93803</xdr:rowOff>
    </xdr:from>
    <xdr:to>
      <xdr:col>10</xdr:col>
      <xdr:colOff>242431</xdr:colOff>
      <xdr:row>19</xdr:row>
      <xdr:rowOff>108074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5C8500B-11E2-4D75-B676-0BCF8F763D95}"/>
            </a:ext>
          </a:extLst>
        </xdr:cNvPr>
        <xdr:cNvSpPr txBox="1"/>
      </xdr:nvSpPr>
      <xdr:spPr>
        <a:xfrm rot="15588577" flipV="1">
          <a:off x="3220724" y="2657742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57150</xdr:colOff>
      <xdr:row>15</xdr:row>
      <xdr:rowOff>114300</xdr:rowOff>
    </xdr:from>
    <xdr:to>
      <xdr:col>8</xdr:col>
      <xdr:colOff>182293</xdr:colOff>
      <xdr:row>19</xdr:row>
      <xdr:rowOff>128571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346B8D19-B4D6-4E17-A9AC-0E40C128EE57}"/>
            </a:ext>
          </a:extLst>
        </xdr:cNvPr>
        <xdr:cNvSpPr txBox="1"/>
      </xdr:nvSpPr>
      <xdr:spPr>
        <a:xfrm rot="15588577" flipV="1">
          <a:off x="2398586" y="26782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6</xdr:col>
      <xdr:colOff>266700</xdr:colOff>
      <xdr:row>15</xdr:row>
      <xdr:rowOff>123825</xdr:rowOff>
    </xdr:from>
    <xdr:to>
      <xdr:col>7</xdr:col>
      <xdr:colOff>10843</xdr:colOff>
      <xdr:row>19</xdr:row>
      <xdr:rowOff>138096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56CA90C0-492D-4B71-92E4-6A9DCE98C27B}"/>
            </a:ext>
          </a:extLst>
        </xdr:cNvPr>
        <xdr:cNvSpPr txBox="1"/>
      </xdr:nvSpPr>
      <xdr:spPr>
        <a:xfrm rot="16017659" flipV="1">
          <a:off x="1846136" y="2687764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323850</xdr:colOff>
      <xdr:row>11</xdr:row>
      <xdr:rowOff>9525</xdr:rowOff>
    </xdr:from>
    <xdr:to>
      <xdr:col>6</xdr:col>
      <xdr:colOff>67993</xdr:colOff>
      <xdr:row>15</xdr:row>
      <xdr:rowOff>14271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6695148C-DE29-43BE-9E07-3BC510273E46}"/>
            </a:ext>
          </a:extLst>
        </xdr:cNvPr>
        <xdr:cNvSpPr txBox="1"/>
      </xdr:nvSpPr>
      <xdr:spPr>
        <a:xfrm rot="16200000" flipV="1">
          <a:off x="1522286" y="19543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81774</xdr:colOff>
      <xdr:row>7</xdr:row>
      <xdr:rowOff>69826</xdr:rowOff>
    </xdr:from>
    <xdr:to>
      <xdr:col>4</xdr:col>
      <xdr:colOff>228167</xdr:colOff>
      <xdr:row>38</xdr:row>
      <xdr:rowOff>25434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A0F44934-814F-464E-A891-25C87A47616E}"/>
            </a:ext>
          </a:extLst>
        </xdr:cNvPr>
        <xdr:cNvSpPr txBox="1"/>
      </xdr:nvSpPr>
      <xdr:spPr>
        <a:xfrm rot="16031933" flipV="1">
          <a:off x="-1127758" y="3432008"/>
          <a:ext cx="4699058" cy="14639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314326</xdr:colOff>
      <xdr:row>25</xdr:row>
      <xdr:rowOff>0</xdr:rowOff>
    </xdr:from>
    <xdr:to>
      <xdr:col>8</xdr:col>
      <xdr:colOff>58469</xdr:colOff>
      <xdr:row>29</xdr:row>
      <xdr:rowOff>14271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F0E6A18A-213F-49E5-9312-2E50488F5EA8}"/>
            </a:ext>
          </a:extLst>
        </xdr:cNvPr>
        <xdr:cNvSpPr txBox="1"/>
      </xdr:nvSpPr>
      <xdr:spPr>
        <a:xfrm rot="16017659" flipV="1">
          <a:off x="2274762" y="40879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257175</xdr:colOff>
      <xdr:row>28</xdr:row>
      <xdr:rowOff>77915</xdr:rowOff>
    </xdr:from>
    <xdr:to>
      <xdr:col>8</xdr:col>
      <xdr:colOff>69707</xdr:colOff>
      <xdr:row>29</xdr:row>
      <xdr:rowOff>38101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C22427D7-92EE-4DE8-948D-AA30B9223A8D}"/>
            </a:ext>
          </a:extLst>
        </xdr:cNvPr>
        <xdr:cNvSpPr txBox="1"/>
      </xdr:nvSpPr>
      <xdr:spPr>
        <a:xfrm rot="10800000" flipV="1">
          <a:off x="1323975" y="4373690"/>
          <a:ext cx="1336532" cy="11258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361950</xdr:colOff>
      <xdr:row>12</xdr:row>
      <xdr:rowOff>116014</xdr:rowOff>
    </xdr:from>
    <xdr:to>
      <xdr:col>4</xdr:col>
      <xdr:colOff>50657</xdr:colOff>
      <xdr:row>13</xdr:row>
      <xdr:rowOff>79232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C2A2FBEF-4281-4863-B8C7-109EBD514926}"/>
            </a:ext>
          </a:extLst>
        </xdr:cNvPr>
        <xdr:cNvSpPr txBox="1"/>
      </xdr:nvSpPr>
      <xdr:spPr>
        <a:xfrm rot="10800000" flipV="1">
          <a:off x="552450" y="1963864"/>
          <a:ext cx="565007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194663</xdr:colOff>
      <xdr:row>25</xdr:row>
      <xdr:rowOff>115385</xdr:rowOff>
    </xdr:from>
    <xdr:to>
      <xdr:col>10</xdr:col>
      <xdr:colOff>284186</xdr:colOff>
      <xdr:row>28</xdr:row>
      <xdr:rowOff>78868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F91BB7CA-708A-4564-B506-026791D8D79C}"/>
            </a:ext>
          </a:extLst>
        </xdr:cNvPr>
        <xdr:cNvSpPr txBox="1"/>
      </xdr:nvSpPr>
      <xdr:spPr>
        <a:xfrm rot="16017659" flipV="1">
          <a:off x="3381883" y="4119540"/>
          <a:ext cx="420683" cy="8952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234469</xdr:colOff>
      <xdr:row>28</xdr:row>
      <xdr:rowOff>3655</xdr:rowOff>
    </xdr:from>
    <xdr:to>
      <xdr:col>12</xdr:col>
      <xdr:colOff>257174</xdr:colOff>
      <xdr:row>28</xdr:row>
      <xdr:rowOff>95250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6FF36288-A4A3-4965-9DBF-8696E6435D7D}"/>
            </a:ext>
          </a:extLst>
        </xdr:cNvPr>
        <xdr:cNvSpPr txBox="1"/>
      </xdr:nvSpPr>
      <xdr:spPr>
        <a:xfrm rot="10800000" flipV="1">
          <a:off x="3587269" y="4299430"/>
          <a:ext cx="784705" cy="915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364238</xdr:colOff>
      <xdr:row>10</xdr:row>
      <xdr:rowOff>96734</xdr:rowOff>
    </xdr:from>
    <xdr:to>
      <xdr:col>19</xdr:col>
      <xdr:colOff>127790</xdr:colOff>
      <xdr:row>11</xdr:row>
      <xdr:rowOff>93167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2B4AA791-E176-4C01-A6FA-27BC1CE4750E}"/>
            </a:ext>
          </a:extLst>
        </xdr:cNvPr>
        <xdr:cNvGrpSpPr/>
      </xdr:nvGrpSpPr>
      <xdr:grpSpPr>
        <a:xfrm>
          <a:off x="6769801" y="1668359"/>
          <a:ext cx="144552" cy="151214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664133AA-8E31-1228-212F-07A9B27BF5B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19987B57-B9A3-574C-1BEA-A38BA3FB736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D0612994-6FC8-78F2-2F1C-651884B209B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209550</xdr:colOff>
      <xdr:row>16</xdr:row>
      <xdr:rowOff>19050</xdr:rowOff>
    </xdr:from>
    <xdr:to>
      <xdr:col>18</xdr:col>
      <xdr:colOff>356557</xdr:colOff>
      <xdr:row>16</xdr:row>
      <xdr:rowOff>150699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632BE57D-18D4-4481-9B00-F2E92C77FA45}"/>
            </a:ext>
          </a:extLst>
        </xdr:cNvPr>
        <xdr:cNvGrpSpPr/>
      </xdr:nvGrpSpPr>
      <xdr:grpSpPr>
        <a:xfrm>
          <a:off x="6615113" y="2531269"/>
          <a:ext cx="147007" cy="131649"/>
          <a:chOff x="9937028" y="802652"/>
          <a:chExt cx="83991" cy="77961"/>
        </a:xfrm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1D269E98-E839-BD28-0F00-42B42F42752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FD17B0A8-B1B0-AA7C-3CE4-BD1B9F4E228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EEA786A0-69EF-05A2-40B3-6BEBFD14B4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262431</xdr:colOff>
      <xdr:row>16</xdr:row>
      <xdr:rowOff>44669</xdr:rowOff>
    </xdr:from>
    <xdr:to>
      <xdr:col>12</xdr:col>
      <xdr:colOff>28438</xdr:colOff>
      <xdr:row>17</xdr:row>
      <xdr:rowOff>23918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C3250E96-C44B-4AD6-BF7D-D2DB8A919F77}"/>
            </a:ext>
          </a:extLst>
        </xdr:cNvPr>
        <xdr:cNvGrpSpPr/>
      </xdr:nvGrpSpPr>
      <xdr:grpSpPr>
        <a:xfrm>
          <a:off x="4000994" y="2556888"/>
          <a:ext cx="147007" cy="134030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86ED9EF9-07DF-6BA9-2E7A-2FCF9D73F85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E906B37-775F-F5B0-73ED-3C36C3E624F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">
            <a:extLst>
              <a:ext uri="{FF2B5EF4-FFF2-40B4-BE49-F238E27FC236}">
                <a16:creationId xmlns:a16="http://schemas.microsoft.com/office/drawing/2014/main" id="{B5CEA984-5374-3C3A-975A-CD34AEC69B9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209550</xdr:colOff>
      <xdr:row>16</xdr:row>
      <xdr:rowOff>28575</xdr:rowOff>
    </xdr:from>
    <xdr:to>
      <xdr:col>15</xdr:col>
      <xdr:colOff>356557</xdr:colOff>
      <xdr:row>17</xdr:row>
      <xdr:rowOff>7824</xdr:rowOff>
    </xdr:to>
    <xdr:grpSp>
      <xdr:nvGrpSpPr>
        <xdr:cNvPr id="223" name="Group 13">
          <a:extLst>
            <a:ext uri="{FF2B5EF4-FFF2-40B4-BE49-F238E27FC236}">
              <a16:creationId xmlns:a16="http://schemas.microsoft.com/office/drawing/2014/main" id="{50BF99E3-658F-4BC0-A081-B9AC00D59B0D}"/>
            </a:ext>
          </a:extLst>
        </xdr:cNvPr>
        <xdr:cNvGrpSpPr/>
      </xdr:nvGrpSpPr>
      <xdr:grpSpPr>
        <a:xfrm>
          <a:off x="5472113" y="2540794"/>
          <a:ext cx="147007" cy="134030"/>
          <a:chOff x="9937028" y="802652"/>
          <a:chExt cx="83991" cy="77961"/>
        </a:xfrm>
      </xdr:grpSpPr>
      <xdr:sp macro="" textlink="">
        <xdr:nvSpPr>
          <xdr:cNvPr id="224" name="Oval 1">
            <a:extLst>
              <a:ext uri="{FF2B5EF4-FFF2-40B4-BE49-F238E27FC236}">
                <a16:creationId xmlns:a16="http://schemas.microsoft.com/office/drawing/2014/main" id="{4AC486A5-AB34-D9C9-20B2-53908AEEBE2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5" name="Straight Connector 3">
            <a:extLst>
              <a:ext uri="{FF2B5EF4-FFF2-40B4-BE49-F238E27FC236}">
                <a16:creationId xmlns:a16="http://schemas.microsoft.com/office/drawing/2014/main" id="{B6872B2C-AB61-DCAE-FBA9-5A5D9BDC03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7">
            <a:extLst>
              <a:ext uri="{FF2B5EF4-FFF2-40B4-BE49-F238E27FC236}">
                <a16:creationId xmlns:a16="http://schemas.microsoft.com/office/drawing/2014/main" id="{CDD9977B-E796-8DBD-3E23-ACCBC1B5A9B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99192</xdr:colOff>
      <xdr:row>16</xdr:row>
      <xdr:rowOff>54194</xdr:rowOff>
    </xdr:from>
    <xdr:to>
      <xdr:col>7</xdr:col>
      <xdr:colOff>246199</xdr:colOff>
      <xdr:row>17</xdr:row>
      <xdr:rowOff>33443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6D05FC02-6D8F-455C-94CB-76F6FA49A7F6}"/>
            </a:ext>
          </a:extLst>
        </xdr:cNvPr>
        <xdr:cNvGrpSpPr/>
      </xdr:nvGrpSpPr>
      <xdr:grpSpPr>
        <a:xfrm>
          <a:off x="2313755" y="2566413"/>
          <a:ext cx="147007" cy="134030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29275801-5BEF-AFB6-7E6A-AC16524B16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9E43606D-8D25-FC98-6E68-122C6E9E544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">
            <a:extLst>
              <a:ext uri="{FF2B5EF4-FFF2-40B4-BE49-F238E27FC236}">
                <a16:creationId xmlns:a16="http://schemas.microsoft.com/office/drawing/2014/main" id="{B717C6D6-29FE-AB43-84FF-EC74A9B4E40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361950</xdr:colOff>
      <xdr:row>16</xdr:row>
      <xdr:rowOff>38100</xdr:rowOff>
    </xdr:from>
    <xdr:to>
      <xdr:col>17</xdr:col>
      <xdr:colOff>127957</xdr:colOff>
      <xdr:row>17</xdr:row>
      <xdr:rowOff>17349</xdr:rowOff>
    </xdr:to>
    <xdr:grpSp>
      <xdr:nvGrpSpPr>
        <xdr:cNvPr id="231" name="Group 13">
          <a:extLst>
            <a:ext uri="{FF2B5EF4-FFF2-40B4-BE49-F238E27FC236}">
              <a16:creationId xmlns:a16="http://schemas.microsoft.com/office/drawing/2014/main" id="{4D39C1AD-133C-4D87-8413-5D6845087214}"/>
            </a:ext>
          </a:extLst>
        </xdr:cNvPr>
        <xdr:cNvGrpSpPr/>
      </xdr:nvGrpSpPr>
      <xdr:grpSpPr>
        <a:xfrm>
          <a:off x="6005513" y="2550319"/>
          <a:ext cx="147007" cy="134030"/>
          <a:chOff x="9937028" y="802652"/>
          <a:chExt cx="83991" cy="77961"/>
        </a:xfrm>
      </xdr:grpSpPr>
      <xdr:sp macro="" textlink="">
        <xdr:nvSpPr>
          <xdr:cNvPr id="232" name="Oval 1">
            <a:extLst>
              <a:ext uri="{FF2B5EF4-FFF2-40B4-BE49-F238E27FC236}">
                <a16:creationId xmlns:a16="http://schemas.microsoft.com/office/drawing/2014/main" id="{93EBC2B2-F2C0-4A00-60FA-E46665FF4B6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3" name="Straight Connector 3">
            <a:extLst>
              <a:ext uri="{FF2B5EF4-FFF2-40B4-BE49-F238E27FC236}">
                <a16:creationId xmlns:a16="http://schemas.microsoft.com/office/drawing/2014/main" id="{C7B8D675-EEF1-59C3-8977-E00278B0283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7">
            <a:extLst>
              <a:ext uri="{FF2B5EF4-FFF2-40B4-BE49-F238E27FC236}">
                <a16:creationId xmlns:a16="http://schemas.microsoft.com/office/drawing/2014/main" id="{0F85EA1D-518C-DE59-3B1E-24E0110EBAB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265714</xdr:colOff>
      <xdr:row>16</xdr:row>
      <xdr:rowOff>54193</xdr:rowOff>
    </xdr:from>
    <xdr:to>
      <xdr:col>6</xdr:col>
      <xdr:colOff>31721</xdr:colOff>
      <xdr:row>17</xdr:row>
      <xdr:rowOff>33442</xdr:rowOff>
    </xdr:to>
    <xdr:grpSp>
      <xdr:nvGrpSpPr>
        <xdr:cNvPr id="235" name="Group 13">
          <a:extLst>
            <a:ext uri="{FF2B5EF4-FFF2-40B4-BE49-F238E27FC236}">
              <a16:creationId xmlns:a16="http://schemas.microsoft.com/office/drawing/2014/main" id="{77A53F9F-009E-4282-9E71-4DA63E720C3C}"/>
            </a:ext>
          </a:extLst>
        </xdr:cNvPr>
        <xdr:cNvGrpSpPr/>
      </xdr:nvGrpSpPr>
      <xdr:grpSpPr>
        <a:xfrm>
          <a:off x="1718277" y="2566412"/>
          <a:ext cx="147007" cy="134030"/>
          <a:chOff x="9937028" y="802652"/>
          <a:chExt cx="83991" cy="77961"/>
        </a:xfrm>
      </xdr:grpSpPr>
      <xdr:sp macro="" textlink="">
        <xdr:nvSpPr>
          <xdr:cNvPr id="236" name="Oval 1">
            <a:extLst>
              <a:ext uri="{FF2B5EF4-FFF2-40B4-BE49-F238E27FC236}">
                <a16:creationId xmlns:a16="http://schemas.microsoft.com/office/drawing/2014/main" id="{E5E32CEE-14E9-1590-A259-34CF9593441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7" name="Straight Connector 3">
            <a:extLst>
              <a:ext uri="{FF2B5EF4-FFF2-40B4-BE49-F238E27FC236}">
                <a16:creationId xmlns:a16="http://schemas.microsoft.com/office/drawing/2014/main" id="{5AFA20B8-5F96-70AD-1C43-BB3D9AF1CE2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">
            <a:extLst>
              <a:ext uri="{FF2B5EF4-FFF2-40B4-BE49-F238E27FC236}">
                <a16:creationId xmlns:a16="http://schemas.microsoft.com/office/drawing/2014/main" id="{5CB5C342-D303-9B1F-C0C6-612A52D0CE3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257175</xdr:colOff>
      <xdr:row>16</xdr:row>
      <xdr:rowOff>38100</xdr:rowOff>
    </xdr:from>
    <xdr:to>
      <xdr:col>14</xdr:col>
      <xdr:colOff>23182</xdr:colOff>
      <xdr:row>17</xdr:row>
      <xdr:rowOff>17349</xdr:rowOff>
    </xdr:to>
    <xdr:grpSp>
      <xdr:nvGrpSpPr>
        <xdr:cNvPr id="239" name="Group 13">
          <a:extLst>
            <a:ext uri="{FF2B5EF4-FFF2-40B4-BE49-F238E27FC236}">
              <a16:creationId xmlns:a16="http://schemas.microsoft.com/office/drawing/2014/main" id="{5C822576-5A8A-47F4-9C9D-A28B94A12F2A}"/>
            </a:ext>
          </a:extLst>
        </xdr:cNvPr>
        <xdr:cNvGrpSpPr/>
      </xdr:nvGrpSpPr>
      <xdr:grpSpPr>
        <a:xfrm>
          <a:off x="4757738" y="2550319"/>
          <a:ext cx="147007" cy="134030"/>
          <a:chOff x="9937028" y="802652"/>
          <a:chExt cx="83991" cy="77961"/>
        </a:xfrm>
      </xdr:grpSpPr>
      <xdr:sp macro="" textlink="">
        <xdr:nvSpPr>
          <xdr:cNvPr id="240" name="Oval 1">
            <a:extLst>
              <a:ext uri="{FF2B5EF4-FFF2-40B4-BE49-F238E27FC236}">
                <a16:creationId xmlns:a16="http://schemas.microsoft.com/office/drawing/2014/main" id="{1C9F5DB6-A999-E08A-25DA-B709E209DA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1" name="Straight Connector 3">
            <a:extLst>
              <a:ext uri="{FF2B5EF4-FFF2-40B4-BE49-F238E27FC236}">
                <a16:creationId xmlns:a16="http://schemas.microsoft.com/office/drawing/2014/main" id="{3A08BBB7-887F-A317-C2A7-38634358933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">
            <a:extLst>
              <a:ext uri="{FF2B5EF4-FFF2-40B4-BE49-F238E27FC236}">
                <a16:creationId xmlns:a16="http://schemas.microsoft.com/office/drawing/2014/main" id="{B819D870-BCCC-670E-A363-7000E1E24D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225317</xdr:colOff>
      <xdr:row>16</xdr:row>
      <xdr:rowOff>60762</xdr:rowOff>
    </xdr:from>
    <xdr:to>
      <xdr:col>8</xdr:col>
      <xdr:colOff>372324</xdr:colOff>
      <xdr:row>17</xdr:row>
      <xdr:rowOff>40011</xdr:rowOff>
    </xdr:to>
    <xdr:grpSp>
      <xdr:nvGrpSpPr>
        <xdr:cNvPr id="243" name="Group 13">
          <a:extLst>
            <a:ext uri="{FF2B5EF4-FFF2-40B4-BE49-F238E27FC236}">
              <a16:creationId xmlns:a16="http://schemas.microsoft.com/office/drawing/2014/main" id="{B2D25EE8-4732-4A01-971F-3552A9FB5707}"/>
            </a:ext>
          </a:extLst>
        </xdr:cNvPr>
        <xdr:cNvGrpSpPr/>
      </xdr:nvGrpSpPr>
      <xdr:grpSpPr>
        <a:xfrm>
          <a:off x="2820880" y="2572981"/>
          <a:ext cx="147007" cy="134030"/>
          <a:chOff x="9937028" y="802652"/>
          <a:chExt cx="83991" cy="77961"/>
        </a:xfrm>
      </xdr:grpSpPr>
      <xdr:sp macro="" textlink="">
        <xdr:nvSpPr>
          <xdr:cNvPr id="244" name="Oval 1">
            <a:extLst>
              <a:ext uri="{FF2B5EF4-FFF2-40B4-BE49-F238E27FC236}">
                <a16:creationId xmlns:a16="http://schemas.microsoft.com/office/drawing/2014/main" id="{64EDA346-2432-3A04-BA27-105D9FC3BF6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3">
            <a:extLst>
              <a:ext uri="{FF2B5EF4-FFF2-40B4-BE49-F238E27FC236}">
                <a16:creationId xmlns:a16="http://schemas.microsoft.com/office/drawing/2014/main" id="{379FDCFD-81C5-4217-1443-44D95D9237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">
            <a:extLst>
              <a:ext uri="{FF2B5EF4-FFF2-40B4-BE49-F238E27FC236}">
                <a16:creationId xmlns:a16="http://schemas.microsoft.com/office/drawing/2014/main" id="{8014D33A-A890-EBE8-8BF7-95144B544E1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180975</xdr:colOff>
      <xdr:row>16</xdr:row>
      <xdr:rowOff>38100</xdr:rowOff>
    </xdr:from>
    <xdr:to>
      <xdr:col>4</xdr:col>
      <xdr:colOff>325527</xdr:colOff>
      <xdr:row>17</xdr:row>
      <xdr:rowOff>34533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E78D84B3-885F-4846-BCAE-2435EF4D4038}"/>
            </a:ext>
          </a:extLst>
        </xdr:cNvPr>
        <xdr:cNvGrpSpPr/>
      </xdr:nvGrpSpPr>
      <xdr:grpSpPr>
        <a:xfrm>
          <a:off x="1252538" y="2550319"/>
          <a:ext cx="144552" cy="151214"/>
          <a:chOff x="9937028" y="802652"/>
          <a:chExt cx="83991" cy="77961"/>
        </a:xfrm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8404466D-082A-A79D-5784-B2416D3E5C3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1DC1AF75-D81F-5767-75A1-62E33860541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1C9CF199-2A58-8779-3BC3-D2C68DD87B7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29</xdr:row>
      <xdr:rowOff>85725</xdr:rowOff>
    </xdr:from>
    <xdr:to>
      <xdr:col>5</xdr:col>
      <xdr:colOff>58827</xdr:colOff>
      <xdr:row>30</xdr:row>
      <xdr:rowOff>91683</xdr:rowOff>
    </xdr:to>
    <xdr:grpSp>
      <xdr:nvGrpSpPr>
        <xdr:cNvPr id="263" name="Group 13">
          <a:extLst>
            <a:ext uri="{FF2B5EF4-FFF2-40B4-BE49-F238E27FC236}">
              <a16:creationId xmlns:a16="http://schemas.microsoft.com/office/drawing/2014/main" id="{379A50B0-1390-4275-B022-4A5995D03C9F}"/>
            </a:ext>
          </a:extLst>
        </xdr:cNvPr>
        <xdr:cNvGrpSpPr/>
      </xdr:nvGrpSpPr>
      <xdr:grpSpPr>
        <a:xfrm>
          <a:off x="1366838" y="4610100"/>
          <a:ext cx="144552" cy="148833"/>
          <a:chOff x="9937028" y="802652"/>
          <a:chExt cx="83991" cy="77961"/>
        </a:xfrm>
      </xdr:grpSpPr>
      <xdr:sp macro="" textlink="">
        <xdr:nvSpPr>
          <xdr:cNvPr id="264" name="Oval 1">
            <a:extLst>
              <a:ext uri="{FF2B5EF4-FFF2-40B4-BE49-F238E27FC236}">
                <a16:creationId xmlns:a16="http://schemas.microsoft.com/office/drawing/2014/main" id="{D16F5555-7882-DB37-1623-EEE5CACCA8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279C8F11-C7EA-ACF2-5703-BD11E13E97F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E2BDB9B5-C97E-CAC6-69E1-0B5054C0D94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161925</xdr:colOff>
      <xdr:row>13</xdr:row>
      <xdr:rowOff>9525</xdr:rowOff>
    </xdr:from>
    <xdr:to>
      <xdr:col>4</xdr:col>
      <xdr:colOff>306477</xdr:colOff>
      <xdr:row>14</xdr:row>
      <xdr:rowOff>5958</xdr:rowOff>
    </xdr:to>
    <xdr:grpSp>
      <xdr:nvGrpSpPr>
        <xdr:cNvPr id="271" name="Group 13">
          <a:extLst>
            <a:ext uri="{FF2B5EF4-FFF2-40B4-BE49-F238E27FC236}">
              <a16:creationId xmlns:a16="http://schemas.microsoft.com/office/drawing/2014/main" id="{9453F47A-FC5D-4E95-8A3F-F00A8B52DC9B}"/>
            </a:ext>
          </a:extLst>
        </xdr:cNvPr>
        <xdr:cNvGrpSpPr/>
      </xdr:nvGrpSpPr>
      <xdr:grpSpPr>
        <a:xfrm>
          <a:off x="1233488" y="2057400"/>
          <a:ext cx="144552" cy="151214"/>
          <a:chOff x="9937028" y="802652"/>
          <a:chExt cx="83991" cy="77961"/>
        </a:xfrm>
      </xdr:grpSpPr>
      <xdr:sp macro="" textlink="">
        <xdr:nvSpPr>
          <xdr:cNvPr id="272" name="Oval 1">
            <a:extLst>
              <a:ext uri="{FF2B5EF4-FFF2-40B4-BE49-F238E27FC236}">
                <a16:creationId xmlns:a16="http://schemas.microsoft.com/office/drawing/2014/main" id="{614EAED7-04AF-C05C-883E-C632DD0D9DB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3">
            <a:extLst>
              <a:ext uri="{FF2B5EF4-FFF2-40B4-BE49-F238E27FC236}">
                <a16:creationId xmlns:a16="http://schemas.microsoft.com/office/drawing/2014/main" id="{7F2B88C3-21FF-452C-9D7E-98D522DFD33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7">
            <a:extLst>
              <a:ext uri="{FF2B5EF4-FFF2-40B4-BE49-F238E27FC236}">
                <a16:creationId xmlns:a16="http://schemas.microsoft.com/office/drawing/2014/main" id="{8442EC16-E56B-76F2-A30F-B8AF1DE619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304358</xdr:colOff>
      <xdr:row>16</xdr:row>
      <xdr:rowOff>38330</xdr:rowOff>
    </xdr:from>
    <xdr:to>
      <xdr:col>18</xdr:col>
      <xdr:colOff>231079</xdr:colOff>
      <xdr:row>16</xdr:row>
      <xdr:rowOff>59704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6C823964-6E98-4A8E-AB23-1498EE7075EA}"/>
            </a:ext>
          </a:extLst>
        </xdr:cNvPr>
        <xdr:cNvCxnSpPr>
          <a:cxnSpLocks/>
          <a:stCxn id="216" idx="1"/>
          <a:endCxn id="248" idx="7"/>
        </xdr:cNvCxnSpPr>
      </xdr:nvCxnSpPr>
      <xdr:spPr bwMode="auto">
        <a:xfrm flipH="1">
          <a:off x="1371158" y="2505305"/>
          <a:ext cx="5260721" cy="213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9</xdr:row>
      <xdr:rowOff>66675</xdr:rowOff>
    </xdr:from>
    <xdr:to>
      <xdr:col>4</xdr:col>
      <xdr:colOff>325527</xdr:colOff>
      <xdr:row>16</xdr:row>
      <xdr:rowOff>112517</xdr:rowOff>
    </xdr:to>
    <xdr:cxnSp macro="">
      <xdr:nvCxnSpPr>
        <xdr:cNvPr id="276" name="Straight Connector 140">
          <a:extLst>
            <a:ext uri="{FF2B5EF4-FFF2-40B4-BE49-F238E27FC236}">
              <a16:creationId xmlns:a16="http://schemas.microsoft.com/office/drawing/2014/main" id="{AB2E13F1-9B1D-49BB-A3B6-15E6D8BB3D7B}"/>
            </a:ext>
          </a:extLst>
        </xdr:cNvPr>
        <xdr:cNvCxnSpPr>
          <a:cxnSpLocks/>
          <a:stCxn id="248" idx="6"/>
        </xdr:cNvCxnSpPr>
      </xdr:nvCxnSpPr>
      <xdr:spPr bwMode="auto">
        <a:xfrm flipH="1" flipV="1">
          <a:off x="1333500" y="1457325"/>
          <a:ext cx="58827" cy="1122167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251651</xdr:colOff>
      <xdr:row>32</xdr:row>
      <xdr:rowOff>96878</xdr:rowOff>
    </xdr:from>
    <xdr:to>
      <xdr:col>4</xdr:col>
      <xdr:colOff>101654</xdr:colOff>
      <xdr:row>33</xdr:row>
      <xdr:rowOff>46988</xdr:rowOff>
    </xdr:to>
    <xdr:grpSp>
      <xdr:nvGrpSpPr>
        <xdr:cNvPr id="277" name="Group 134">
          <a:extLst>
            <a:ext uri="{FF2B5EF4-FFF2-40B4-BE49-F238E27FC236}">
              <a16:creationId xmlns:a16="http://schemas.microsoft.com/office/drawing/2014/main" id="{7ECF248E-E973-4FFD-A5A8-B33F2C7BD05E}"/>
            </a:ext>
          </a:extLst>
        </xdr:cNvPr>
        <xdr:cNvGrpSpPr/>
      </xdr:nvGrpSpPr>
      <xdr:grpSpPr>
        <a:xfrm>
          <a:off x="942214" y="5073691"/>
          <a:ext cx="231003" cy="1048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8" name="Isosceles Triangle 118">
            <a:extLst>
              <a:ext uri="{FF2B5EF4-FFF2-40B4-BE49-F238E27FC236}">
                <a16:creationId xmlns:a16="http://schemas.microsoft.com/office/drawing/2014/main" id="{2EDF390A-70B2-F160-EC5D-CE1559CB11E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9" name="Isosceles Triangle 119">
            <a:extLst>
              <a:ext uri="{FF2B5EF4-FFF2-40B4-BE49-F238E27FC236}">
                <a16:creationId xmlns:a16="http://schemas.microsoft.com/office/drawing/2014/main" id="{F1FF2FC0-F4CC-5989-4CD5-29C3EF3EBE9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0" name="Isosceles Triangle 120">
            <a:extLst>
              <a:ext uri="{FF2B5EF4-FFF2-40B4-BE49-F238E27FC236}">
                <a16:creationId xmlns:a16="http://schemas.microsoft.com/office/drawing/2014/main" id="{0235B14B-227E-B265-49E0-BF207C42934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85725</xdr:colOff>
      <xdr:row>8</xdr:row>
      <xdr:rowOff>57150</xdr:rowOff>
    </xdr:from>
    <xdr:to>
      <xdr:col>5</xdr:col>
      <xdr:colOff>161925</xdr:colOff>
      <xdr:row>52</xdr:row>
      <xdr:rowOff>19050</xdr:rowOff>
    </xdr:to>
    <xdr:cxnSp macro="">
      <xdr:nvCxnSpPr>
        <xdr:cNvPr id="281" name="Straight Connector 140">
          <a:extLst>
            <a:ext uri="{FF2B5EF4-FFF2-40B4-BE49-F238E27FC236}">
              <a16:creationId xmlns:a16="http://schemas.microsoft.com/office/drawing/2014/main" id="{37B01761-05B0-4FE0-B892-8BDBA54BB423}"/>
            </a:ext>
          </a:extLst>
        </xdr:cNvPr>
        <xdr:cNvCxnSpPr>
          <a:cxnSpLocks/>
        </xdr:cNvCxnSpPr>
      </xdr:nvCxnSpPr>
      <xdr:spPr bwMode="auto">
        <a:xfrm>
          <a:off x="1152525" y="1295400"/>
          <a:ext cx="457200" cy="668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162402</xdr:colOff>
      <xdr:row>17</xdr:row>
      <xdr:rowOff>94775</xdr:rowOff>
    </xdr:from>
    <xdr:to>
      <xdr:col>4</xdr:col>
      <xdr:colOff>245273</xdr:colOff>
      <xdr:row>18</xdr:row>
      <xdr:rowOff>26197</xdr:rowOff>
    </xdr:to>
    <xdr:grpSp>
      <xdr:nvGrpSpPr>
        <xdr:cNvPr id="282" name="Group 73">
          <a:extLst>
            <a:ext uri="{FF2B5EF4-FFF2-40B4-BE49-F238E27FC236}">
              <a16:creationId xmlns:a16="http://schemas.microsoft.com/office/drawing/2014/main" id="{CF8E834C-0B5E-4F26-8763-DCC752042F2F}"/>
            </a:ext>
          </a:extLst>
        </xdr:cNvPr>
        <xdr:cNvGrpSpPr/>
      </xdr:nvGrpSpPr>
      <xdr:grpSpPr>
        <a:xfrm rot="3960287">
          <a:off x="1232299" y="2763441"/>
          <a:ext cx="86203" cy="82871"/>
          <a:chOff x="12175074" y="2285812"/>
          <a:chExt cx="107252" cy="65186"/>
        </a:xfrm>
      </xdr:grpSpPr>
      <xdr:cxnSp macro="">
        <xdr:nvCxnSpPr>
          <xdr:cNvPr id="283" name="Straight Connector 74">
            <a:extLst>
              <a:ext uri="{FF2B5EF4-FFF2-40B4-BE49-F238E27FC236}">
                <a16:creationId xmlns:a16="http://schemas.microsoft.com/office/drawing/2014/main" id="{B633AD55-2090-69D5-EAD0-DD1A4C1AC4F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75">
            <a:extLst>
              <a:ext uri="{FF2B5EF4-FFF2-40B4-BE49-F238E27FC236}">
                <a16:creationId xmlns:a16="http://schemas.microsoft.com/office/drawing/2014/main" id="{7CF90E95-33E8-6A61-2595-CC4E3D94F36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6">
            <a:extLst>
              <a:ext uri="{FF2B5EF4-FFF2-40B4-BE49-F238E27FC236}">
                <a16:creationId xmlns:a16="http://schemas.microsoft.com/office/drawing/2014/main" id="{F34A9508-E4D7-3527-D0B3-5F5F9785700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238125</xdr:colOff>
      <xdr:row>27</xdr:row>
      <xdr:rowOff>142876</xdr:rowOff>
    </xdr:from>
    <xdr:to>
      <xdr:col>4</xdr:col>
      <xdr:colOff>320996</xdr:colOff>
      <xdr:row>28</xdr:row>
      <xdr:rowOff>74298</xdr:rowOff>
    </xdr:to>
    <xdr:grpSp>
      <xdr:nvGrpSpPr>
        <xdr:cNvPr id="286" name="Group 73">
          <a:extLst>
            <a:ext uri="{FF2B5EF4-FFF2-40B4-BE49-F238E27FC236}">
              <a16:creationId xmlns:a16="http://schemas.microsoft.com/office/drawing/2014/main" id="{8A9530B9-DE95-4CB0-A89E-58DFBEC2F13D}"/>
            </a:ext>
          </a:extLst>
        </xdr:cNvPr>
        <xdr:cNvGrpSpPr/>
      </xdr:nvGrpSpPr>
      <xdr:grpSpPr>
        <a:xfrm rot="3960287">
          <a:off x="1308022" y="4359355"/>
          <a:ext cx="86203" cy="82871"/>
          <a:chOff x="12175074" y="2285812"/>
          <a:chExt cx="107252" cy="65186"/>
        </a:xfrm>
      </xdr:grpSpPr>
      <xdr:cxnSp macro="">
        <xdr:nvCxnSpPr>
          <xdr:cNvPr id="287" name="Straight Connector 74">
            <a:extLst>
              <a:ext uri="{FF2B5EF4-FFF2-40B4-BE49-F238E27FC236}">
                <a16:creationId xmlns:a16="http://schemas.microsoft.com/office/drawing/2014/main" id="{15D4917B-F06B-038B-45BF-709BE211918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75">
            <a:extLst>
              <a:ext uri="{FF2B5EF4-FFF2-40B4-BE49-F238E27FC236}">
                <a16:creationId xmlns:a16="http://schemas.microsoft.com/office/drawing/2014/main" id="{DDB89C51-7DB7-39F4-32E5-88F641E761E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76">
            <a:extLst>
              <a:ext uri="{FF2B5EF4-FFF2-40B4-BE49-F238E27FC236}">
                <a16:creationId xmlns:a16="http://schemas.microsoft.com/office/drawing/2014/main" id="{3BAC6C2C-4FE2-E679-AB0C-E7E9245871F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319926</xdr:colOff>
      <xdr:row>16</xdr:row>
      <xdr:rowOff>53583</xdr:rowOff>
    </xdr:from>
    <xdr:to>
      <xdr:col>5</xdr:col>
      <xdr:colOff>85283</xdr:colOff>
      <xdr:row>34</xdr:row>
      <xdr:rowOff>50371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58A1B06B-7F0B-41E8-B561-700E27164F47}"/>
            </a:ext>
          </a:extLst>
        </xdr:cNvPr>
        <xdr:cNvCxnSpPr>
          <a:cxnSpLocks/>
          <a:endCxn id="268" idx="7"/>
        </xdr:cNvCxnSpPr>
      </xdr:nvCxnSpPr>
      <xdr:spPr bwMode="auto">
        <a:xfrm>
          <a:off x="1386726" y="2520558"/>
          <a:ext cx="146357" cy="273046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156210</xdr:colOff>
      <xdr:row>63</xdr:row>
      <xdr:rowOff>119062</xdr:rowOff>
    </xdr:from>
    <xdr:to>
      <xdr:col>22</xdr:col>
      <xdr:colOff>295345</xdr:colOff>
      <xdr:row>64</xdr:row>
      <xdr:rowOff>33420</xdr:rowOff>
    </xdr:to>
    <xdr:grpSp>
      <xdr:nvGrpSpPr>
        <xdr:cNvPr id="295" name="Grup 244">
          <a:extLst>
            <a:ext uri="{FF2B5EF4-FFF2-40B4-BE49-F238E27FC236}">
              <a16:creationId xmlns:a16="http://schemas.microsoft.com/office/drawing/2014/main" id="{2798FA34-A04D-421A-9E40-E0443C8BE9A3}"/>
            </a:ext>
          </a:extLst>
        </xdr:cNvPr>
        <xdr:cNvGrpSpPr/>
      </xdr:nvGrpSpPr>
      <xdr:grpSpPr>
        <a:xfrm>
          <a:off x="8085773" y="10036968"/>
          <a:ext cx="139135" cy="69140"/>
          <a:chOff x="13302191" y="2320613"/>
          <a:chExt cx="139135" cy="57233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D38274C0-FB33-F318-4E50-1E03CC22BA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2DAA8A00-2B9C-A294-974E-DACFB8C7996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CC48C54A-7A26-1FC9-D552-6BF8E90224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4">
            <a:extLst>
              <a:ext uri="{FF2B5EF4-FFF2-40B4-BE49-F238E27FC236}">
                <a16:creationId xmlns:a16="http://schemas.microsoft.com/office/drawing/2014/main" id="{662A63E0-5147-97E6-75B8-5CF44B001AB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7620</xdr:colOff>
      <xdr:row>33</xdr:row>
      <xdr:rowOff>106680</xdr:rowOff>
    </xdr:from>
    <xdr:to>
      <xdr:col>3</xdr:col>
      <xdr:colOff>259080</xdr:colOff>
      <xdr:row>36</xdr:row>
      <xdr:rowOff>3810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0532F1CA-FCB9-4A04-A099-E0138E1FBEC7}"/>
            </a:ext>
          </a:extLst>
        </xdr:cNvPr>
        <xdr:cNvSpPr/>
      </xdr:nvSpPr>
      <xdr:spPr>
        <a:xfrm>
          <a:off x="693420" y="5154930"/>
          <a:ext cx="251460" cy="35433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91440</xdr:colOff>
      <xdr:row>33</xdr:row>
      <xdr:rowOff>105156</xdr:rowOff>
    </xdr:from>
    <xdr:to>
      <xdr:col>3</xdr:col>
      <xdr:colOff>21336</xdr:colOff>
      <xdr:row>38</xdr:row>
      <xdr:rowOff>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8D2B6B87-734E-4F56-9AEA-37356CE8B83B}"/>
            </a:ext>
          </a:extLst>
        </xdr:cNvPr>
        <xdr:cNvSpPr/>
      </xdr:nvSpPr>
      <xdr:spPr>
        <a:xfrm rot="5400000">
          <a:off x="156591" y="5278755"/>
          <a:ext cx="675894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11430</xdr:colOff>
      <xdr:row>33</xdr:row>
      <xdr:rowOff>91440</xdr:rowOff>
    </xdr:from>
    <xdr:to>
      <xdr:col>4</xdr:col>
      <xdr:colOff>158437</xdr:colOff>
      <xdr:row>34</xdr:row>
      <xdr:rowOff>70689</xdr:rowOff>
    </xdr:to>
    <xdr:grpSp>
      <xdr:nvGrpSpPr>
        <xdr:cNvPr id="302" name="Group 13">
          <a:extLst>
            <a:ext uri="{FF2B5EF4-FFF2-40B4-BE49-F238E27FC236}">
              <a16:creationId xmlns:a16="http://schemas.microsoft.com/office/drawing/2014/main" id="{A0CDA38F-BAA1-442F-8BC2-65246A24CC1C}"/>
            </a:ext>
          </a:extLst>
        </xdr:cNvPr>
        <xdr:cNvGrpSpPr/>
      </xdr:nvGrpSpPr>
      <xdr:grpSpPr>
        <a:xfrm>
          <a:off x="1082993" y="5223034"/>
          <a:ext cx="147007" cy="134030"/>
          <a:chOff x="9937028" y="802652"/>
          <a:chExt cx="83991" cy="77961"/>
        </a:xfrm>
      </xdr:grpSpPr>
      <xdr:sp macro="" textlink="">
        <xdr:nvSpPr>
          <xdr:cNvPr id="303" name="Oval 1">
            <a:extLst>
              <a:ext uri="{FF2B5EF4-FFF2-40B4-BE49-F238E27FC236}">
                <a16:creationId xmlns:a16="http://schemas.microsoft.com/office/drawing/2014/main" id="{B2A4F6A2-3BC3-829A-63D5-5705AE5178C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">
            <a:extLst>
              <a:ext uri="{FF2B5EF4-FFF2-40B4-BE49-F238E27FC236}">
                <a16:creationId xmlns:a16="http://schemas.microsoft.com/office/drawing/2014/main" id="{669CDF16-0A0E-4A0E-ED42-D657D5B3DD5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7">
            <a:extLst>
              <a:ext uri="{FF2B5EF4-FFF2-40B4-BE49-F238E27FC236}">
                <a16:creationId xmlns:a16="http://schemas.microsoft.com/office/drawing/2014/main" id="{2BB8F8DE-277E-A1D1-0BB2-06D04B28A06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323865</xdr:colOff>
      <xdr:row>34</xdr:row>
      <xdr:rowOff>1123</xdr:rowOff>
    </xdr:from>
    <xdr:to>
      <xdr:col>4</xdr:col>
      <xdr:colOff>364069</xdr:colOff>
      <xdr:row>34</xdr:row>
      <xdr:rowOff>50371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510F0D86-1AFD-405F-9349-FB506D5B55A4}"/>
            </a:ext>
          </a:extLst>
        </xdr:cNvPr>
        <xdr:cNvCxnSpPr>
          <a:cxnSpLocks/>
          <a:stCxn id="268" idx="1"/>
          <a:endCxn id="359" idx="6"/>
        </xdr:cNvCxnSpPr>
      </xdr:nvCxnSpPr>
      <xdr:spPr bwMode="auto">
        <a:xfrm flipH="1" flipV="1">
          <a:off x="1009665" y="5201773"/>
          <a:ext cx="421204" cy="492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109331</xdr:colOff>
      <xdr:row>35</xdr:row>
      <xdr:rowOff>6709</xdr:rowOff>
    </xdr:from>
    <xdr:to>
      <xdr:col>3</xdr:col>
      <xdr:colOff>212201</xdr:colOff>
      <xdr:row>35</xdr:row>
      <xdr:rowOff>131559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064BC702-58B1-44AE-A68C-97EDF88C5A5A}"/>
            </a:ext>
          </a:extLst>
        </xdr:cNvPr>
        <xdr:cNvSpPr/>
      </xdr:nvSpPr>
      <xdr:spPr>
        <a:xfrm>
          <a:off x="795131" y="5359759"/>
          <a:ext cx="102870" cy="12485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160766</xdr:colOff>
      <xdr:row>34</xdr:row>
      <xdr:rowOff>51409</xdr:rowOff>
    </xdr:from>
    <xdr:to>
      <xdr:col>4</xdr:col>
      <xdr:colOff>32959</xdr:colOff>
      <xdr:row>35</xdr:row>
      <xdr:rowOff>6709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2E9E34F6-DCE3-4F8B-B9FE-5445EC10AA60}"/>
            </a:ext>
          </a:extLst>
        </xdr:cNvPr>
        <xdr:cNvCxnSpPr>
          <a:cxnSpLocks/>
          <a:stCxn id="303" idx="3"/>
          <a:endCxn id="307" idx="0"/>
        </xdr:cNvCxnSpPr>
      </xdr:nvCxnSpPr>
      <xdr:spPr bwMode="auto">
        <a:xfrm flipH="1">
          <a:off x="846566" y="5252059"/>
          <a:ext cx="253193" cy="107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180975</xdr:colOff>
      <xdr:row>5</xdr:row>
      <xdr:rowOff>142875</xdr:rowOff>
    </xdr:from>
    <xdr:to>
      <xdr:col>19</xdr:col>
      <xdr:colOff>259803</xdr:colOff>
      <xdr:row>22</xdr:row>
      <xdr:rowOff>69303</xdr:rowOff>
    </xdr:to>
    <xdr:cxnSp macro="">
      <xdr:nvCxnSpPr>
        <xdr:cNvPr id="309" name="Straight Connector 139">
          <a:extLst>
            <a:ext uri="{FF2B5EF4-FFF2-40B4-BE49-F238E27FC236}">
              <a16:creationId xmlns:a16="http://schemas.microsoft.com/office/drawing/2014/main" id="{97D7DEC5-B8A3-41ED-AC0C-BD0B15C9619A}"/>
            </a:ext>
          </a:extLst>
        </xdr:cNvPr>
        <xdr:cNvCxnSpPr>
          <a:cxnSpLocks/>
        </xdr:cNvCxnSpPr>
      </xdr:nvCxnSpPr>
      <xdr:spPr bwMode="auto">
        <a:xfrm flipH="1">
          <a:off x="6581775" y="923925"/>
          <a:ext cx="459828" cy="25267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321879</xdr:colOff>
      <xdr:row>19</xdr:row>
      <xdr:rowOff>26275</xdr:rowOff>
    </xdr:from>
    <xdr:to>
      <xdr:col>18</xdr:col>
      <xdr:colOff>101998</xdr:colOff>
      <xdr:row>19</xdr:row>
      <xdr:rowOff>111466</xdr:rowOff>
    </xdr:to>
    <xdr:sp macro="" textlink="">
      <xdr:nvSpPr>
        <xdr:cNvPr id="310" name="Isosceles Triangle 120">
          <a:extLst>
            <a:ext uri="{FF2B5EF4-FFF2-40B4-BE49-F238E27FC236}">
              <a16:creationId xmlns:a16="http://schemas.microsoft.com/office/drawing/2014/main" id="{B6A35E2D-EBB0-4B4D-BAE3-21424341F38A}"/>
            </a:ext>
          </a:extLst>
        </xdr:cNvPr>
        <xdr:cNvSpPr/>
      </xdr:nvSpPr>
      <xdr:spPr>
        <a:xfrm>
          <a:off x="6341679" y="295045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39414</xdr:colOff>
      <xdr:row>5</xdr:row>
      <xdr:rowOff>78828</xdr:rowOff>
    </xdr:from>
    <xdr:to>
      <xdr:col>19</xdr:col>
      <xdr:colOff>137948</xdr:colOff>
      <xdr:row>22</xdr:row>
      <xdr:rowOff>39414</xdr:rowOff>
    </xdr:to>
    <xdr:cxnSp macro="">
      <xdr:nvCxnSpPr>
        <xdr:cNvPr id="311" name="Straight Connector 139">
          <a:extLst>
            <a:ext uri="{FF2B5EF4-FFF2-40B4-BE49-F238E27FC236}">
              <a16:creationId xmlns:a16="http://schemas.microsoft.com/office/drawing/2014/main" id="{5FA0C02C-A22A-4718-8712-A394A3E3DDEC}"/>
            </a:ext>
          </a:extLst>
        </xdr:cNvPr>
        <xdr:cNvCxnSpPr>
          <a:cxnSpLocks/>
        </xdr:cNvCxnSpPr>
      </xdr:nvCxnSpPr>
      <xdr:spPr bwMode="auto">
        <a:xfrm flipH="1">
          <a:off x="6440214" y="859878"/>
          <a:ext cx="479534" cy="25609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275896</xdr:colOff>
      <xdr:row>12</xdr:row>
      <xdr:rowOff>19707</xdr:rowOff>
    </xdr:from>
    <xdr:to>
      <xdr:col>18</xdr:col>
      <xdr:colOff>358767</xdr:colOff>
      <xdr:row>12</xdr:row>
      <xdr:rowOff>103529</xdr:rowOff>
    </xdr:to>
    <xdr:grpSp>
      <xdr:nvGrpSpPr>
        <xdr:cNvPr id="312" name="Group 73">
          <a:extLst>
            <a:ext uri="{FF2B5EF4-FFF2-40B4-BE49-F238E27FC236}">
              <a16:creationId xmlns:a16="http://schemas.microsoft.com/office/drawing/2014/main" id="{95B617A3-10E8-4550-A308-265A211BD6E2}"/>
            </a:ext>
          </a:extLst>
        </xdr:cNvPr>
        <xdr:cNvGrpSpPr/>
      </xdr:nvGrpSpPr>
      <xdr:grpSpPr>
        <a:xfrm rot="3960287">
          <a:off x="6680984" y="1901370"/>
          <a:ext cx="83822" cy="82871"/>
          <a:chOff x="12175074" y="2285812"/>
          <a:chExt cx="107252" cy="65186"/>
        </a:xfrm>
      </xdr:grpSpPr>
      <xdr:cxnSp macro="">
        <xdr:nvCxnSpPr>
          <xdr:cNvPr id="313" name="Straight Connector 74">
            <a:extLst>
              <a:ext uri="{FF2B5EF4-FFF2-40B4-BE49-F238E27FC236}">
                <a16:creationId xmlns:a16="http://schemas.microsoft.com/office/drawing/2014/main" id="{0D013EB5-D5CD-6093-8021-A747625BF1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75">
            <a:extLst>
              <a:ext uri="{FF2B5EF4-FFF2-40B4-BE49-F238E27FC236}">
                <a16:creationId xmlns:a16="http://schemas.microsoft.com/office/drawing/2014/main" id="{9903C171-8105-802F-5074-220E7FDC966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76">
            <a:extLst>
              <a:ext uri="{FF2B5EF4-FFF2-40B4-BE49-F238E27FC236}">
                <a16:creationId xmlns:a16="http://schemas.microsoft.com/office/drawing/2014/main" id="{2ED72C51-A4C5-D217-4E40-6FFAE86B6B6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105103</xdr:colOff>
      <xdr:row>17</xdr:row>
      <xdr:rowOff>111673</xdr:rowOff>
    </xdr:from>
    <xdr:to>
      <xdr:col>18</xdr:col>
      <xdr:colOff>187974</xdr:colOff>
      <xdr:row>18</xdr:row>
      <xdr:rowOff>44408</xdr:rowOff>
    </xdr:to>
    <xdr:grpSp>
      <xdr:nvGrpSpPr>
        <xdr:cNvPr id="316" name="Group 73">
          <a:extLst>
            <a:ext uri="{FF2B5EF4-FFF2-40B4-BE49-F238E27FC236}">
              <a16:creationId xmlns:a16="http://schemas.microsoft.com/office/drawing/2014/main" id="{CA2CF16F-6C85-475F-9F20-8040ED798138}"/>
            </a:ext>
          </a:extLst>
        </xdr:cNvPr>
        <xdr:cNvGrpSpPr/>
      </xdr:nvGrpSpPr>
      <xdr:grpSpPr>
        <a:xfrm rot="3960287">
          <a:off x="6508344" y="2780995"/>
          <a:ext cx="87516" cy="82871"/>
          <a:chOff x="12175074" y="2285812"/>
          <a:chExt cx="107252" cy="65186"/>
        </a:xfrm>
      </xdr:grpSpPr>
      <xdr:cxnSp macro="">
        <xdr:nvCxnSpPr>
          <xdr:cNvPr id="317" name="Straight Connector 74">
            <a:extLst>
              <a:ext uri="{FF2B5EF4-FFF2-40B4-BE49-F238E27FC236}">
                <a16:creationId xmlns:a16="http://schemas.microsoft.com/office/drawing/2014/main" id="{7FAB90FD-6FB7-68DD-5FB9-394AF28C0FC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75">
            <a:extLst>
              <a:ext uri="{FF2B5EF4-FFF2-40B4-BE49-F238E27FC236}">
                <a16:creationId xmlns:a16="http://schemas.microsoft.com/office/drawing/2014/main" id="{C58C6FC9-8507-832D-6F5C-E5C066F3DB2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6">
            <a:extLst>
              <a:ext uri="{FF2B5EF4-FFF2-40B4-BE49-F238E27FC236}">
                <a16:creationId xmlns:a16="http://schemas.microsoft.com/office/drawing/2014/main" id="{F9EC1945-B343-83AA-7824-1E2F7E17540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269328</xdr:colOff>
      <xdr:row>15</xdr:row>
      <xdr:rowOff>52552</xdr:rowOff>
    </xdr:from>
    <xdr:to>
      <xdr:col>5</xdr:col>
      <xdr:colOff>49447</xdr:colOff>
      <xdr:row>15</xdr:row>
      <xdr:rowOff>137743</xdr:rowOff>
    </xdr:to>
    <xdr:sp macro="" textlink="">
      <xdr:nvSpPr>
        <xdr:cNvPr id="330" name="Isosceles Triangle 120">
          <a:extLst>
            <a:ext uri="{FF2B5EF4-FFF2-40B4-BE49-F238E27FC236}">
              <a16:creationId xmlns:a16="http://schemas.microsoft.com/office/drawing/2014/main" id="{59FDEAED-09A5-4C24-9690-2BF5A5BB40DC}"/>
            </a:ext>
          </a:extLst>
        </xdr:cNvPr>
        <xdr:cNvSpPr/>
      </xdr:nvSpPr>
      <xdr:spPr>
        <a:xfrm>
          <a:off x="133612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137948</xdr:colOff>
      <xdr:row>15</xdr:row>
      <xdr:rowOff>52552</xdr:rowOff>
    </xdr:from>
    <xdr:to>
      <xdr:col>4</xdr:col>
      <xdr:colOff>299067</xdr:colOff>
      <xdr:row>15</xdr:row>
      <xdr:rowOff>137743</xdr:rowOff>
    </xdr:to>
    <xdr:sp macro="" textlink="">
      <xdr:nvSpPr>
        <xdr:cNvPr id="331" name="Isosceles Triangle 120">
          <a:extLst>
            <a:ext uri="{FF2B5EF4-FFF2-40B4-BE49-F238E27FC236}">
              <a16:creationId xmlns:a16="http://schemas.microsoft.com/office/drawing/2014/main" id="{0659A994-4B8B-4794-A511-9F26CC7258B4}"/>
            </a:ext>
          </a:extLst>
        </xdr:cNvPr>
        <xdr:cNvSpPr/>
      </xdr:nvSpPr>
      <xdr:spPr>
        <a:xfrm>
          <a:off x="120474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283054</xdr:colOff>
      <xdr:row>16</xdr:row>
      <xdr:rowOff>19050</xdr:rowOff>
    </xdr:from>
    <xdr:to>
      <xdr:col>19</xdr:col>
      <xdr:colOff>137949</xdr:colOff>
      <xdr:row>16</xdr:row>
      <xdr:rowOff>19707</xdr:rowOff>
    </xdr:to>
    <xdr:cxnSp macro="">
      <xdr:nvCxnSpPr>
        <xdr:cNvPr id="334" name="Straight Arrow Connector 166">
          <a:extLst>
            <a:ext uri="{FF2B5EF4-FFF2-40B4-BE49-F238E27FC236}">
              <a16:creationId xmlns:a16="http://schemas.microsoft.com/office/drawing/2014/main" id="{50A53F01-C9D1-4D89-8421-C6868E921294}"/>
            </a:ext>
          </a:extLst>
        </xdr:cNvPr>
        <xdr:cNvCxnSpPr>
          <a:cxnSpLocks/>
          <a:stCxn id="216" idx="0"/>
        </xdr:cNvCxnSpPr>
      </xdr:nvCxnSpPr>
      <xdr:spPr>
        <a:xfrm>
          <a:off x="6683854" y="2486025"/>
          <a:ext cx="235895" cy="65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32845</xdr:colOff>
      <xdr:row>16</xdr:row>
      <xdr:rowOff>38100</xdr:rowOff>
    </xdr:from>
    <xdr:to>
      <xdr:col>4</xdr:col>
      <xdr:colOff>253251</xdr:colOff>
      <xdr:row>16</xdr:row>
      <xdr:rowOff>52552</xdr:rowOff>
    </xdr:to>
    <xdr:cxnSp macro="">
      <xdr:nvCxnSpPr>
        <xdr:cNvPr id="336" name="Straight Arrow Connector 166">
          <a:extLst>
            <a:ext uri="{FF2B5EF4-FFF2-40B4-BE49-F238E27FC236}">
              <a16:creationId xmlns:a16="http://schemas.microsoft.com/office/drawing/2014/main" id="{69F0760F-08CA-4BF3-A576-D7C5CB1C93AC}"/>
            </a:ext>
          </a:extLst>
        </xdr:cNvPr>
        <xdr:cNvCxnSpPr>
          <a:cxnSpLocks/>
          <a:stCxn id="248" idx="0"/>
        </xdr:cNvCxnSpPr>
      </xdr:nvCxnSpPr>
      <xdr:spPr>
        <a:xfrm flipH="1">
          <a:off x="1099645" y="2505075"/>
          <a:ext cx="220406" cy="144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80090</xdr:colOff>
      <xdr:row>32</xdr:row>
      <xdr:rowOff>69556</xdr:rowOff>
    </xdr:from>
    <xdr:to>
      <xdr:col>4</xdr:col>
      <xdr:colOff>17394</xdr:colOff>
      <xdr:row>33</xdr:row>
      <xdr:rowOff>141632</xdr:rowOff>
    </xdr:to>
    <xdr:sp macro="" textlink="">
      <xdr:nvSpPr>
        <xdr:cNvPr id="338" name="TextBox 160">
          <a:extLst>
            <a:ext uri="{FF2B5EF4-FFF2-40B4-BE49-F238E27FC236}">
              <a16:creationId xmlns:a16="http://schemas.microsoft.com/office/drawing/2014/main" id="{DEB56551-FFDF-4E02-8543-93A8BF244721}"/>
            </a:ext>
          </a:extLst>
        </xdr:cNvPr>
        <xdr:cNvSpPr txBox="1"/>
      </xdr:nvSpPr>
      <xdr:spPr>
        <a:xfrm>
          <a:off x="270590" y="4965406"/>
          <a:ext cx="813604" cy="224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9</xdr:col>
      <xdr:colOff>341586</xdr:colOff>
      <xdr:row>16</xdr:row>
      <xdr:rowOff>65690</xdr:rowOff>
    </xdr:from>
    <xdr:to>
      <xdr:col>10</xdr:col>
      <xdr:colOff>107593</xdr:colOff>
      <xdr:row>17</xdr:row>
      <xdr:rowOff>44939</xdr:rowOff>
    </xdr:to>
    <xdr:grpSp>
      <xdr:nvGrpSpPr>
        <xdr:cNvPr id="347" name="Group 13">
          <a:extLst>
            <a:ext uri="{FF2B5EF4-FFF2-40B4-BE49-F238E27FC236}">
              <a16:creationId xmlns:a16="http://schemas.microsoft.com/office/drawing/2014/main" id="{838D6638-20B3-4826-91CA-01AEE4C76C9C}"/>
            </a:ext>
          </a:extLst>
        </xdr:cNvPr>
        <xdr:cNvGrpSpPr/>
      </xdr:nvGrpSpPr>
      <xdr:grpSpPr>
        <a:xfrm>
          <a:off x="3318149" y="2577909"/>
          <a:ext cx="147007" cy="134030"/>
          <a:chOff x="9937028" y="802652"/>
          <a:chExt cx="83991" cy="77961"/>
        </a:xfrm>
      </xdr:grpSpPr>
      <xdr:sp macro="" textlink="">
        <xdr:nvSpPr>
          <xdr:cNvPr id="348" name="Oval 1">
            <a:extLst>
              <a:ext uri="{FF2B5EF4-FFF2-40B4-BE49-F238E27FC236}">
                <a16:creationId xmlns:a16="http://schemas.microsoft.com/office/drawing/2014/main" id="{589EF377-5101-6CBC-2582-0A5EDAD654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">
            <a:extLst>
              <a:ext uri="{FF2B5EF4-FFF2-40B4-BE49-F238E27FC236}">
                <a16:creationId xmlns:a16="http://schemas.microsoft.com/office/drawing/2014/main" id="{EB380988-4756-14E1-8DF2-AAAAE13909E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7">
            <a:extLst>
              <a:ext uri="{FF2B5EF4-FFF2-40B4-BE49-F238E27FC236}">
                <a16:creationId xmlns:a16="http://schemas.microsoft.com/office/drawing/2014/main" id="{B10CCB79-E07B-F8A0-183B-FEB618EA3B5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176858</xdr:colOff>
      <xdr:row>33</xdr:row>
      <xdr:rowOff>87698</xdr:rowOff>
    </xdr:from>
    <xdr:to>
      <xdr:col>3</xdr:col>
      <xdr:colOff>323865</xdr:colOff>
      <xdr:row>34</xdr:row>
      <xdr:rowOff>66947</xdr:rowOff>
    </xdr:to>
    <xdr:grpSp>
      <xdr:nvGrpSpPr>
        <xdr:cNvPr id="358" name="Group 13">
          <a:extLst>
            <a:ext uri="{FF2B5EF4-FFF2-40B4-BE49-F238E27FC236}">
              <a16:creationId xmlns:a16="http://schemas.microsoft.com/office/drawing/2014/main" id="{81F75B20-8A63-4F1D-B1D8-EEA2D8848ED9}"/>
            </a:ext>
          </a:extLst>
        </xdr:cNvPr>
        <xdr:cNvGrpSpPr/>
      </xdr:nvGrpSpPr>
      <xdr:grpSpPr>
        <a:xfrm>
          <a:off x="867421" y="5219292"/>
          <a:ext cx="147007" cy="134030"/>
          <a:chOff x="9937028" y="802652"/>
          <a:chExt cx="83991" cy="77961"/>
        </a:xfrm>
      </xdr:grpSpPr>
      <xdr:sp macro="" textlink="">
        <xdr:nvSpPr>
          <xdr:cNvPr id="359" name="Oval 1">
            <a:extLst>
              <a:ext uri="{FF2B5EF4-FFF2-40B4-BE49-F238E27FC236}">
                <a16:creationId xmlns:a16="http://schemas.microsoft.com/office/drawing/2014/main" id="{C9186448-AD2B-0C74-2961-A422E498176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">
            <a:extLst>
              <a:ext uri="{FF2B5EF4-FFF2-40B4-BE49-F238E27FC236}">
                <a16:creationId xmlns:a16="http://schemas.microsoft.com/office/drawing/2014/main" id="{28804090-23F8-1737-3789-5E7484D2AF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7">
            <a:extLst>
              <a:ext uri="{FF2B5EF4-FFF2-40B4-BE49-F238E27FC236}">
                <a16:creationId xmlns:a16="http://schemas.microsoft.com/office/drawing/2014/main" id="{A324963E-1964-26F2-8C20-421ED532929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34176</xdr:colOff>
      <xdr:row>33</xdr:row>
      <xdr:rowOff>135731</xdr:rowOff>
    </xdr:from>
    <xdr:to>
      <xdr:col>5</xdr:col>
      <xdr:colOff>240196</xdr:colOff>
      <xdr:row>34</xdr:row>
      <xdr:rowOff>10353</xdr:rowOff>
    </xdr:to>
    <xdr:cxnSp macro="">
      <xdr:nvCxnSpPr>
        <xdr:cNvPr id="366" name="Straight Arrow Connector 166">
          <a:extLst>
            <a:ext uri="{FF2B5EF4-FFF2-40B4-BE49-F238E27FC236}">
              <a16:creationId xmlns:a16="http://schemas.microsoft.com/office/drawing/2014/main" id="{0F78E75F-E4B0-4E0F-8F62-CFF91C8E66D0}"/>
            </a:ext>
          </a:extLst>
        </xdr:cNvPr>
        <xdr:cNvCxnSpPr>
          <a:cxnSpLocks/>
        </xdr:cNvCxnSpPr>
      </xdr:nvCxnSpPr>
      <xdr:spPr>
        <a:xfrm>
          <a:off x="1486739" y="5267325"/>
          <a:ext cx="206020" cy="294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97190</xdr:colOff>
      <xdr:row>33</xdr:row>
      <xdr:rowOff>83343</xdr:rowOff>
    </xdr:from>
    <xdr:to>
      <xdr:col>5</xdr:col>
      <xdr:colOff>238124</xdr:colOff>
      <xdr:row>33</xdr:row>
      <xdr:rowOff>86555</xdr:rowOff>
    </xdr:to>
    <xdr:cxnSp macro="">
      <xdr:nvCxnSpPr>
        <xdr:cNvPr id="367" name="Straight Arrow Connector 166">
          <a:extLst>
            <a:ext uri="{FF2B5EF4-FFF2-40B4-BE49-F238E27FC236}">
              <a16:creationId xmlns:a16="http://schemas.microsoft.com/office/drawing/2014/main" id="{A2B07C7C-414A-465C-BC16-8FE3FC441964}"/>
            </a:ext>
          </a:extLst>
        </xdr:cNvPr>
        <xdr:cNvCxnSpPr>
          <a:cxnSpLocks/>
        </xdr:cNvCxnSpPr>
      </xdr:nvCxnSpPr>
      <xdr:spPr>
        <a:xfrm flipV="1">
          <a:off x="1549753" y="5214937"/>
          <a:ext cx="140934" cy="321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16566</xdr:colOff>
      <xdr:row>39</xdr:row>
      <xdr:rowOff>17394</xdr:rowOff>
    </xdr:from>
    <xdr:to>
      <xdr:col>5</xdr:col>
      <xdr:colOff>161118</xdr:colOff>
      <xdr:row>40</xdr:row>
      <xdr:rowOff>13827</xdr:rowOff>
    </xdr:to>
    <xdr:grpSp>
      <xdr:nvGrpSpPr>
        <xdr:cNvPr id="368" name="Group 13">
          <a:extLst>
            <a:ext uri="{FF2B5EF4-FFF2-40B4-BE49-F238E27FC236}">
              <a16:creationId xmlns:a16="http://schemas.microsoft.com/office/drawing/2014/main" id="{CAC9DBF1-EA3A-4850-8111-0AF5049B8464}"/>
            </a:ext>
          </a:extLst>
        </xdr:cNvPr>
        <xdr:cNvGrpSpPr/>
      </xdr:nvGrpSpPr>
      <xdr:grpSpPr>
        <a:xfrm>
          <a:off x="1469129" y="6101488"/>
          <a:ext cx="144552" cy="151214"/>
          <a:chOff x="9937028" y="802652"/>
          <a:chExt cx="83991" cy="77961"/>
        </a:xfrm>
      </xdr:grpSpPr>
      <xdr:sp macro="" textlink="">
        <xdr:nvSpPr>
          <xdr:cNvPr id="369" name="Oval 1">
            <a:extLst>
              <a:ext uri="{FF2B5EF4-FFF2-40B4-BE49-F238E27FC236}">
                <a16:creationId xmlns:a16="http://schemas.microsoft.com/office/drawing/2014/main" id="{058D48E2-2D6C-DB6B-B510-DC5ACBBC6F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0" name="Straight Connector 3">
            <a:extLst>
              <a:ext uri="{FF2B5EF4-FFF2-40B4-BE49-F238E27FC236}">
                <a16:creationId xmlns:a16="http://schemas.microsoft.com/office/drawing/2014/main" id="{B346AEB3-EF85-08BC-9634-21D72A19D59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7">
            <a:extLst>
              <a:ext uri="{FF2B5EF4-FFF2-40B4-BE49-F238E27FC236}">
                <a16:creationId xmlns:a16="http://schemas.microsoft.com/office/drawing/2014/main" id="{59726EEA-A857-64B2-A19A-4E33727CFC5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44</xdr:row>
      <xdr:rowOff>57150</xdr:rowOff>
    </xdr:from>
    <xdr:to>
      <xdr:col>5</xdr:col>
      <xdr:colOff>220752</xdr:colOff>
      <xdr:row>45</xdr:row>
      <xdr:rowOff>53583</xdr:rowOff>
    </xdr:to>
    <xdr:grpSp>
      <xdr:nvGrpSpPr>
        <xdr:cNvPr id="378" name="Group 13">
          <a:extLst>
            <a:ext uri="{FF2B5EF4-FFF2-40B4-BE49-F238E27FC236}">
              <a16:creationId xmlns:a16="http://schemas.microsoft.com/office/drawing/2014/main" id="{6FE86DCF-3B0B-435F-AF8E-8397D76078AF}"/>
            </a:ext>
          </a:extLst>
        </xdr:cNvPr>
        <xdr:cNvGrpSpPr/>
      </xdr:nvGrpSpPr>
      <xdr:grpSpPr>
        <a:xfrm>
          <a:off x="1528763" y="6915150"/>
          <a:ext cx="144552" cy="151214"/>
          <a:chOff x="9937028" y="802652"/>
          <a:chExt cx="83991" cy="77961"/>
        </a:xfrm>
      </xdr:grpSpPr>
      <xdr:sp macro="" textlink="">
        <xdr:nvSpPr>
          <xdr:cNvPr id="379" name="Oval 1">
            <a:extLst>
              <a:ext uri="{FF2B5EF4-FFF2-40B4-BE49-F238E27FC236}">
                <a16:creationId xmlns:a16="http://schemas.microsoft.com/office/drawing/2014/main" id="{622415CD-23D4-F501-1590-073C1BB56F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0" name="Straight Connector 3">
            <a:extLst>
              <a:ext uri="{FF2B5EF4-FFF2-40B4-BE49-F238E27FC236}">
                <a16:creationId xmlns:a16="http://schemas.microsoft.com/office/drawing/2014/main" id="{49AE9EEE-5610-91F7-9ECF-250522F0553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7">
            <a:extLst>
              <a:ext uri="{FF2B5EF4-FFF2-40B4-BE49-F238E27FC236}">
                <a16:creationId xmlns:a16="http://schemas.microsoft.com/office/drawing/2014/main" id="{D565D8A9-A0EE-61EC-E14C-1FCB2DEFDA4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142875</xdr:colOff>
      <xdr:row>50</xdr:row>
      <xdr:rowOff>9525</xdr:rowOff>
    </xdr:from>
    <xdr:to>
      <xdr:col>5</xdr:col>
      <xdr:colOff>287427</xdr:colOff>
      <xdr:row>51</xdr:row>
      <xdr:rowOff>5958</xdr:rowOff>
    </xdr:to>
    <xdr:grpSp>
      <xdr:nvGrpSpPr>
        <xdr:cNvPr id="382" name="Group 13">
          <a:extLst>
            <a:ext uri="{FF2B5EF4-FFF2-40B4-BE49-F238E27FC236}">
              <a16:creationId xmlns:a16="http://schemas.microsoft.com/office/drawing/2014/main" id="{7F03D919-8338-4B75-A88A-C95F13BC144A}"/>
            </a:ext>
          </a:extLst>
        </xdr:cNvPr>
        <xdr:cNvGrpSpPr/>
      </xdr:nvGrpSpPr>
      <xdr:grpSpPr>
        <a:xfrm>
          <a:off x="1595438" y="7796213"/>
          <a:ext cx="144552" cy="151214"/>
          <a:chOff x="9937028" y="802652"/>
          <a:chExt cx="83991" cy="77961"/>
        </a:xfrm>
      </xdr:grpSpPr>
      <xdr:sp macro="" textlink="">
        <xdr:nvSpPr>
          <xdr:cNvPr id="383" name="Oval 1">
            <a:extLst>
              <a:ext uri="{FF2B5EF4-FFF2-40B4-BE49-F238E27FC236}">
                <a16:creationId xmlns:a16="http://schemas.microsoft.com/office/drawing/2014/main" id="{F1CFB44B-BF20-3254-4045-0D2FA70E8F3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4" name="Straight Connector 3">
            <a:extLst>
              <a:ext uri="{FF2B5EF4-FFF2-40B4-BE49-F238E27FC236}">
                <a16:creationId xmlns:a16="http://schemas.microsoft.com/office/drawing/2014/main" id="{983A9BC7-14F5-70B0-9586-12A41E4AA2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7">
            <a:extLst>
              <a:ext uri="{FF2B5EF4-FFF2-40B4-BE49-F238E27FC236}">
                <a16:creationId xmlns:a16="http://schemas.microsoft.com/office/drawing/2014/main" id="{435EAE91-0B9E-C120-5D97-6E14EF26BF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87378</xdr:colOff>
      <xdr:row>33</xdr:row>
      <xdr:rowOff>131419</xdr:rowOff>
    </xdr:from>
    <xdr:to>
      <xdr:col>5</xdr:col>
      <xdr:colOff>314325</xdr:colOff>
      <xdr:row>52</xdr:row>
      <xdr:rowOff>133350</xdr:rowOff>
    </xdr:to>
    <xdr:cxnSp macro="">
      <xdr:nvCxnSpPr>
        <xdr:cNvPr id="387" name="Straight Connector 140">
          <a:extLst>
            <a:ext uri="{FF2B5EF4-FFF2-40B4-BE49-F238E27FC236}">
              <a16:creationId xmlns:a16="http://schemas.microsoft.com/office/drawing/2014/main" id="{13ACE403-E575-4CD4-A9E4-2DFC4A5CB5AD}"/>
            </a:ext>
          </a:extLst>
        </xdr:cNvPr>
        <xdr:cNvCxnSpPr>
          <a:cxnSpLocks/>
          <a:endCxn id="414" idx="5"/>
        </xdr:cNvCxnSpPr>
      </xdr:nvCxnSpPr>
      <xdr:spPr bwMode="auto">
        <a:xfrm flipH="1" flipV="1">
          <a:off x="1539941" y="5263013"/>
          <a:ext cx="226947" cy="2966587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295750</xdr:colOff>
      <xdr:row>32</xdr:row>
      <xdr:rowOff>85250</xdr:rowOff>
    </xdr:from>
    <xdr:to>
      <xdr:col>4</xdr:col>
      <xdr:colOff>378621</xdr:colOff>
      <xdr:row>33</xdr:row>
      <xdr:rowOff>16672</xdr:rowOff>
    </xdr:to>
    <xdr:grpSp>
      <xdr:nvGrpSpPr>
        <xdr:cNvPr id="389" name="Group 73">
          <a:extLst>
            <a:ext uri="{FF2B5EF4-FFF2-40B4-BE49-F238E27FC236}">
              <a16:creationId xmlns:a16="http://schemas.microsoft.com/office/drawing/2014/main" id="{0879B283-6CC0-4F1D-9B8B-8C2E2F57BAED}"/>
            </a:ext>
          </a:extLst>
        </xdr:cNvPr>
        <xdr:cNvGrpSpPr/>
      </xdr:nvGrpSpPr>
      <xdr:grpSpPr>
        <a:xfrm rot="4850850">
          <a:off x="1365647" y="5063729"/>
          <a:ext cx="86203" cy="82871"/>
          <a:chOff x="12175074" y="2285812"/>
          <a:chExt cx="107252" cy="65186"/>
        </a:xfrm>
      </xdr:grpSpPr>
      <xdr:cxnSp macro="">
        <xdr:nvCxnSpPr>
          <xdr:cNvPr id="390" name="Straight Connector 74">
            <a:extLst>
              <a:ext uri="{FF2B5EF4-FFF2-40B4-BE49-F238E27FC236}">
                <a16:creationId xmlns:a16="http://schemas.microsoft.com/office/drawing/2014/main" id="{53DD28AC-A5E4-F76F-B922-3E409A4CA1B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75">
            <a:extLst>
              <a:ext uri="{FF2B5EF4-FFF2-40B4-BE49-F238E27FC236}">
                <a16:creationId xmlns:a16="http://schemas.microsoft.com/office/drawing/2014/main" id="{A3E94615-F397-BFDA-BCE2-7E382919E74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76">
            <a:extLst>
              <a:ext uri="{FF2B5EF4-FFF2-40B4-BE49-F238E27FC236}">
                <a16:creationId xmlns:a16="http://schemas.microsoft.com/office/drawing/2014/main" id="{DB4D702D-1845-33A2-7CAE-6D7886002FC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362425</xdr:colOff>
      <xdr:row>37</xdr:row>
      <xdr:rowOff>28100</xdr:rowOff>
    </xdr:from>
    <xdr:to>
      <xdr:col>5</xdr:col>
      <xdr:colOff>64296</xdr:colOff>
      <xdr:row>37</xdr:row>
      <xdr:rowOff>111922</xdr:rowOff>
    </xdr:to>
    <xdr:grpSp>
      <xdr:nvGrpSpPr>
        <xdr:cNvPr id="393" name="Group 73">
          <a:extLst>
            <a:ext uri="{FF2B5EF4-FFF2-40B4-BE49-F238E27FC236}">
              <a16:creationId xmlns:a16="http://schemas.microsoft.com/office/drawing/2014/main" id="{0A7FF149-FDED-4C61-9612-9905B98FA3F3}"/>
            </a:ext>
          </a:extLst>
        </xdr:cNvPr>
        <xdr:cNvGrpSpPr/>
      </xdr:nvGrpSpPr>
      <xdr:grpSpPr>
        <a:xfrm rot="4453068">
          <a:off x="1433513" y="5791200"/>
          <a:ext cx="83822" cy="82871"/>
          <a:chOff x="12175074" y="2285812"/>
          <a:chExt cx="107252" cy="65186"/>
        </a:xfrm>
      </xdr:grpSpPr>
      <xdr:cxnSp macro="">
        <xdr:nvCxnSpPr>
          <xdr:cNvPr id="394" name="Straight Connector 74">
            <a:extLst>
              <a:ext uri="{FF2B5EF4-FFF2-40B4-BE49-F238E27FC236}">
                <a16:creationId xmlns:a16="http://schemas.microsoft.com/office/drawing/2014/main" id="{B886EE32-CA2A-E25A-E09A-C705C571291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Connector 75">
            <a:extLst>
              <a:ext uri="{FF2B5EF4-FFF2-40B4-BE49-F238E27FC236}">
                <a16:creationId xmlns:a16="http://schemas.microsoft.com/office/drawing/2014/main" id="{845BBAE3-A47E-1F64-6349-2EAFCDC727F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76">
            <a:extLst>
              <a:ext uri="{FF2B5EF4-FFF2-40B4-BE49-F238E27FC236}">
                <a16:creationId xmlns:a16="http://schemas.microsoft.com/office/drawing/2014/main" id="{0E368DA6-ECCD-18A5-33CD-4E1B6DC08D4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19526</xdr:colOff>
      <xdr:row>42</xdr:row>
      <xdr:rowOff>37625</xdr:rowOff>
    </xdr:from>
    <xdr:to>
      <xdr:col>5</xdr:col>
      <xdr:colOff>102397</xdr:colOff>
      <xdr:row>42</xdr:row>
      <xdr:rowOff>121447</xdr:rowOff>
    </xdr:to>
    <xdr:grpSp>
      <xdr:nvGrpSpPr>
        <xdr:cNvPr id="397" name="Group 73">
          <a:extLst>
            <a:ext uri="{FF2B5EF4-FFF2-40B4-BE49-F238E27FC236}">
              <a16:creationId xmlns:a16="http://schemas.microsoft.com/office/drawing/2014/main" id="{AD96E230-9849-4829-9EAC-695AB3737A70}"/>
            </a:ext>
          </a:extLst>
        </xdr:cNvPr>
        <xdr:cNvGrpSpPr/>
      </xdr:nvGrpSpPr>
      <xdr:grpSpPr>
        <a:xfrm rot="4884336">
          <a:off x="1471614" y="6586538"/>
          <a:ext cx="83822" cy="82871"/>
          <a:chOff x="12175074" y="2285812"/>
          <a:chExt cx="107252" cy="65186"/>
        </a:xfrm>
      </xdr:grpSpPr>
      <xdr:cxnSp macro="">
        <xdr:nvCxnSpPr>
          <xdr:cNvPr id="398" name="Straight Connector 74">
            <a:extLst>
              <a:ext uri="{FF2B5EF4-FFF2-40B4-BE49-F238E27FC236}">
                <a16:creationId xmlns:a16="http://schemas.microsoft.com/office/drawing/2014/main" id="{D91C82B1-99D0-7266-2768-800CB10CAF5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75">
            <a:extLst>
              <a:ext uri="{FF2B5EF4-FFF2-40B4-BE49-F238E27FC236}">
                <a16:creationId xmlns:a16="http://schemas.microsoft.com/office/drawing/2014/main" id="{1A1BBAAF-3E71-CCBC-3BEB-DCA7298B528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76">
            <a:extLst>
              <a:ext uri="{FF2B5EF4-FFF2-40B4-BE49-F238E27FC236}">
                <a16:creationId xmlns:a16="http://schemas.microsoft.com/office/drawing/2014/main" id="{1A9908F6-6AEC-FE1A-224A-02B704706E7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67150</xdr:colOff>
      <xdr:row>47</xdr:row>
      <xdr:rowOff>75724</xdr:rowOff>
    </xdr:from>
    <xdr:to>
      <xdr:col>5</xdr:col>
      <xdr:colOff>150021</xdr:colOff>
      <xdr:row>48</xdr:row>
      <xdr:rowOff>7146</xdr:rowOff>
    </xdr:to>
    <xdr:grpSp>
      <xdr:nvGrpSpPr>
        <xdr:cNvPr id="401" name="Group 73">
          <a:extLst>
            <a:ext uri="{FF2B5EF4-FFF2-40B4-BE49-F238E27FC236}">
              <a16:creationId xmlns:a16="http://schemas.microsoft.com/office/drawing/2014/main" id="{37EE34CB-FE85-440C-83B8-B619D8D1B739}"/>
            </a:ext>
          </a:extLst>
        </xdr:cNvPr>
        <xdr:cNvGrpSpPr/>
      </xdr:nvGrpSpPr>
      <xdr:grpSpPr>
        <a:xfrm rot="4458924">
          <a:off x="1518047" y="7399734"/>
          <a:ext cx="86203" cy="82871"/>
          <a:chOff x="12175074" y="2285812"/>
          <a:chExt cx="107252" cy="65186"/>
        </a:xfrm>
      </xdr:grpSpPr>
      <xdr:cxnSp macro="">
        <xdr:nvCxnSpPr>
          <xdr:cNvPr id="402" name="Straight Connector 74">
            <a:extLst>
              <a:ext uri="{FF2B5EF4-FFF2-40B4-BE49-F238E27FC236}">
                <a16:creationId xmlns:a16="http://schemas.microsoft.com/office/drawing/2014/main" id="{783F57F5-D5D1-800B-4A29-D5F62CF1EAA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75">
            <a:extLst>
              <a:ext uri="{FF2B5EF4-FFF2-40B4-BE49-F238E27FC236}">
                <a16:creationId xmlns:a16="http://schemas.microsoft.com/office/drawing/2014/main" id="{63DF796E-6591-00DC-BD7E-F02DB8CEEF7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Connector 76">
            <a:extLst>
              <a:ext uri="{FF2B5EF4-FFF2-40B4-BE49-F238E27FC236}">
                <a16:creationId xmlns:a16="http://schemas.microsoft.com/office/drawing/2014/main" id="{BD40BBA9-BD39-382F-8E80-847D41AA8B0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23</xdr:row>
      <xdr:rowOff>114300</xdr:rowOff>
    </xdr:from>
    <xdr:to>
      <xdr:col>4</xdr:col>
      <xdr:colOff>292421</xdr:colOff>
      <xdr:row>24</xdr:row>
      <xdr:rowOff>45722</xdr:rowOff>
    </xdr:to>
    <xdr:grpSp>
      <xdr:nvGrpSpPr>
        <xdr:cNvPr id="405" name="Group 73">
          <a:extLst>
            <a:ext uri="{FF2B5EF4-FFF2-40B4-BE49-F238E27FC236}">
              <a16:creationId xmlns:a16="http://schemas.microsoft.com/office/drawing/2014/main" id="{7E9D0B55-3458-4732-BDB2-E1DC86D6284C}"/>
            </a:ext>
          </a:extLst>
        </xdr:cNvPr>
        <xdr:cNvGrpSpPr/>
      </xdr:nvGrpSpPr>
      <xdr:grpSpPr>
        <a:xfrm rot="3960287">
          <a:off x="1279447" y="3711654"/>
          <a:ext cx="86203" cy="82871"/>
          <a:chOff x="12175074" y="2285812"/>
          <a:chExt cx="107252" cy="65186"/>
        </a:xfrm>
      </xdr:grpSpPr>
      <xdr:cxnSp macro="">
        <xdr:nvCxnSpPr>
          <xdr:cNvPr id="406" name="Straight Connector 74">
            <a:extLst>
              <a:ext uri="{FF2B5EF4-FFF2-40B4-BE49-F238E27FC236}">
                <a16:creationId xmlns:a16="http://schemas.microsoft.com/office/drawing/2014/main" id="{62D1417E-1C56-3DBD-06F7-1E7B3501D33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75">
            <a:extLst>
              <a:ext uri="{FF2B5EF4-FFF2-40B4-BE49-F238E27FC236}">
                <a16:creationId xmlns:a16="http://schemas.microsoft.com/office/drawing/2014/main" id="{58C062C3-3BFD-9D6B-48C5-956BFAD6F2E9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Straight Connector 76">
            <a:extLst>
              <a:ext uri="{FF2B5EF4-FFF2-40B4-BE49-F238E27FC236}">
                <a16:creationId xmlns:a16="http://schemas.microsoft.com/office/drawing/2014/main" id="{1F2F42E9-D0D6-217B-73ED-6461BA8CA1A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180973</xdr:colOff>
      <xdr:row>20</xdr:row>
      <xdr:rowOff>114301</xdr:rowOff>
    </xdr:from>
    <xdr:to>
      <xdr:col>4</xdr:col>
      <xdr:colOff>263844</xdr:colOff>
      <xdr:row>21</xdr:row>
      <xdr:rowOff>45723</xdr:rowOff>
    </xdr:to>
    <xdr:grpSp>
      <xdr:nvGrpSpPr>
        <xdr:cNvPr id="409" name="Group 73">
          <a:extLst>
            <a:ext uri="{FF2B5EF4-FFF2-40B4-BE49-F238E27FC236}">
              <a16:creationId xmlns:a16="http://schemas.microsoft.com/office/drawing/2014/main" id="{F00A8084-4EAC-4EAC-9938-59E31A71C2D2}"/>
            </a:ext>
          </a:extLst>
        </xdr:cNvPr>
        <xdr:cNvGrpSpPr/>
      </xdr:nvGrpSpPr>
      <xdr:grpSpPr>
        <a:xfrm rot="3960287">
          <a:off x="1250870" y="3247311"/>
          <a:ext cx="86203" cy="82871"/>
          <a:chOff x="12175074" y="2285812"/>
          <a:chExt cx="107252" cy="65186"/>
        </a:xfrm>
      </xdr:grpSpPr>
      <xdr:cxnSp macro="">
        <xdr:nvCxnSpPr>
          <xdr:cNvPr id="410" name="Straight Connector 74">
            <a:extLst>
              <a:ext uri="{FF2B5EF4-FFF2-40B4-BE49-F238E27FC236}">
                <a16:creationId xmlns:a16="http://schemas.microsoft.com/office/drawing/2014/main" id="{61CFE511-22DF-A975-AAE1-2DC3E804457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75">
            <a:extLst>
              <a:ext uri="{FF2B5EF4-FFF2-40B4-BE49-F238E27FC236}">
                <a16:creationId xmlns:a16="http://schemas.microsoft.com/office/drawing/2014/main" id="{237A1313-D6FE-4A4F-C6C7-0C386F49ABA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Connector 76">
            <a:extLst>
              <a:ext uri="{FF2B5EF4-FFF2-40B4-BE49-F238E27FC236}">
                <a16:creationId xmlns:a16="http://schemas.microsoft.com/office/drawing/2014/main" id="{73CC8D72-BC87-2B7D-9D00-EEC2938466D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33</xdr:row>
      <xdr:rowOff>19050</xdr:rowOff>
    </xdr:from>
    <xdr:to>
      <xdr:col>5</xdr:col>
      <xdr:colOff>108907</xdr:colOff>
      <xdr:row>33</xdr:row>
      <xdr:rowOff>150699</xdr:rowOff>
    </xdr:to>
    <xdr:grpSp>
      <xdr:nvGrpSpPr>
        <xdr:cNvPr id="413" name="Group 13">
          <a:extLst>
            <a:ext uri="{FF2B5EF4-FFF2-40B4-BE49-F238E27FC236}">
              <a16:creationId xmlns:a16="http://schemas.microsoft.com/office/drawing/2014/main" id="{BF9CA011-5156-490E-B311-55BD2CAD4D88}"/>
            </a:ext>
          </a:extLst>
        </xdr:cNvPr>
        <xdr:cNvGrpSpPr/>
      </xdr:nvGrpSpPr>
      <xdr:grpSpPr>
        <a:xfrm>
          <a:off x="1414463" y="5150644"/>
          <a:ext cx="147007" cy="131649"/>
          <a:chOff x="9937028" y="802652"/>
          <a:chExt cx="83991" cy="77961"/>
        </a:xfrm>
      </xdr:grpSpPr>
      <xdr:sp macro="" textlink="">
        <xdr:nvSpPr>
          <xdr:cNvPr id="414" name="Oval 1">
            <a:extLst>
              <a:ext uri="{FF2B5EF4-FFF2-40B4-BE49-F238E27FC236}">
                <a16:creationId xmlns:a16="http://schemas.microsoft.com/office/drawing/2014/main" id="{360C1EEE-FDCD-F7DB-C8A3-3B03B31945D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5" name="Straight Connector 3">
            <a:extLst>
              <a:ext uri="{FF2B5EF4-FFF2-40B4-BE49-F238E27FC236}">
                <a16:creationId xmlns:a16="http://schemas.microsoft.com/office/drawing/2014/main" id="{D9375C84-2B82-F7D2-D242-3916566FA5D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6" name="Straight Connector 7">
            <a:extLst>
              <a:ext uri="{FF2B5EF4-FFF2-40B4-BE49-F238E27FC236}">
                <a16:creationId xmlns:a16="http://schemas.microsoft.com/office/drawing/2014/main" id="{731D7033-15F3-EAF0-64BD-F024D177B3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219075</xdr:colOff>
      <xdr:row>29</xdr:row>
      <xdr:rowOff>109536</xdr:rowOff>
    </xdr:from>
    <xdr:to>
      <xdr:col>9</xdr:col>
      <xdr:colOff>19050</xdr:colOff>
      <xdr:row>39</xdr:row>
      <xdr:rowOff>142875</xdr:rowOff>
    </xdr:to>
    <xdr:sp macro="" textlink="">
      <xdr:nvSpPr>
        <xdr:cNvPr id="417" name="TextBox 157">
          <a:extLst>
            <a:ext uri="{FF2B5EF4-FFF2-40B4-BE49-F238E27FC236}">
              <a16:creationId xmlns:a16="http://schemas.microsoft.com/office/drawing/2014/main" id="{64933897-D8AF-423A-A390-10FFB8C2D0AD}"/>
            </a:ext>
          </a:extLst>
        </xdr:cNvPr>
        <xdr:cNvSpPr txBox="1"/>
      </xdr:nvSpPr>
      <xdr:spPr>
        <a:xfrm>
          <a:off x="2052638" y="4633911"/>
          <a:ext cx="942975" cy="159305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276225</xdr:colOff>
      <xdr:row>26</xdr:row>
      <xdr:rowOff>57150</xdr:rowOff>
    </xdr:from>
    <xdr:to>
      <xdr:col>5</xdr:col>
      <xdr:colOff>42232</xdr:colOff>
      <xdr:row>27</xdr:row>
      <xdr:rowOff>36399</xdr:rowOff>
    </xdr:to>
    <xdr:grpSp>
      <xdr:nvGrpSpPr>
        <xdr:cNvPr id="418" name="Group 13">
          <a:extLst>
            <a:ext uri="{FF2B5EF4-FFF2-40B4-BE49-F238E27FC236}">
              <a16:creationId xmlns:a16="http://schemas.microsoft.com/office/drawing/2014/main" id="{C5DEBC02-C52D-49A1-AB47-3BFA962B1784}"/>
            </a:ext>
          </a:extLst>
        </xdr:cNvPr>
        <xdr:cNvGrpSpPr/>
      </xdr:nvGrpSpPr>
      <xdr:grpSpPr>
        <a:xfrm>
          <a:off x="1347788" y="4117181"/>
          <a:ext cx="147007" cy="134031"/>
          <a:chOff x="9937028" y="802652"/>
          <a:chExt cx="83991" cy="77961"/>
        </a:xfrm>
      </xdr:grpSpPr>
      <xdr:sp macro="" textlink="">
        <xdr:nvSpPr>
          <xdr:cNvPr id="419" name="Oval 1">
            <a:extLst>
              <a:ext uri="{FF2B5EF4-FFF2-40B4-BE49-F238E27FC236}">
                <a16:creationId xmlns:a16="http://schemas.microsoft.com/office/drawing/2014/main" id="{8CCA5235-8D71-519A-1B17-B8198BAF04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0" name="Straight Connector 3">
            <a:extLst>
              <a:ext uri="{FF2B5EF4-FFF2-40B4-BE49-F238E27FC236}">
                <a16:creationId xmlns:a16="http://schemas.microsoft.com/office/drawing/2014/main" id="{3DDFEBEE-7850-C391-4BDA-BFF354610DD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1" name="Straight Connector 7">
            <a:extLst>
              <a:ext uri="{FF2B5EF4-FFF2-40B4-BE49-F238E27FC236}">
                <a16:creationId xmlns:a16="http://schemas.microsoft.com/office/drawing/2014/main" id="{6B2DE789-590D-64B0-A66B-AC573BC6ABB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238125</xdr:colOff>
      <xdr:row>22</xdr:row>
      <xdr:rowOff>85725</xdr:rowOff>
    </xdr:from>
    <xdr:to>
      <xdr:col>5</xdr:col>
      <xdr:colOff>4132</xdr:colOff>
      <xdr:row>23</xdr:row>
      <xdr:rowOff>64974</xdr:rowOff>
    </xdr:to>
    <xdr:grpSp>
      <xdr:nvGrpSpPr>
        <xdr:cNvPr id="423" name="Group 13">
          <a:extLst>
            <a:ext uri="{FF2B5EF4-FFF2-40B4-BE49-F238E27FC236}">
              <a16:creationId xmlns:a16="http://schemas.microsoft.com/office/drawing/2014/main" id="{246E6277-0ADA-4A16-AB21-944E50A88402}"/>
            </a:ext>
          </a:extLst>
        </xdr:cNvPr>
        <xdr:cNvGrpSpPr/>
      </xdr:nvGrpSpPr>
      <xdr:grpSpPr>
        <a:xfrm>
          <a:off x="1309688" y="3526631"/>
          <a:ext cx="147007" cy="134031"/>
          <a:chOff x="9937028" y="802652"/>
          <a:chExt cx="83991" cy="77961"/>
        </a:xfrm>
      </xdr:grpSpPr>
      <xdr:sp macro="" textlink="">
        <xdr:nvSpPr>
          <xdr:cNvPr id="424" name="Oval 1">
            <a:extLst>
              <a:ext uri="{FF2B5EF4-FFF2-40B4-BE49-F238E27FC236}">
                <a16:creationId xmlns:a16="http://schemas.microsoft.com/office/drawing/2014/main" id="{713E00F9-1A01-4EE2-A3DC-D49FF538E5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5" name="Straight Connector 3">
            <a:extLst>
              <a:ext uri="{FF2B5EF4-FFF2-40B4-BE49-F238E27FC236}">
                <a16:creationId xmlns:a16="http://schemas.microsoft.com/office/drawing/2014/main" id="{27D9AC76-8F11-9DB1-1E67-2C3FF880D6B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Straight Connector 7">
            <a:extLst>
              <a:ext uri="{FF2B5EF4-FFF2-40B4-BE49-F238E27FC236}">
                <a16:creationId xmlns:a16="http://schemas.microsoft.com/office/drawing/2014/main" id="{5251B08F-2418-C686-DDF0-3F3C6AB832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19</xdr:row>
      <xdr:rowOff>76200</xdr:rowOff>
    </xdr:from>
    <xdr:to>
      <xdr:col>4</xdr:col>
      <xdr:colOff>356557</xdr:colOff>
      <xdr:row>20</xdr:row>
      <xdr:rowOff>55449</xdr:rowOff>
    </xdr:to>
    <xdr:grpSp>
      <xdr:nvGrpSpPr>
        <xdr:cNvPr id="430" name="Group 13">
          <a:extLst>
            <a:ext uri="{FF2B5EF4-FFF2-40B4-BE49-F238E27FC236}">
              <a16:creationId xmlns:a16="http://schemas.microsoft.com/office/drawing/2014/main" id="{B9538B66-030D-450C-8FA8-983D8AE69B53}"/>
            </a:ext>
          </a:extLst>
        </xdr:cNvPr>
        <xdr:cNvGrpSpPr/>
      </xdr:nvGrpSpPr>
      <xdr:grpSpPr>
        <a:xfrm>
          <a:off x="1281113" y="3052763"/>
          <a:ext cx="147007" cy="134030"/>
          <a:chOff x="9937028" y="802652"/>
          <a:chExt cx="83991" cy="77961"/>
        </a:xfrm>
      </xdr:grpSpPr>
      <xdr:sp macro="" textlink="">
        <xdr:nvSpPr>
          <xdr:cNvPr id="431" name="Oval 1">
            <a:extLst>
              <a:ext uri="{FF2B5EF4-FFF2-40B4-BE49-F238E27FC236}">
                <a16:creationId xmlns:a16="http://schemas.microsoft.com/office/drawing/2014/main" id="{45BC644C-3594-D8DB-F410-B1D1CFC5BE8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32" name="Straight Connector 3">
            <a:extLst>
              <a:ext uri="{FF2B5EF4-FFF2-40B4-BE49-F238E27FC236}">
                <a16:creationId xmlns:a16="http://schemas.microsoft.com/office/drawing/2014/main" id="{AE7063EB-45C5-0DCE-CE91-8A617F1E6BA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3" name="Straight Connector 7">
            <a:extLst>
              <a:ext uri="{FF2B5EF4-FFF2-40B4-BE49-F238E27FC236}">
                <a16:creationId xmlns:a16="http://schemas.microsoft.com/office/drawing/2014/main" id="{7F01BF63-B0D6-BBD1-263C-0D6890A84DF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</xdr:colOff>
      <xdr:row>32</xdr:row>
      <xdr:rowOff>28575</xdr:rowOff>
    </xdr:from>
    <xdr:to>
      <xdr:col>5</xdr:col>
      <xdr:colOff>297678</xdr:colOff>
      <xdr:row>32</xdr:row>
      <xdr:rowOff>131085</xdr:rowOff>
    </xdr:to>
    <xdr:grpSp>
      <xdr:nvGrpSpPr>
        <xdr:cNvPr id="434" name="Group 134">
          <a:extLst>
            <a:ext uri="{FF2B5EF4-FFF2-40B4-BE49-F238E27FC236}">
              <a16:creationId xmlns:a16="http://schemas.microsoft.com/office/drawing/2014/main" id="{6290BED1-5E6D-4D4D-BDEF-82B107042E0F}"/>
            </a:ext>
          </a:extLst>
        </xdr:cNvPr>
        <xdr:cNvGrpSpPr/>
      </xdr:nvGrpSpPr>
      <xdr:grpSpPr>
        <a:xfrm>
          <a:off x="1519238" y="5005388"/>
          <a:ext cx="231003" cy="102510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435" name="Isosceles Triangle 118">
            <a:extLst>
              <a:ext uri="{FF2B5EF4-FFF2-40B4-BE49-F238E27FC236}">
                <a16:creationId xmlns:a16="http://schemas.microsoft.com/office/drawing/2014/main" id="{4F51B878-74B9-2BD6-C969-9FED4162EB9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36" name="Isosceles Triangle 119">
            <a:extLst>
              <a:ext uri="{FF2B5EF4-FFF2-40B4-BE49-F238E27FC236}">
                <a16:creationId xmlns:a16="http://schemas.microsoft.com/office/drawing/2014/main" id="{87AB57E6-0B21-6A81-21F7-0369E9A962DB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37" name="Isosceles Triangle 120">
            <a:extLst>
              <a:ext uri="{FF2B5EF4-FFF2-40B4-BE49-F238E27FC236}">
                <a16:creationId xmlns:a16="http://schemas.microsoft.com/office/drawing/2014/main" id="{E757C06C-CD69-E9D1-1832-1124104BE41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371475</xdr:colOff>
      <xdr:row>31</xdr:row>
      <xdr:rowOff>0</xdr:rowOff>
    </xdr:from>
    <xdr:to>
      <xdr:col>6</xdr:col>
      <xdr:colOff>76200</xdr:colOff>
      <xdr:row>32</xdr:row>
      <xdr:rowOff>19050</xdr:rowOff>
    </xdr:to>
    <xdr:sp macro="" textlink="">
      <xdr:nvSpPr>
        <xdr:cNvPr id="438" name="TextBox 160">
          <a:extLst>
            <a:ext uri="{FF2B5EF4-FFF2-40B4-BE49-F238E27FC236}">
              <a16:creationId xmlns:a16="http://schemas.microsoft.com/office/drawing/2014/main" id="{E858B94A-D766-4140-8C9F-E3D84D5CA818}"/>
            </a:ext>
          </a:extLst>
        </xdr:cNvPr>
        <xdr:cNvSpPr txBox="1"/>
      </xdr:nvSpPr>
      <xdr:spPr>
        <a:xfrm>
          <a:off x="1438275" y="4743450"/>
          <a:ext cx="466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50kVA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102394</xdr:colOff>
      <xdr:row>49</xdr:row>
      <xdr:rowOff>128591</xdr:rowOff>
    </xdr:from>
    <xdr:to>
      <xdr:col>8</xdr:col>
      <xdr:colOff>146590</xdr:colOff>
      <xdr:row>52</xdr:row>
      <xdr:rowOff>142879</xdr:rowOff>
    </xdr:to>
    <xdr:sp macro="" textlink="">
      <xdr:nvSpPr>
        <xdr:cNvPr id="439" name="Rectangle 438">
          <a:extLst>
            <a:ext uri="{FF2B5EF4-FFF2-40B4-BE49-F238E27FC236}">
              <a16:creationId xmlns:a16="http://schemas.microsoft.com/office/drawing/2014/main" id="{4D89576A-667A-40C1-9124-6BDE5185C5C9}"/>
            </a:ext>
          </a:extLst>
        </xdr:cNvPr>
        <xdr:cNvSpPr/>
      </xdr:nvSpPr>
      <xdr:spPr>
        <a:xfrm rot="5400000">
          <a:off x="2290239" y="7787215"/>
          <a:ext cx="478632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35404</xdr:colOff>
      <xdr:row>33</xdr:row>
      <xdr:rowOff>150699</xdr:rowOff>
    </xdr:from>
    <xdr:to>
      <xdr:col>5</xdr:col>
      <xdr:colOff>215151</xdr:colOff>
      <xdr:row>50</xdr:row>
      <xdr:rowOff>9525</xdr:rowOff>
    </xdr:to>
    <xdr:cxnSp macro="">
      <xdr:nvCxnSpPr>
        <xdr:cNvPr id="440" name="Straight Connector 439">
          <a:extLst>
            <a:ext uri="{FF2B5EF4-FFF2-40B4-BE49-F238E27FC236}">
              <a16:creationId xmlns:a16="http://schemas.microsoft.com/office/drawing/2014/main" id="{0A75C1FA-CCAE-4A38-85DB-FD0AC3BCD4C6}"/>
            </a:ext>
          </a:extLst>
        </xdr:cNvPr>
        <xdr:cNvCxnSpPr>
          <a:cxnSpLocks/>
          <a:stCxn id="414" idx="4"/>
          <a:endCxn id="383" idx="0"/>
        </xdr:cNvCxnSpPr>
      </xdr:nvCxnSpPr>
      <xdr:spPr bwMode="auto">
        <a:xfrm>
          <a:off x="1487967" y="5282293"/>
          <a:ext cx="179747" cy="25139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37</xdr:row>
      <xdr:rowOff>123825</xdr:rowOff>
    </xdr:from>
    <xdr:to>
      <xdr:col>5</xdr:col>
      <xdr:colOff>148660</xdr:colOff>
      <xdr:row>38</xdr:row>
      <xdr:rowOff>28658</xdr:rowOff>
    </xdr:to>
    <xdr:grpSp>
      <xdr:nvGrpSpPr>
        <xdr:cNvPr id="442" name="Grup 244">
          <a:extLst>
            <a:ext uri="{FF2B5EF4-FFF2-40B4-BE49-F238E27FC236}">
              <a16:creationId xmlns:a16="http://schemas.microsoft.com/office/drawing/2014/main" id="{833149BA-58DE-4B18-A6CD-1DA9195D12D4}"/>
            </a:ext>
          </a:extLst>
        </xdr:cNvPr>
        <xdr:cNvGrpSpPr/>
      </xdr:nvGrpSpPr>
      <xdr:grpSpPr>
        <a:xfrm>
          <a:off x="1462088" y="5886450"/>
          <a:ext cx="139135" cy="71521"/>
          <a:chOff x="13302191" y="2320613"/>
          <a:chExt cx="139135" cy="57233"/>
        </a:xfrm>
      </xdr:grpSpPr>
      <xdr:cxnSp macro="">
        <xdr:nvCxnSpPr>
          <xdr:cNvPr id="443" name="Straight Connector 81">
            <a:extLst>
              <a:ext uri="{FF2B5EF4-FFF2-40B4-BE49-F238E27FC236}">
                <a16:creationId xmlns:a16="http://schemas.microsoft.com/office/drawing/2014/main" id="{A9FEFED6-CBEE-B7FD-A8EE-A4249BF3074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82">
            <a:extLst>
              <a:ext uri="{FF2B5EF4-FFF2-40B4-BE49-F238E27FC236}">
                <a16:creationId xmlns:a16="http://schemas.microsoft.com/office/drawing/2014/main" id="{19B45EF6-AACA-CFDF-5356-70C8DF7DC93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83">
            <a:extLst>
              <a:ext uri="{FF2B5EF4-FFF2-40B4-BE49-F238E27FC236}">
                <a16:creationId xmlns:a16="http://schemas.microsoft.com/office/drawing/2014/main" id="{D8B9FDA1-2F48-65DF-6CB4-323AA72F6E4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84">
            <a:extLst>
              <a:ext uri="{FF2B5EF4-FFF2-40B4-BE49-F238E27FC236}">
                <a16:creationId xmlns:a16="http://schemas.microsoft.com/office/drawing/2014/main" id="{4F020C72-A475-1BD0-83F8-77B77F766E2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57150</xdr:colOff>
      <xdr:row>41</xdr:row>
      <xdr:rowOff>76200</xdr:rowOff>
    </xdr:from>
    <xdr:to>
      <xdr:col>5</xdr:col>
      <xdr:colOff>196285</xdr:colOff>
      <xdr:row>41</xdr:row>
      <xdr:rowOff>142958</xdr:rowOff>
    </xdr:to>
    <xdr:grpSp>
      <xdr:nvGrpSpPr>
        <xdr:cNvPr id="447" name="Grup 244">
          <a:extLst>
            <a:ext uri="{FF2B5EF4-FFF2-40B4-BE49-F238E27FC236}">
              <a16:creationId xmlns:a16="http://schemas.microsoft.com/office/drawing/2014/main" id="{C7E8824F-21D2-4F2A-9CE3-820BBED9768B}"/>
            </a:ext>
          </a:extLst>
        </xdr:cNvPr>
        <xdr:cNvGrpSpPr/>
      </xdr:nvGrpSpPr>
      <xdr:grpSpPr>
        <a:xfrm>
          <a:off x="1509713" y="6469856"/>
          <a:ext cx="139135" cy="66758"/>
          <a:chOff x="13302191" y="2320613"/>
          <a:chExt cx="139135" cy="57233"/>
        </a:xfrm>
      </xdr:grpSpPr>
      <xdr:cxnSp macro="">
        <xdr:nvCxnSpPr>
          <xdr:cNvPr id="448" name="Straight Connector 81">
            <a:extLst>
              <a:ext uri="{FF2B5EF4-FFF2-40B4-BE49-F238E27FC236}">
                <a16:creationId xmlns:a16="http://schemas.microsoft.com/office/drawing/2014/main" id="{C3A2AFE6-65C0-2AFF-8EAD-9484567727E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82">
            <a:extLst>
              <a:ext uri="{FF2B5EF4-FFF2-40B4-BE49-F238E27FC236}">
                <a16:creationId xmlns:a16="http://schemas.microsoft.com/office/drawing/2014/main" id="{A8566FF9-860A-D44A-0056-955294F8B23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83">
            <a:extLst>
              <a:ext uri="{FF2B5EF4-FFF2-40B4-BE49-F238E27FC236}">
                <a16:creationId xmlns:a16="http://schemas.microsoft.com/office/drawing/2014/main" id="{5420F6A5-1BFF-9D73-0976-549285E158E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84">
            <a:extLst>
              <a:ext uri="{FF2B5EF4-FFF2-40B4-BE49-F238E27FC236}">
                <a16:creationId xmlns:a16="http://schemas.microsoft.com/office/drawing/2014/main" id="{323E6572-14C5-0438-4ECB-7EE19CABA83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123825</xdr:colOff>
      <xdr:row>46</xdr:row>
      <xdr:rowOff>142875</xdr:rowOff>
    </xdr:from>
    <xdr:to>
      <xdr:col>5</xdr:col>
      <xdr:colOff>262960</xdr:colOff>
      <xdr:row>47</xdr:row>
      <xdr:rowOff>57233</xdr:rowOff>
    </xdr:to>
    <xdr:grpSp>
      <xdr:nvGrpSpPr>
        <xdr:cNvPr id="452" name="Grup 244">
          <a:extLst>
            <a:ext uri="{FF2B5EF4-FFF2-40B4-BE49-F238E27FC236}">
              <a16:creationId xmlns:a16="http://schemas.microsoft.com/office/drawing/2014/main" id="{5A7461AE-9DD7-4648-AE4E-66D5D4B1637C}"/>
            </a:ext>
          </a:extLst>
        </xdr:cNvPr>
        <xdr:cNvGrpSpPr/>
      </xdr:nvGrpSpPr>
      <xdr:grpSpPr>
        <a:xfrm>
          <a:off x="1576388" y="7310438"/>
          <a:ext cx="139135" cy="69139"/>
          <a:chOff x="13302191" y="2320613"/>
          <a:chExt cx="139135" cy="57233"/>
        </a:xfrm>
      </xdr:grpSpPr>
      <xdr:cxnSp macro="">
        <xdr:nvCxnSpPr>
          <xdr:cNvPr id="453" name="Straight Connector 81">
            <a:extLst>
              <a:ext uri="{FF2B5EF4-FFF2-40B4-BE49-F238E27FC236}">
                <a16:creationId xmlns:a16="http://schemas.microsoft.com/office/drawing/2014/main" id="{DBEAC46E-F8B3-54A3-538B-FB78939DC92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82">
            <a:extLst>
              <a:ext uri="{FF2B5EF4-FFF2-40B4-BE49-F238E27FC236}">
                <a16:creationId xmlns:a16="http://schemas.microsoft.com/office/drawing/2014/main" id="{9ECAD817-94B6-D3AA-CDCB-253C145E3C2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83">
            <a:extLst>
              <a:ext uri="{FF2B5EF4-FFF2-40B4-BE49-F238E27FC236}">
                <a16:creationId xmlns:a16="http://schemas.microsoft.com/office/drawing/2014/main" id="{EBA10478-F910-99AB-6D91-1F5E55F55FD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84">
            <a:extLst>
              <a:ext uri="{FF2B5EF4-FFF2-40B4-BE49-F238E27FC236}">
                <a16:creationId xmlns:a16="http://schemas.microsoft.com/office/drawing/2014/main" id="{869F83BA-18ED-C0C7-F647-F2F039EE2EA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276225</xdr:colOff>
      <xdr:row>50</xdr:row>
      <xdr:rowOff>47625</xdr:rowOff>
    </xdr:from>
    <xdr:to>
      <xdr:col>7</xdr:col>
      <xdr:colOff>219075</xdr:colOff>
      <xdr:row>50</xdr:row>
      <xdr:rowOff>85725</xdr:rowOff>
    </xdr:to>
    <xdr:cxnSp macro="">
      <xdr:nvCxnSpPr>
        <xdr:cNvPr id="457" name="Straight Connector 456">
          <a:extLst>
            <a:ext uri="{FF2B5EF4-FFF2-40B4-BE49-F238E27FC236}">
              <a16:creationId xmlns:a16="http://schemas.microsoft.com/office/drawing/2014/main" id="{00AF84B9-CCD0-459E-B408-63FAB0ED6914}"/>
            </a:ext>
          </a:extLst>
        </xdr:cNvPr>
        <xdr:cNvCxnSpPr>
          <a:cxnSpLocks/>
        </xdr:cNvCxnSpPr>
      </xdr:nvCxnSpPr>
      <xdr:spPr bwMode="auto">
        <a:xfrm>
          <a:off x="1724025" y="7705725"/>
          <a:ext cx="704850" cy="381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49</xdr:row>
      <xdr:rowOff>142876</xdr:rowOff>
    </xdr:from>
    <xdr:to>
      <xdr:col>7</xdr:col>
      <xdr:colOff>295275</xdr:colOff>
      <xdr:row>50</xdr:row>
      <xdr:rowOff>123826</xdr:rowOff>
    </xdr:to>
    <xdr:sp macro="" textlink="">
      <xdr:nvSpPr>
        <xdr:cNvPr id="459" name="Rectangle 458">
          <a:extLst>
            <a:ext uri="{FF2B5EF4-FFF2-40B4-BE49-F238E27FC236}">
              <a16:creationId xmlns:a16="http://schemas.microsoft.com/office/drawing/2014/main" id="{8173E56A-D8CF-4BE7-A1DE-6DF117D20559}"/>
            </a:ext>
          </a:extLst>
        </xdr:cNvPr>
        <xdr:cNvSpPr/>
      </xdr:nvSpPr>
      <xdr:spPr>
        <a:xfrm>
          <a:off x="2324100" y="7648576"/>
          <a:ext cx="180975" cy="13335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161925</xdr:colOff>
      <xdr:row>50</xdr:row>
      <xdr:rowOff>28575</xdr:rowOff>
    </xdr:from>
    <xdr:to>
      <xdr:col>6</xdr:col>
      <xdr:colOff>301060</xdr:colOff>
      <xdr:row>50</xdr:row>
      <xdr:rowOff>95333</xdr:rowOff>
    </xdr:to>
    <xdr:grpSp>
      <xdr:nvGrpSpPr>
        <xdr:cNvPr id="460" name="Grup 244">
          <a:extLst>
            <a:ext uri="{FF2B5EF4-FFF2-40B4-BE49-F238E27FC236}">
              <a16:creationId xmlns:a16="http://schemas.microsoft.com/office/drawing/2014/main" id="{7A640DCC-5E40-4B77-A365-45D2B4917C16}"/>
            </a:ext>
          </a:extLst>
        </xdr:cNvPr>
        <xdr:cNvGrpSpPr/>
      </xdr:nvGrpSpPr>
      <xdr:grpSpPr>
        <a:xfrm>
          <a:off x="1995488" y="7815263"/>
          <a:ext cx="139135" cy="66758"/>
          <a:chOff x="13302191" y="2320613"/>
          <a:chExt cx="139135" cy="57233"/>
        </a:xfrm>
      </xdr:grpSpPr>
      <xdr:cxnSp macro="">
        <xdr:nvCxnSpPr>
          <xdr:cNvPr id="461" name="Straight Connector 81">
            <a:extLst>
              <a:ext uri="{FF2B5EF4-FFF2-40B4-BE49-F238E27FC236}">
                <a16:creationId xmlns:a16="http://schemas.microsoft.com/office/drawing/2014/main" id="{F5B171FF-836A-7814-0DD7-75E90CEBA1A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82">
            <a:extLst>
              <a:ext uri="{FF2B5EF4-FFF2-40B4-BE49-F238E27FC236}">
                <a16:creationId xmlns:a16="http://schemas.microsoft.com/office/drawing/2014/main" id="{A817C063-1F0A-A7F0-6D89-7C211232479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83">
            <a:extLst>
              <a:ext uri="{FF2B5EF4-FFF2-40B4-BE49-F238E27FC236}">
                <a16:creationId xmlns:a16="http://schemas.microsoft.com/office/drawing/2014/main" id="{B68CC8B2-F224-FF54-A405-9748AAC9C3B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84">
            <a:extLst>
              <a:ext uri="{FF2B5EF4-FFF2-40B4-BE49-F238E27FC236}">
                <a16:creationId xmlns:a16="http://schemas.microsoft.com/office/drawing/2014/main" id="{88965EC3-50DA-E2EB-4C16-3C7E5A29377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95250</xdr:colOff>
      <xdr:row>46</xdr:row>
      <xdr:rowOff>83343</xdr:rowOff>
    </xdr:from>
    <xdr:to>
      <xdr:col>8</xdr:col>
      <xdr:colOff>139446</xdr:colOff>
      <xdr:row>49</xdr:row>
      <xdr:rowOff>97632</xdr:rowOff>
    </xdr:to>
    <xdr:sp macro="" textlink="">
      <xdr:nvSpPr>
        <xdr:cNvPr id="480" name="Rectangle 479">
          <a:extLst>
            <a:ext uri="{FF2B5EF4-FFF2-40B4-BE49-F238E27FC236}">
              <a16:creationId xmlns:a16="http://schemas.microsoft.com/office/drawing/2014/main" id="{87C9116C-9EC2-4693-BD3E-BD875D5837B6}"/>
            </a:ext>
          </a:extLst>
        </xdr:cNvPr>
        <xdr:cNvSpPr/>
      </xdr:nvSpPr>
      <xdr:spPr>
        <a:xfrm rot="5400000">
          <a:off x="2283095" y="7277624"/>
          <a:ext cx="478632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215151</xdr:colOff>
      <xdr:row>48</xdr:row>
      <xdr:rowOff>14288</xdr:rowOff>
    </xdr:from>
    <xdr:to>
      <xdr:col>7</xdr:col>
      <xdr:colOff>121443</xdr:colOff>
      <xdr:row>50</xdr:row>
      <xdr:rowOff>9525</xdr:rowOff>
    </xdr:to>
    <xdr:cxnSp macro="">
      <xdr:nvCxnSpPr>
        <xdr:cNvPr id="481" name="Straight Connector 480">
          <a:extLst>
            <a:ext uri="{FF2B5EF4-FFF2-40B4-BE49-F238E27FC236}">
              <a16:creationId xmlns:a16="http://schemas.microsoft.com/office/drawing/2014/main" id="{BBB1CA39-99C3-43CA-B43E-75C27DEB6003}"/>
            </a:ext>
          </a:extLst>
        </xdr:cNvPr>
        <xdr:cNvCxnSpPr>
          <a:cxnSpLocks/>
          <a:stCxn id="383" idx="0"/>
        </xdr:cNvCxnSpPr>
      </xdr:nvCxnSpPr>
      <xdr:spPr bwMode="auto">
        <a:xfrm flipV="1">
          <a:off x="1667714" y="7491413"/>
          <a:ext cx="668292" cy="3048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155252</xdr:colOff>
      <xdr:row>48</xdr:row>
      <xdr:rowOff>82874</xdr:rowOff>
    </xdr:from>
    <xdr:to>
      <xdr:col>6</xdr:col>
      <xdr:colOff>222010</xdr:colOff>
      <xdr:row>49</xdr:row>
      <xdr:rowOff>67228</xdr:rowOff>
    </xdr:to>
    <xdr:grpSp>
      <xdr:nvGrpSpPr>
        <xdr:cNvPr id="482" name="Grup 244">
          <a:extLst>
            <a:ext uri="{FF2B5EF4-FFF2-40B4-BE49-F238E27FC236}">
              <a16:creationId xmlns:a16="http://schemas.microsoft.com/office/drawing/2014/main" id="{90B0DE8D-406D-4923-ACB3-73B6AB5EDA2B}"/>
            </a:ext>
          </a:extLst>
        </xdr:cNvPr>
        <xdr:cNvGrpSpPr/>
      </xdr:nvGrpSpPr>
      <xdr:grpSpPr>
        <a:xfrm rot="2871887">
          <a:off x="1952626" y="7596188"/>
          <a:ext cx="139135" cy="66758"/>
          <a:chOff x="13302191" y="2320613"/>
          <a:chExt cx="139135" cy="57233"/>
        </a:xfrm>
      </xdr:grpSpPr>
      <xdr:cxnSp macro="">
        <xdr:nvCxnSpPr>
          <xdr:cNvPr id="483" name="Straight Connector 81">
            <a:extLst>
              <a:ext uri="{FF2B5EF4-FFF2-40B4-BE49-F238E27FC236}">
                <a16:creationId xmlns:a16="http://schemas.microsoft.com/office/drawing/2014/main" id="{C59D71E6-96DD-9CAB-B699-0B8568C1DA7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Straight Connector 82">
            <a:extLst>
              <a:ext uri="{FF2B5EF4-FFF2-40B4-BE49-F238E27FC236}">
                <a16:creationId xmlns:a16="http://schemas.microsoft.com/office/drawing/2014/main" id="{21B53031-8F9F-5D99-1CC7-B8C56777BF2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7" name="Straight Connector 83">
            <a:extLst>
              <a:ext uri="{FF2B5EF4-FFF2-40B4-BE49-F238E27FC236}">
                <a16:creationId xmlns:a16="http://schemas.microsoft.com/office/drawing/2014/main" id="{9C588D21-5C8E-379F-AE81-A5AC29E491D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8" name="Straight Connector 84">
            <a:extLst>
              <a:ext uri="{FF2B5EF4-FFF2-40B4-BE49-F238E27FC236}">
                <a16:creationId xmlns:a16="http://schemas.microsoft.com/office/drawing/2014/main" id="{66F741A1-C5E2-6862-787E-6C20D66BC10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95250</xdr:colOff>
      <xdr:row>47</xdr:row>
      <xdr:rowOff>142875</xdr:rowOff>
    </xdr:from>
    <xdr:to>
      <xdr:col>7</xdr:col>
      <xdr:colOff>276225</xdr:colOff>
      <xdr:row>48</xdr:row>
      <xdr:rowOff>123826</xdr:rowOff>
    </xdr:to>
    <xdr:sp macro="" textlink="">
      <xdr:nvSpPr>
        <xdr:cNvPr id="489" name="Rectangle 488">
          <a:extLst>
            <a:ext uri="{FF2B5EF4-FFF2-40B4-BE49-F238E27FC236}">
              <a16:creationId xmlns:a16="http://schemas.microsoft.com/office/drawing/2014/main" id="{8854923B-FEFC-4438-BA2A-B81677A5D4B6}"/>
            </a:ext>
          </a:extLst>
        </xdr:cNvPr>
        <xdr:cNvSpPr/>
      </xdr:nvSpPr>
      <xdr:spPr>
        <a:xfrm>
          <a:off x="2309813" y="7465219"/>
          <a:ext cx="180975" cy="135732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190500</xdr:colOff>
      <xdr:row>44</xdr:row>
      <xdr:rowOff>130969</xdr:rowOff>
    </xdr:from>
    <xdr:to>
      <xdr:col>9</xdr:col>
      <xdr:colOff>342900</xdr:colOff>
      <xdr:row>47</xdr:row>
      <xdr:rowOff>79423</xdr:rowOff>
    </xdr:to>
    <xdr:sp macro="" textlink="">
      <xdr:nvSpPr>
        <xdr:cNvPr id="491" name="TextBox 145">
          <a:extLst>
            <a:ext uri="{FF2B5EF4-FFF2-40B4-BE49-F238E27FC236}">
              <a16:creationId xmlns:a16="http://schemas.microsoft.com/office/drawing/2014/main" id="{F32B78AC-31EE-4C87-A483-E5CACD7E86EC}"/>
            </a:ext>
          </a:extLst>
        </xdr:cNvPr>
        <xdr:cNvSpPr txBox="1"/>
      </xdr:nvSpPr>
      <xdr:spPr>
        <a:xfrm>
          <a:off x="2024063" y="6988969"/>
          <a:ext cx="1295400" cy="41279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3P PRA 33KVA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40MTR</a:t>
          </a:r>
        </a:p>
      </xdr:txBody>
    </xdr:sp>
    <xdr:clientData/>
  </xdr:twoCellAnchor>
  <xdr:twoCellAnchor>
    <xdr:from>
      <xdr:col>5</xdr:col>
      <xdr:colOff>35718</xdr:colOff>
      <xdr:row>34</xdr:row>
      <xdr:rowOff>59532</xdr:rowOff>
    </xdr:from>
    <xdr:to>
      <xdr:col>5</xdr:col>
      <xdr:colOff>266721</xdr:colOff>
      <xdr:row>35</xdr:row>
      <xdr:rowOff>7261</xdr:rowOff>
    </xdr:to>
    <xdr:grpSp>
      <xdr:nvGrpSpPr>
        <xdr:cNvPr id="492" name="Group 134">
          <a:extLst>
            <a:ext uri="{FF2B5EF4-FFF2-40B4-BE49-F238E27FC236}">
              <a16:creationId xmlns:a16="http://schemas.microsoft.com/office/drawing/2014/main" id="{E482F926-55D4-4ADC-8386-F29308A1FE49}"/>
            </a:ext>
          </a:extLst>
        </xdr:cNvPr>
        <xdr:cNvGrpSpPr/>
      </xdr:nvGrpSpPr>
      <xdr:grpSpPr>
        <a:xfrm>
          <a:off x="1488281" y="5345907"/>
          <a:ext cx="231003" cy="102510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493" name="Isosceles Triangle 118">
            <a:extLst>
              <a:ext uri="{FF2B5EF4-FFF2-40B4-BE49-F238E27FC236}">
                <a16:creationId xmlns:a16="http://schemas.microsoft.com/office/drawing/2014/main" id="{7DA87D17-8A81-FA60-EE54-D65D0206413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94" name="Isosceles Triangle 119">
            <a:extLst>
              <a:ext uri="{FF2B5EF4-FFF2-40B4-BE49-F238E27FC236}">
                <a16:creationId xmlns:a16="http://schemas.microsoft.com/office/drawing/2014/main" id="{31379378-F83F-6981-6DB9-81C8DB78E1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95" name="Isosceles Triangle 120">
            <a:extLst>
              <a:ext uri="{FF2B5EF4-FFF2-40B4-BE49-F238E27FC236}">
                <a16:creationId xmlns:a16="http://schemas.microsoft.com/office/drawing/2014/main" id="{E041E89C-FAAA-1FAE-B555-8A6DAD0645F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35719</xdr:colOff>
      <xdr:row>34</xdr:row>
      <xdr:rowOff>119063</xdr:rowOff>
    </xdr:from>
    <xdr:to>
      <xdr:col>6</xdr:col>
      <xdr:colOff>166687</xdr:colOff>
      <xdr:row>35</xdr:row>
      <xdr:rowOff>119063</xdr:rowOff>
    </xdr:to>
    <xdr:sp macro="" textlink="">
      <xdr:nvSpPr>
        <xdr:cNvPr id="496" name="TextBox 160">
          <a:extLst>
            <a:ext uri="{FF2B5EF4-FFF2-40B4-BE49-F238E27FC236}">
              <a16:creationId xmlns:a16="http://schemas.microsoft.com/office/drawing/2014/main" id="{9AEC1ABE-69BE-46A6-A1BE-35724D30215F}"/>
            </a:ext>
          </a:extLst>
        </xdr:cNvPr>
        <xdr:cNvSpPr txBox="1"/>
      </xdr:nvSpPr>
      <xdr:spPr>
        <a:xfrm>
          <a:off x="1488282" y="5405438"/>
          <a:ext cx="511968" cy="154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100kVA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261938</xdr:colOff>
      <xdr:row>35</xdr:row>
      <xdr:rowOff>142875</xdr:rowOff>
    </xdr:from>
    <xdr:to>
      <xdr:col>8</xdr:col>
      <xdr:colOff>285749</xdr:colOff>
      <xdr:row>36</xdr:row>
      <xdr:rowOff>11906</xdr:rowOff>
    </xdr:to>
    <xdr:cxnSp macro="">
      <xdr:nvCxnSpPr>
        <xdr:cNvPr id="497" name="Straight Connector 496">
          <a:extLst>
            <a:ext uri="{FF2B5EF4-FFF2-40B4-BE49-F238E27FC236}">
              <a16:creationId xmlns:a16="http://schemas.microsoft.com/office/drawing/2014/main" id="{B4447D09-ACF5-4D08-B916-2E3E5AA7FD16}"/>
            </a:ext>
          </a:extLst>
        </xdr:cNvPr>
        <xdr:cNvCxnSpPr>
          <a:cxnSpLocks/>
        </xdr:cNvCxnSpPr>
      </xdr:nvCxnSpPr>
      <xdr:spPr bwMode="auto">
        <a:xfrm>
          <a:off x="2095501" y="5584031"/>
          <a:ext cx="785811" cy="238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52</xdr:row>
      <xdr:rowOff>20266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477EF-274C-9DD9-5542-79C30E6F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25372" cy="74781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25</xdr:col>
      <xdr:colOff>398721</xdr:colOff>
      <xdr:row>66</xdr:row>
      <xdr:rowOff>46587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05C107-9657-4933-B371-3C196A8E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3534360" cy="90399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53" t="s">
        <v>1133</v>
      </c>
      <c r="C4" s="553"/>
      <c r="D4" s="553"/>
      <c r="E4" s="553"/>
      <c r="F4" s="553"/>
      <c r="G4" s="553"/>
      <c r="H4" s="55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54" t="s">
        <v>0</v>
      </c>
      <c r="C7" s="554" t="s">
        <v>1</v>
      </c>
      <c r="D7" s="555" t="s">
        <v>42</v>
      </c>
      <c r="E7" s="555" t="s">
        <v>43</v>
      </c>
      <c r="F7" s="555" t="s">
        <v>1134</v>
      </c>
      <c r="G7" s="556" t="s">
        <v>41</v>
      </c>
      <c r="H7" s="552" t="s">
        <v>1042</v>
      </c>
      <c r="I7" s="552" t="s">
        <v>1136</v>
      </c>
      <c r="J7" s="552" t="s">
        <v>1026</v>
      </c>
      <c r="K7" s="546" t="s">
        <v>1024</v>
      </c>
      <c r="L7" s="547"/>
    </row>
    <row r="8" spans="1:12" ht="15" customHeight="1">
      <c r="B8" s="554"/>
      <c r="C8" s="554"/>
      <c r="D8" s="555"/>
      <c r="E8" s="555"/>
      <c r="F8" s="555"/>
      <c r="G8" s="556"/>
      <c r="H8" s="552"/>
      <c r="I8" s="552"/>
      <c r="J8" s="552"/>
      <c r="K8" s="548"/>
      <c r="L8" s="549"/>
    </row>
    <row r="9" spans="1:12" ht="15" customHeight="1">
      <c r="B9" s="554"/>
      <c r="C9" s="554"/>
      <c r="D9" s="555"/>
      <c r="E9" s="555"/>
      <c r="F9" s="555"/>
      <c r="G9" s="556"/>
      <c r="H9" s="552"/>
      <c r="I9" s="552"/>
      <c r="J9" s="552"/>
      <c r="K9" s="550"/>
      <c r="L9" s="55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100 kVA YNyn0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56838600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3</v>
      </c>
      <c r="G14" s="41">
        <f ca="1">IF(ISERROR(OFFSET('HARGA SATUAN'!$I$6,MATCH(C14,'HARGA SATUAN'!$C$7:$C$1495,0),0)),"",OFFSET('HARGA SATUAN'!$I$6,MATCH(C14,'HARGA SATUAN'!$C$7:$C$1495,0),0))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3x35+1x35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40</v>
      </c>
      <c r="G16" s="41">
        <f ca="1">IF(ISERROR(OFFSET('HARGA SATUAN'!$I$6,MATCH(C16,'HARGA SATUAN'!$C$7:$C$1495,0),0)),"",OFFSET('HARGA SATUAN'!$I$6,MATCH(C16,'HARGA SATUAN'!$C$7:$C$1495,0),0))</f>
        <v>30400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KWH MPB; 3P; 4W; 230/400 V; 5(80) A; Class 1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1719200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SUMIFS(RAB!$F$14:$F$79,RAB!$C$14:$C$79,C714)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SUMIFS(RAB!$F$14:$F$79,RAB!$C$14:$C$79,C715)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SUMIFS(RAB!$F$14:$F$79,RAB!$C$14:$C$79,C718)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SUMIFS(RAB!$F$14:$F$79,RAB!$C$14:$C$79,C720)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SUMIFS(RAB!$F$14:$F$79,RAB!$C$14:$C$79,C727)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SUMIFS(RAB!$F$14:$F$79,RAB!$C$14:$C$79,C729)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SUMIFS(RAB!$F$14:$F$79,RAB!$C$14:$C$79,C777)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SUMIFS(RAB!$F$14:$F$79,RAB!$C$14:$C$79,C780)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SUMIFS(RAB!$F$14:$F$79,RAB!$C$14:$C$79,C781)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SUMIFS(RAB!$F$14:$F$79,RAB!$C$14:$C$79,C784)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SUMIFS(RAB!$F$14:$F$79,RAB!$C$14:$C$79,C802)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SUMIFS(RAB!$F$14:$F$79,RAB!$C$14:$C$79,C803)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SUMIFS(RAB!$F$14:$F$79,RAB!$C$14:$C$79,C804)</f>
        <v>1</v>
      </c>
      <c r="E804" s="26">
        <f t="shared" ca="1" si="34"/>
        <v>1</v>
      </c>
      <c r="F804" s="26">
        <f ca="1">IF(D804=0,0,SUM($E$713:E804))</f>
        <v>2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SUMIFS(RAB!$F$14:$F$79,RAB!$C$14:$C$79,C817)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SUMIFS(RAB!$F$14:$F$79,RAB!$C$14:$C$79,C822)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SUMIFS(RAB!$F$14:$F$79,RAB!$C$14:$C$79,C828)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SUMIFS(RAB!$F$14:$F$79,RAB!$C$14:$C$79,C834)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SUMIFS(RAB!$F$14:$F$79,RAB!$C$14:$C$79,C836)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SUMIFS(RAB!$F$14:$F$79,RAB!$C$14:$C$79,C837)</f>
        <v>40</v>
      </c>
      <c r="E837" s="26">
        <f t="shared" ca="1" si="34"/>
        <v>1</v>
      </c>
      <c r="F837" s="26">
        <f ca="1">IF(D837=0,0,SUM($E$713:E837))</f>
        <v>5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SUMIFS(RAB!$F$14:$F$79,RAB!$C$14:$C$79,C838)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SUMIFS(RAB!$F$14:$F$79,RAB!$C$14:$C$79,C839)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SUMIFS(RAB!$F$14:$F$79,RAB!$C$14:$C$79,C851)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SUMIFS(RAB!$F$14:$F$79,RAB!$C$14:$C$79,C852)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SUMIFS(RAB!$F$14:$F$79,RAB!$C$14:$C$79,C853)</f>
        <v>1</v>
      </c>
      <c r="E853" s="26">
        <f t="shared" ca="1" si="35"/>
        <v>1</v>
      </c>
      <c r="F853" s="26">
        <f ca="1">IF(D853=0,0,SUM($E$713:E853))</f>
        <v>6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SUMIFS(RAB!$F$14:$F$79,RAB!$C$14:$C$79,C854)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73" t="s">
        <v>1127</v>
      </c>
      <c r="C4" s="573"/>
      <c r="D4" s="573"/>
      <c r="E4" s="573"/>
      <c r="F4" s="573"/>
      <c r="G4" s="573"/>
      <c r="H4" s="573"/>
      <c r="I4" s="573"/>
      <c r="J4" s="573"/>
      <c r="K4" s="57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PB TRI WAHYUNINGSIH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74" t="s">
        <v>0</v>
      </c>
      <c r="C11" s="576" t="s">
        <v>1</v>
      </c>
      <c r="D11" s="579" t="s">
        <v>42</v>
      </c>
      <c r="E11" s="579" t="s">
        <v>43</v>
      </c>
      <c r="F11" s="579" t="s">
        <v>2</v>
      </c>
      <c r="G11" s="580" t="s">
        <v>41</v>
      </c>
      <c r="H11" s="579" t="s">
        <v>3</v>
      </c>
      <c r="I11" s="579"/>
      <c r="J11" s="579"/>
      <c r="K11" s="583"/>
      <c r="M11" s="33"/>
      <c r="N11" s="33"/>
      <c r="O11" s="33"/>
      <c r="P11" s="33"/>
      <c r="R11" s="34"/>
      <c r="S11" s="74"/>
      <c r="T11" s="74"/>
    </row>
    <row r="12" spans="1:21" ht="15" customHeight="1">
      <c r="B12" s="575"/>
      <c r="C12" s="577"/>
      <c r="D12" s="569"/>
      <c r="E12" s="569"/>
      <c r="F12" s="569"/>
      <c r="G12" s="581"/>
      <c r="H12" s="571" t="s">
        <v>46</v>
      </c>
      <c r="I12" s="571" t="s">
        <v>5</v>
      </c>
      <c r="J12" s="569" t="s">
        <v>47</v>
      </c>
      <c r="K12" s="57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5"/>
      <c r="C13" s="578"/>
      <c r="D13" s="569"/>
      <c r="E13" s="569"/>
      <c r="F13" s="569"/>
      <c r="G13" s="582"/>
      <c r="H13" s="572"/>
      <c r="I13" s="572"/>
      <c r="J13" s="569"/>
      <c r="K13" s="57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7" t="s">
        <v>1008</v>
      </c>
      <c r="D38" s="567"/>
      <c r="E38" s="567"/>
      <c r="F38" s="56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68" t="s">
        <v>462</v>
      </c>
      <c r="D39" s="568"/>
      <c r="E39" s="568"/>
      <c r="F39" s="56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7" t="s">
        <v>463</v>
      </c>
      <c r="D40" s="557"/>
      <c r="E40" s="557"/>
      <c r="F40" s="55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60" t="e">
        <f ca="1">"Terbilang : ( "&amp;L42&amp;" Rupiah )"</f>
        <v>#NAME?</v>
      </c>
      <c r="C41" s="561"/>
      <c r="D41" s="561"/>
      <c r="E41" s="561"/>
      <c r="F41" s="561"/>
      <c r="G41" s="561"/>
      <c r="H41" s="561"/>
      <c r="I41" s="561"/>
      <c r="J41" s="561"/>
      <c r="K41" s="562"/>
      <c r="L41" s="44"/>
      <c r="R41" s="58"/>
      <c r="S41" s="58"/>
      <c r="T41" s="58"/>
    </row>
    <row r="42" spans="1:20" s="36" customFormat="1">
      <c r="A42" s="30"/>
      <c r="B42" s="563"/>
      <c r="C42" s="564"/>
      <c r="D42" s="564"/>
      <c r="E42" s="564"/>
      <c r="F42" s="564"/>
      <c r="G42" s="564"/>
      <c r="H42" s="564"/>
      <c r="I42" s="564"/>
      <c r="J42" s="564"/>
      <c r="K42" s="565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8"/>
      <c r="I45" s="558"/>
      <c r="J45" s="559"/>
      <c r="K45" s="55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8"/>
      <c r="I46" s="558"/>
      <c r="J46" s="559"/>
      <c r="K46" s="55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8"/>
      <c r="I47" s="558"/>
      <c r="J47" s="559"/>
      <c r="K47" s="55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8"/>
      <c r="I52" s="558"/>
      <c r="J52" s="559"/>
      <c r="K52" s="55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73" t="s">
        <v>1034</v>
      </c>
      <c r="C4" s="573"/>
      <c r="D4" s="573"/>
      <c r="E4" s="573"/>
      <c r="F4" s="573"/>
      <c r="G4" s="573"/>
      <c r="H4" s="573"/>
      <c r="I4" s="573"/>
      <c r="J4" s="573"/>
      <c r="K4" s="57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PB TRI WAHYUNINGSIH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74" t="s">
        <v>0</v>
      </c>
      <c r="C11" s="576" t="s">
        <v>1</v>
      </c>
      <c r="D11" s="579" t="s">
        <v>42</v>
      </c>
      <c r="E11" s="579" t="s">
        <v>43</v>
      </c>
      <c r="F11" s="579" t="s">
        <v>2</v>
      </c>
      <c r="G11" s="580" t="s">
        <v>41</v>
      </c>
      <c r="H11" s="579" t="s">
        <v>3</v>
      </c>
      <c r="I11" s="579"/>
      <c r="J11" s="579"/>
      <c r="K11" s="583"/>
      <c r="M11" s="33"/>
      <c r="N11" s="33"/>
      <c r="O11" s="33"/>
      <c r="P11" s="33"/>
      <c r="R11" s="34"/>
      <c r="S11" s="74"/>
      <c r="T11" s="74"/>
    </row>
    <row r="12" spans="1:21" ht="15" customHeight="1">
      <c r="B12" s="575"/>
      <c r="C12" s="577"/>
      <c r="D12" s="569"/>
      <c r="E12" s="569"/>
      <c r="F12" s="569"/>
      <c r="G12" s="581"/>
      <c r="H12" s="571" t="s">
        <v>46</v>
      </c>
      <c r="I12" s="571" t="s">
        <v>5</v>
      </c>
      <c r="J12" s="569" t="s">
        <v>47</v>
      </c>
      <c r="K12" s="57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5"/>
      <c r="C13" s="578"/>
      <c r="D13" s="569"/>
      <c r="E13" s="569"/>
      <c r="F13" s="569"/>
      <c r="G13" s="582"/>
      <c r="H13" s="572"/>
      <c r="I13" s="572"/>
      <c r="J13" s="569"/>
      <c r="K13" s="57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100 kVA YNyn0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56838600</v>
      </c>
      <c r="H17" s="42">
        <f t="shared" ca="1" si="1"/>
        <v>56838600</v>
      </c>
      <c r="I17" s="42">
        <f t="shared" ca="1" si="2"/>
        <v>0</v>
      </c>
      <c r="J17" s="42">
        <f t="shared" ca="1" si="3"/>
        <v>0</v>
      </c>
      <c r="K17" s="43">
        <f t="shared" ca="1" si="0"/>
        <v>56838600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3</v>
      </c>
      <c r="G18" s="41">
        <f ca="1">IF(ISERROR(OFFSET('HARGA SATUAN'!$I$6,MATCH(C18,'HARGA SATUAN'!$C$7:$C$1495,0),0)),"",OFFSET('HARGA SATUAN'!$I$6,MATCH(C18,'HARGA SATUAN'!$C$7:$C$1495,0),0))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3x35+1x35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40</v>
      </c>
      <c r="G20" s="41">
        <f ca="1">IF(ISERROR(OFFSET('HARGA SATUAN'!$I$6,MATCH(C20,'HARGA SATUAN'!$C$7:$C$1495,0),0)),"",OFFSET('HARGA SATUAN'!$I$6,MATCH(C20,'HARGA SATUAN'!$C$7:$C$1495,0),0))</f>
        <v>30400</v>
      </c>
      <c r="H20" s="42">
        <f t="shared" ca="1" si="1"/>
        <v>1216000</v>
      </c>
      <c r="I20" s="42">
        <f t="shared" ca="1" si="2"/>
        <v>0</v>
      </c>
      <c r="J20" s="42">
        <f t="shared" ca="1" si="3"/>
        <v>0</v>
      </c>
      <c r="K20" s="43">
        <f t="shared" ca="1" si="0"/>
        <v>1216000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7" t="s">
        <v>1008</v>
      </c>
      <c r="D168" s="567"/>
      <c r="E168" s="567"/>
      <c r="F168" s="567"/>
      <c r="G168" s="77" t="s">
        <v>9</v>
      </c>
      <c r="H168" s="55">
        <f ca="1">SUM(H14:H167)</f>
        <v>66341950</v>
      </c>
      <c r="I168" s="55">
        <f ca="1">SUM(I14:I167)</f>
        <v>0</v>
      </c>
      <c r="J168" s="55">
        <f ca="1">SUM(J14:J167)</f>
        <v>0</v>
      </c>
      <c r="K168" s="55">
        <f ca="1">SUM(K14:K167)</f>
        <v>66341950</v>
      </c>
      <c r="L168" s="44"/>
      <c r="R168" s="99"/>
      <c r="S168" s="99"/>
      <c r="T168" s="99"/>
    </row>
    <row r="169" spans="1:20" s="36" customFormat="1">
      <c r="A169" s="30"/>
      <c r="B169" s="56"/>
      <c r="C169" s="568" t="s">
        <v>462</v>
      </c>
      <c r="D169" s="568"/>
      <c r="E169" s="568"/>
      <c r="F169" s="568"/>
      <c r="G169" s="59" t="s">
        <v>9</v>
      </c>
      <c r="H169" s="60">
        <f ca="1">H168*0.1</f>
        <v>6634195</v>
      </c>
      <c r="I169" s="60">
        <f ca="1">I168*0.1</f>
        <v>0</v>
      </c>
      <c r="J169" s="60">
        <f ca="1">J168*0.1</f>
        <v>0</v>
      </c>
      <c r="K169" s="60">
        <f ca="1">K168*0.1</f>
        <v>6634195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7" t="s">
        <v>463</v>
      </c>
      <c r="D170" s="557"/>
      <c r="E170" s="557"/>
      <c r="F170" s="557"/>
      <c r="G170" s="61" t="s">
        <v>9</v>
      </c>
      <c r="H170" s="78">
        <f ca="1">SUM(H168:H169)</f>
        <v>72976145</v>
      </c>
      <c r="I170" s="78">
        <f ca="1">SUM(I168:I169)</f>
        <v>0</v>
      </c>
      <c r="J170" s="61">
        <f ca="1">SUM(J168:J169)</f>
        <v>0</v>
      </c>
      <c r="K170" s="61">
        <f ca="1">SUM(K168:K169)</f>
        <v>72976145</v>
      </c>
      <c r="L170" s="44"/>
      <c r="R170" s="99"/>
      <c r="S170" s="99"/>
      <c r="T170" s="99"/>
    </row>
    <row r="171" spans="1:20" s="36" customFormat="1">
      <c r="A171" s="30"/>
      <c r="B171" s="560" t="e">
        <f ca="1">"Terbilang : ( "&amp;L172&amp;" Rupiah )"</f>
        <v>#NAME?</v>
      </c>
      <c r="C171" s="561"/>
      <c r="D171" s="561"/>
      <c r="E171" s="561"/>
      <c r="F171" s="561"/>
      <c r="G171" s="561"/>
      <c r="H171" s="561"/>
      <c r="I171" s="561"/>
      <c r="J171" s="561"/>
      <c r="K171" s="562"/>
      <c r="L171" s="44"/>
      <c r="R171" s="58"/>
      <c r="S171" s="58"/>
      <c r="T171" s="58"/>
    </row>
    <row r="172" spans="1:20" s="36" customFormat="1">
      <c r="A172" s="30"/>
      <c r="B172" s="563"/>
      <c r="C172" s="564"/>
      <c r="D172" s="564"/>
      <c r="E172" s="564"/>
      <c r="F172" s="564"/>
      <c r="G172" s="564"/>
      <c r="H172" s="564"/>
      <c r="I172" s="564"/>
      <c r="J172" s="564"/>
      <c r="K172" s="565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8"/>
      <c r="I175" s="558"/>
      <c r="J175" s="559"/>
      <c r="K175" s="55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8"/>
      <c r="I176" s="558"/>
      <c r="J176" s="559"/>
      <c r="K176" s="55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8"/>
      <c r="I177" s="558"/>
      <c r="J177" s="559"/>
      <c r="K177" s="55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8"/>
      <c r="I182" s="558"/>
      <c r="J182" s="559"/>
      <c r="K182" s="55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SUMIFS(RAB!$F$14:$F$79,RAB!$C$14:$C$79,C224)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SUMIFS(RAB!$F$14:$F$79,RAB!$C$14:$C$79,C225)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SUMIFS(RAB!$F$14:$F$79,RAB!$C$14:$C$79,C226)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SUMIFS(RAB!$F$14:$F$79,RAB!$C$14:$C$79,C227)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SUMIFS(RAB!$F$14:$F$79,RAB!$C$14:$C$79,C228)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SUMIFS(RAB!$F$14:$F$79,RAB!$C$14:$C$79,C229)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SUMIFS(RAB!$F$14:$F$79,RAB!$C$14:$C$79,C230)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SUMIFS(RAB!$F$14:$F$79,RAB!$C$14:$C$79,C231)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SUMIFS(RAB!$F$14:$F$79,RAB!$C$14:$C$79,C232)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SUMIFS(RAB!$F$14:$F$79,RAB!$C$14:$C$79,C233)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SUMIFS(RAB!$F$14:$F$79,RAB!$C$14:$C$79,C234)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SUMIFS(RAB!$F$14:$F$79,RAB!$C$14:$C$79,C235)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SUMIFS(RAB!$F$14:$F$79,RAB!$C$14:$C$79,C236)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SUMIFS(RAB!$F$14:$F$79,RAB!$C$14:$C$79,C237)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SUMIFS(RAB!$F$14:$F$79,RAB!$C$14:$C$79,C238)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SUMIFS(RAB!$F$14:$F$79,RAB!$C$14:$C$79,C239)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SUMIFS(RAB!$F$14:$F$79,RAB!$C$14:$C$79,C240)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SUMIFS(RAB!$F$14:$F$79,RAB!$C$14:$C$79,C241)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SUMIFS(RAB!$F$14:$F$79,RAB!$C$14:$C$79,C242)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SUMIFS(RAB!$F$14:$F$79,RAB!$C$14:$C$79,C243)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SUMIFS(RAB!$F$14:$F$79,RAB!$C$14:$C$79,C244)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SUMIFS(RAB!$F$14:$F$79,RAB!$C$14:$C$79,C245)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SUMIFS(RAB!$F$14:$F$79,RAB!$C$14:$C$79,C246)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SUMIFS(RAB!$F$14:$F$79,RAB!$C$14:$C$79,C247)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SUMIFS(RAB!$F$14:$F$79,RAB!$C$14:$C$79,C248)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SUMIFS(RAB!$F$14:$F$79,RAB!$C$14:$C$79,C249)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SUMIFS(RAB!$F$14:$F$79,RAB!$C$14:$C$79,C250)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SUMIFS(RAB!$F$14:$F$79,RAB!$C$14:$C$79,C251)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SUMIFS(RAB!$F$14:$F$79,RAB!$C$14:$C$79,C252)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SUMIFS(RAB!$F$14:$F$79,RAB!$C$14:$C$79,C253)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SUMIFS(RAB!$F$14:$F$79,RAB!$C$14:$C$79,C254)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SUMIFS(RAB!$F$14:$F$79,RAB!$C$14:$C$79,C255)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SUMIFS(RAB!$F$14:$F$79,RAB!$C$14:$C$79,C256)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SUMIFS(RAB!$F$14:$F$79,RAB!$C$14:$C$79,C257)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SUMIFS(RAB!$F$14:$F$79,RAB!$C$14:$C$79,C258)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SUMIFS(RAB!$F$14:$F$79,RAB!$C$14:$C$79,C259)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SUMIFS(RAB!$F$14:$F$79,RAB!$C$14:$C$79,C260)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SUMIFS(RAB!$F$14:$F$79,RAB!$C$14:$C$79,C261)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SUMIFS(RAB!$F$14:$F$79,RAB!$C$14:$C$79,C262)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SUMIFS(RAB!$F$14:$F$79,RAB!$C$14:$C$79,C263)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SUMIFS(RAB!$F$14:$F$79,RAB!$C$14:$C$79,C264)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SUMIFS(RAB!$F$14:$F$79,RAB!$C$14:$C$79,C265)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SUMIFS(RAB!$F$14:$F$79,RAB!$C$14:$C$79,C266)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SUMIFS(RAB!$F$14:$F$79,RAB!$C$14:$C$79,C267)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SUMIFS(RAB!$F$14:$F$79,RAB!$C$14:$C$79,C268)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SUMIFS(RAB!$F$14:$F$79,RAB!$C$14:$C$79,C269)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SUMIFS(RAB!$F$14:$F$79,RAB!$C$14:$C$79,C270)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SUMIFS(RAB!$F$14:$F$79,RAB!$C$14:$C$79,C271)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SUMIFS(RAB!$F$14:$F$79,RAB!$C$14:$C$79,C272)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SUMIFS(RAB!$F$14:$F$79,RAB!$C$14:$C$79,C273)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SUMIFS(RAB!$F$14:$F$79,RAB!$C$14:$C$79,C274)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SUMIFS(RAB!$F$14:$F$79,RAB!$C$14:$C$79,C275)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SUMIFS(RAB!$F$14:$F$79,RAB!$C$14:$C$79,C276)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SUMIFS(RAB!$F$14:$F$79,RAB!$C$14:$C$79,C277)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SUMIFS(RAB!$F$14:$F$79,RAB!$C$14:$C$79,C278)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SUMIFS(RAB!$F$14:$F$79,RAB!$C$14:$C$79,C279)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SUMIFS(RAB!$F$14:$F$79,RAB!$C$14:$C$79,C280)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SUMIFS(RAB!$F$14:$F$79,RAB!$C$14:$C$79,C281)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SUMIFS(RAB!$F$14:$F$79,RAB!$C$14:$C$79,C282)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SUMIFS(RAB!$F$14:$F$79,RAB!$C$14:$C$79,C283)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SUMIFS(RAB!$F$14:$F$79,RAB!$C$14:$C$79,C284)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SUMIFS(RAB!$F$14:$F$79,RAB!$C$14:$C$79,C285)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SUMIFS(RAB!$F$14:$F$79,RAB!$C$14:$C$79,C286)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SUMIFS(RAB!$F$14:$F$79,RAB!$C$14:$C$79,C287)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SUMIFS(RAB!$F$14:$F$79,RAB!$C$14:$C$79,C288)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SUMIFS(RAB!$F$14:$F$79,RAB!$C$14:$C$79,C289)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SUMIFS(RAB!$F$14:$F$79,RAB!$C$14:$C$79,C290)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SUMIFS(RAB!$F$14:$F$79,RAB!$C$14:$C$79,C291)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SUMIFS(RAB!$F$14:$F$79,RAB!$C$14:$C$79,C292)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SUMIFS(RAB!$F$14:$F$79,RAB!$C$14:$C$79,C293)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SUMIFS(RAB!$F$14:$F$79,RAB!$C$14:$C$79,C294)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SUMIFS(RAB!$F$14:$F$79,RAB!$C$14:$C$79,C295)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SUMIFS(RAB!$F$14:$F$79,RAB!$C$14:$C$79,C296)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SUMIFS(RAB!$F$14:$F$79,RAB!$C$14:$C$79,C297)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SUMIFS(RAB!$F$14:$F$79,RAB!$C$14:$C$79,C298)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SUMIFS(RAB!$F$14:$F$79,RAB!$C$14:$C$79,C299)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SUMIFS(RAB!$F$14:$F$79,RAB!$C$14:$C$79,C300)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SUMIFS(RAB!$F$14:$F$79,RAB!$C$14:$C$79,C301)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SUMIFS(RAB!$F$14:$F$79,RAB!$C$14:$C$79,C302)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SUMIFS(RAB!$F$14:$F$79,RAB!$C$14:$C$79,C303)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SUMIFS(RAB!$F$14:$F$79,RAB!$C$14:$C$79,C304)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SUMIFS(RAB!$F$14:$F$79,RAB!$C$14:$C$79,C305)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SUMIFS(RAB!$F$14:$F$79,RAB!$C$14:$C$79,C306)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SUMIFS(RAB!$F$14:$F$79,RAB!$C$14:$C$79,C307)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SUMIFS(RAB!$F$14:$F$79,RAB!$C$14:$C$79,C308)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SUMIFS(RAB!$F$14:$F$79,RAB!$C$14:$C$79,C309)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SUMIFS(RAB!$F$14:$F$79,RAB!$C$14:$C$79,C310)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SUMIFS(RAB!$F$14:$F$79,RAB!$C$14:$C$79,C311)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SUMIFS(RAB!$F$14:$F$79,RAB!$C$14:$C$79,C312)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SUMIFS(RAB!$F$14:$F$79,RAB!$C$14:$C$79,C313)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SUMIFS(RAB!$F$14:$F$79,RAB!$C$14:$C$79,C314)</f>
        <v>1</v>
      </c>
      <c r="E314" s="24">
        <f t="shared" ca="1" si="22"/>
        <v>1</v>
      </c>
      <c r="F314" s="24">
        <f ca="1">IF(D314=0,0,SUM($E$223:E314))</f>
        <v>2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SUMIFS(RAB!$F$14:$F$79,RAB!$C$14:$C$79,C315)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SUMIFS(RAB!$F$14:$F$79,RAB!$C$14:$C$79,C316)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SUMIFS(RAB!$F$14:$F$79,RAB!$C$14:$C$79,C317)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SUMIFS(RAB!$F$14:$F$79,RAB!$C$14:$C$79,C318)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SUMIFS(RAB!$F$14:$F$79,RAB!$C$14:$C$79,C319)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SUMIFS(RAB!$F$14:$F$79,RAB!$C$14:$C$79,C320)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SUMIFS(RAB!$F$14:$F$79,RAB!$C$14:$C$79,C321)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SUMIFS(RAB!$F$14:$F$79,RAB!$C$14:$C$79,C322)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SUMIFS(RAB!$F$14:$F$79,RAB!$C$14:$C$79,C323)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SUMIFS(RAB!$F$14:$F$79,RAB!$C$14:$C$79,C324)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SUMIFS(RAB!$F$14:$F$79,RAB!$C$14:$C$79,C325)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SUMIFS(RAB!$F$14:$F$79,RAB!$C$14:$C$79,C326)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SUMIFS(RAB!$F$14:$F$79,RAB!$C$14:$C$79,C327)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SUMIFS(RAB!$F$14:$F$79,RAB!$C$14:$C$79,C328)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SUMIFS(RAB!$F$14:$F$79,RAB!$C$14:$C$79,C329)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SUMIFS(RAB!$F$14:$F$79,RAB!$C$14:$C$79,C330)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SUMIFS(RAB!$F$14:$F$79,RAB!$C$14:$C$79,C331)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SUMIFS(RAB!$F$14:$F$79,RAB!$C$14:$C$79,C332)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SUMIFS(RAB!$F$14:$F$79,RAB!$C$14:$C$79,C333)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SUMIFS(RAB!$F$14:$F$79,RAB!$C$14:$C$79,C334)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SUMIFS(RAB!$F$14:$F$79,RAB!$C$14:$C$79,C335)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SUMIFS(RAB!$F$14:$F$79,RAB!$C$14:$C$79,C336)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SUMIFS(RAB!$F$14:$F$79,RAB!$C$14:$C$79,C337)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SUMIFS(RAB!$F$14:$F$79,RAB!$C$14:$C$79,C338)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SUMIFS(RAB!$F$14:$F$79,RAB!$C$14:$C$79,C339)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SUMIFS(RAB!$F$14:$F$79,RAB!$C$14:$C$79,C340)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SUMIFS(RAB!$F$14:$F$79,RAB!$C$14:$C$79,C341)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SUMIFS(RAB!$F$14:$F$79,RAB!$C$14:$C$79,C342)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SUMIFS(RAB!$F$14:$F$79,RAB!$C$14:$C$79,C343)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SUMIFS(RAB!$F$14:$F$79,RAB!$C$14:$C$79,C344)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SUMIFS(RAB!$F$14:$F$79,RAB!$C$14:$C$79,C345)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SUMIFS(RAB!$F$14:$F$79,RAB!$C$14:$C$79,C346)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SUMIFS(RAB!$F$14:$F$79,RAB!$C$14:$C$79,C347)</f>
        <v>40</v>
      </c>
      <c r="E347" s="24">
        <f t="shared" ca="1" si="22"/>
        <v>1</v>
      </c>
      <c r="F347" s="24">
        <f ca="1">IF(D347=0,0,SUM($E$223:E347))</f>
        <v>5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SUMIFS(RAB!$F$14:$F$79,RAB!$C$14:$C$79,C348)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SUMIFS(RAB!$F$14:$F$79,RAB!$C$14:$C$79,C349)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SUMIFS(RAB!$F$14:$F$79,RAB!$C$14:$C$79,C350)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SUMIFS(RAB!$F$14:$F$79,RAB!$C$14:$C$79,C351)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SUMIFS(RAB!$F$14:$F$79,RAB!$C$14:$C$79,C352)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SUMIFS(RAB!$F$14:$F$79,RAB!$C$14:$C$79,C353)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SUMIFS(RAB!$F$14:$F$79,RAB!$C$14:$C$79,C354)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SUMIFS(RAB!$F$14:$F$79,RAB!$C$14:$C$79,C355)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SUMIFS(RAB!$F$14:$F$79,RAB!$C$14:$C$79,C356)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SUMIFS(RAB!$F$14:$F$79,RAB!$C$14:$C$79,C357)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SUMIFS(RAB!$F$14:$F$79,RAB!$C$14:$C$79,C358)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SUMIFS(RAB!$F$14:$F$79,RAB!$C$14:$C$79,C359)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SUMIFS(RAB!$F$14:$F$79,RAB!$C$14:$C$79,C360)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SUMIFS(RAB!$F$14:$F$79,RAB!$C$14:$C$79,C361)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SUMIFS(RAB!$F$14:$F$79,RAB!$C$14:$C$79,C362)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SUMIFS(RAB!$F$14:$F$79,RAB!$C$14:$C$79,C363)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SUMIFS(RAB!$F$14:$F$79,RAB!$C$14:$C$79,C364)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SUMIFS(RAB!$F$14:$F$79,RAB!$C$14:$C$79,C365)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SUMIFS(RAB!$F$14:$F$79,RAB!$C$14:$C$79,C366)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SUMIFS(RAB!$F$14:$F$79,RAB!$C$14:$C$79,C367)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SUMIFS(RAB!$F$14:$F$79,RAB!$C$14:$C$79,C368)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SUMIFS(RAB!$F$14:$F$79,RAB!$C$14:$C$79,C369)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SUMIFS(RAB!$F$14:$F$79,RAB!$C$14:$C$79,C370)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SUMIFS(RAB!$F$14:$F$79,RAB!$C$14:$C$79,C371)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SUMIFS(RAB!$F$14:$F$79,RAB!$C$14:$C$79,C372)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SUMIFS(RAB!$F$14:$F$79,RAB!$C$14:$C$79,C373)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85" t="s">
        <v>41</v>
      </c>
      <c r="C2" s="58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86" t="s">
        <v>23</v>
      </c>
      <c r="C4" s="587" t="s">
        <v>1012</v>
      </c>
      <c r="D4" s="587" t="s">
        <v>42</v>
      </c>
      <c r="E4" s="586" t="s">
        <v>43</v>
      </c>
      <c r="F4" s="108" t="s">
        <v>1599</v>
      </c>
      <c r="G4" s="108" t="s">
        <v>1598</v>
      </c>
      <c r="H4" s="584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86"/>
      <c r="C5" s="587"/>
      <c r="D5" s="587"/>
      <c r="E5" s="586"/>
      <c r="F5" s="93"/>
      <c r="G5" s="93"/>
      <c r="H5" s="584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2" t="s">
        <v>1453</v>
      </c>
      <c r="C2" s="592"/>
      <c r="D2" s="592"/>
      <c r="E2" s="592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7" t="s">
        <v>1528</v>
      </c>
      <c r="C4" s="598"/>
      <c r="D4" s="598"/>
      <c r="E4" s="599"/>
      <c r="F4" s="372"/>
      <c r="G4" s="372"/>
      <c r="H4" s="373"/>
      <c r="I4" s="624" t="s">
        <v>1529</v>
      </c>
      <c r="J4" s="625"/>
      <c r="K4" s="625"/>
      <c r="L4" s="626"/>
    </row>
    <row r="5" spans="1:12" ht="34.5" customHeight="1">
      <c r="A5" s="193"/>
      <c r="B5" s="375" t="s">
        <v>1378</v>
      </c>
      <c r="C5" s="224" t="s">
        <v>9</v>
      </c>
      <c r="D5" s="593" t="str">
        <f>DATA!D14</f>
        <v>PB TRI WAHYUNINGSIH</v>
      </c>
      <c r="E5" s="594"/>
      <c r="F5" s="197"/>
      <c r="G5" s="197"/>
      <c r="I5" s="376" t="s">
        <v>1378</v>
      </c>
      <c r="J5" s="224" t="s">
        <v>9</v>
      </c>
      <c r="K5" s="627" t="str">
        <f>D5</f>
        <v>PB TRI WAHYUNINGSIH</v>
      </c>
      <c r="L5" s="628"/>
    </row>
    <row r="6" spans="1:12" ht="31.5" customHeight="1">
      <c r="A6" s="193"/>
      <c r="B6" s="375" t="s">
        <v>1525</v>
      </c>
      <c r="C6" s="224" t="s">
        <v>9</v>
      </c>
      <c r="D6" s="602">
        <f>DATA!D17*1000</f>
        <v>0</v>
      </c>
      <c r="E6" s="603"/>
      <c r="F6" s="197"/>
      <c r="G6" s="197"/>
      <c r="I6" s="376" t="s">
        <v>1526</v>
      </c>
      <c r="J6" s="224" t="s">
        <v>9</v>
      </c>
      <c r="K6" s="629">
        <f>DATA!D20*1000</f>
        <v>33000</v>
      </c>
      <c r="L6" s="630"/>
    </row>
    <row r="7" spans="1:12" ht="30.75" customHeight="1">
      <c r="A7" s="193"/>
      <c r="B7" s="375" t="s">
        <v>1440</v>
      </c>
      <c r="C7" s="224" t="s">
        <v>9</v>
      </c>
      <c r="D7" s="600">
        <f>DATA!D18</f>
        <v>1</v>
      </c>
      <c r="E7" s="601"/>
      <c r="F7" s="374" t="s">
        <v>1452</v>
      </c>
      <c r="I7" s="376" t="s">
        <v>1440</v>
      </c>
      <c r="J7" s="224" t="s">
        <v>9</v>
      </c>
      <c r="K7" s="631">
        <f>DATA!D21</f>
        <v>3</v>
      </c>
      <c r="L7" s="632"/>
    </row>
    <row r="8" spans="1:12" ht="51" customHeight="1">
      <c r="A8" s="193"/>
      <c r="B8" s="375" t="s">
        <v>1441</v>
      </c>
      <c r="C8" s="224" t="s">
        <v>9</v>
      </c>
      <c r="D8" s="600">
        <f>DATA!D19</f>
        <v>220</v>
      </c>
      <c r="E8" s="601"/>
      <c r="F8" s="374" t="s">
        <v>1452</v>
      </c>
      <c r="G8" s="369">
        <v>220</v>
      </c>
      <c r="I8" s="376" t="s">
        <v>1441</v>
      </c>
      <c r="J8" s="224" t="s">
        <v>9</v>
      </c>
      <c r="K8" s="631">
        <f>DATA!D22</f>
        <v>380</v>
      </c>
      <c r="L8" s="632"/>
    </row>
    <row r="9" spans="1:12" ht="30" customHeight="1" thickBot="1">
      <c r="A9" s="193"/>
      <c r="B9" s="381" t="s">
        <v>1537</v>
      </c>
      <c r="C9" s="371" t="s">
        <v>9</v>
      </c>
      <c r="D9" s="595">
        <f>IF(D7=1,D6/(380/3^0.5),(D6/(380*3^0.5)))</f>
        <v>0</v>
      </c>
      <c r="E9" s="596"/>
      <c r="F9" s="196"/>
      <c r="G9" s="370">
        <v>380</v>
      </c>
      <c r="I9" s="382" t="s">
        <v>1537</v>
      </c>
      <c r="J9" s="371" t="s">
        <v>9</v>
      </c>
      <c r="K9" s="633">
        <f>IF(K7=1,K6/(380/3^0.5),(K6/(380*3^0.5)))</f>
        <v>50.138312850678034</v>
      </c>
      <c r="L9" s="634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4" t="s">
        <v>1630</v>
      </c>
      <c r="E12" s="605"/>
      <c r="F12" s="197"/>
      <c r="G12" s="197"/>
      <c r="I12" s="398" t="s">
        <v>1530</v>
      </c>
      <c r="J12" s="399" t="s">
        <v>9</v>
      </c>
      <c r="K12" s="604" t="s">
        <v>1630</v>
      </c>
      <c r="L12" s="605"/>
    </row>
    <row r="13" spans="1:12" ht="31.5" customHeight="1">
      <c r="A13" s="193"/>
      <c r="B13" s="406" t="s">
        <v>1379</v>
      </c>
      <c r="C13" s="386" t="s">
        <v>9</v>
      </c>
      <c r="D13" s="608" t="s">
        <v>1631</v>
      </c>
      <c r="E13" s="609"/>
      <c r="F13" s="197"/>
      <c r="G13" s="197"/>
      <c r="I13" s="400" t="s">
        <v>1379</v>
      </c>
      <c r="J13" s="386" t="s">
        <v>9</v>
      </c>
      <c r="K13" s="608" t="s">
        <v>1631</v>
      </c>
      <c r="L13" s="609"/>
    </row>
    <row r="14" spans="1:12" ht="30.75" customHeight="1">
      <c r="A14" s="193"/>
      <c r="B14" s="406" t="s">
        <v>1531</v>
      </c>
      <c r="C14" s="386" t="s">
        <v>9</v>
      </c>
      <c r="D14" s="616">
        <v>50</v>
      </c>
      <c r="E14" s="617"/>
      <c r="F14" s="374" t="s">
        <v>1452</v>
      </c>
      <c r="G14" s="378">
        <v>50</v>
      </c>
      <c r="I14" s="400" t="s">
        <v>1531</v>
      </c>
      <c r="J14" s="386" t="s">
        <v>9</v>
      </c>
      <c r="K14" s="618">
        <v>100</v>
      </c>
      <c r="L14" s="619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620">
        <f>54+58+57</f>
        <v>169</v>
      </c>
      <c r="E16" s="621"/>
      <c r="F16" s="374"/>
      <c r="G16" s="378">
        <v>160</v>
      </c>
      <c r="I16" s="400" t="s">
        <v>1533</v>
      </c>
      <c r="J16" s="386" t="s">
        <v>9</v>
      </c>
      <c r="K16" s="622">
        <f>K9</f>
        <v>50.138312850678034</v>
      </c>
      <c r="L16" s="623"/>
    </row>
    <row r="17" spans="1:12" ht="34.5" customHeight="1">
      <c r="A17" s="193"/>
      <c r="B17" s="406" t="s">
        <v>1534</v>
      </c>
      <c r="C17" s="386" t="s">
        <v>9</v>
      </c>
      <c r="D17" s="610">
        <f>IF(D15=1,D14/(20/3^0.5),(D14/(20*3^0.5)))</f>
        <v>1.4433756729740645</v>
      </c>
      <c r="E17" s="611"/>
      <c r="F17" s="374" t="s">
        <v>1452</v>
      </c>
      <c r="G17" s="379">
        <v>200</v>
      </c>
      <c r="I17" s="400" t="s">
        <v>1534</v>
      </c>
      <c r="J17" s="386" t="s">
        <v>9</v>
      </c>
      <c r="K17" s="614">
        <f>IF(K15=1,K14/(20/3^0.5),(K14/(20*3^0.5)))</f>
        <v>2.8867513459481291</v>
      </c>
      <c r="L17" s="615"/>
    </row>
    <row r="18" spans="1:12" ht="34.5" customHeight="1">
      <c r="A18" s="193"/>
      <c r="B18" s="406" t="s">
        <v>1535</v>
      </c>
      <c r="C18" s="386" t="s">
        <v>9</v>
      </c>
      <c r="D18" s="610">
        <f>IF(D15=1,D14/(380/3^0.5),(D14/(380*3^0.5)))*1000</f>
        <v>75.96714068284551</v>
      </c>
      <c r="E18" s="611"/>
      <c r="F18" s="374" t="s">
        <v>1452</v>
      </c>
      <c r="G18" s="379">
        <v>250</v>
      </c>
      <c r="I18" s="400" t="s">
        <v>1535</v>
      </c>
      <c r="J18" s="386" t="s">
        <v>9</v>
      </c>
      <c r="K18" s="614">
        <f>IF(K15=1,K14/(380/3^0.5),(K14/(380*3^0.5)))*1000</f>
        <v>151.93428136569102</v>
      </c>
      <c r="L18" s="615"/>
    </row>
    <row r="19" spans="1:12" ht="30" customHeight="1">
      <c r="A19" s="193"/>
      <c r="B19" s="407" t="s">
        <v>1527</v>
      </c>
      <c r="C19" s="385" t="s">
        <v>9</v>
      </c>
      <c r="D19" s="610">
        <f>IF(D15=1,D14/(380/3^0.5),(D14/(380*3^0.5)))</f>
        <v>7.5967140682845505E-2</v>
      </c>
      <c r="E19" s="611"/>
      <c r="F19" s="196"/>
      <c r="G19" s="370"/>
      <c r="I19" s="402" t="s">
        <v>1527</v>
      </c>
      <c r="J19" s="385" t="s">
        <v>9</v>
      </c>
      <c r="K19" s="614">
        <f>IF(K15=1,K14/(380/3^0.5),(K14/(380*3^0.5)))</f>
        <v>0.15193428136569101</v>
      </c>
      <c r="L19" s="615"/>
    </row>
    <row r="20" spans="1:12" ht="30" customHeight="1" thickBot="1">
      <c r="A20" s="193"/>
      <c r="B20" s="408" t="s">
        <v>1536</v>
      </c>
      <c r="C20" s="404" t="s">
        <v>9</v>
      </c>
      <c r="D20" s="606">
        <f>D16/D18</f>
        <v>2.2246460572414657</v>
      </c>
      <c r="E20" s="607"/>
      <c r="F20" s="196"/>
      <c r="G20" s="370"/>
      <c r="I20" s="403" t="s">
        <v>1527</v>
      </c>
      <c r="J20" s="404" t="s">
        <v>9</v>
      </c>
      <c r="K20" s="612">
        <f>K16/K18</f>
        <v>0.32999999999999996</v>
      </c>
      <c r="L20" s="613"/>
    </row>
    <row r="21" spans="1:12" ht="9.75" customHeight="1">
      <c r="A21" s="193"/>
      <c r="B21" s="393" t="s">
        <v>1536</v>
      </c>
      <c r="C21" s="394" t="s">
        <v>9</v>
      </c>
      <c r="D21" s="591">
        <v>1</v>
      </c>
      <c r="E21" s="591"/>
      <c r="F21" s="395"/>
      <c r="G21" s="396"/>
      <c r="H21" s="397"/>
      <c r="I21" s="393" t="s">
        <v>1527</v>
      </c>
      <c r="J21" s="394" t="s">
        <v>9</v>
      </c>
      <c r="K21" s="591">
        <v>1</v>
      </c>
      <c r="L21" s="591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8"/>
      <c r="C24" s="589"/>
      <c r="D24" s="589"/>
      <c r="E24" s="590"/>
      <c r="I24" s="588"/>
      <c r="J24" s="589"/>
      <c r="K24" s="589"/>
      <c r="L24" s="590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35"/>
      <c r="C1" s="635"/>
      <c r="D1" s="635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RAB!K85</f>
        <v>83455656.609749988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1669113.1321949998</v>
      </c>
    </row>
    <row r="12" spans="2:11" ht="9" customHeight="1">
      <c r="B12" s="636"/>
      <c r="C12" s="636"/>
      <c r="D12" s="636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TRI WAHYUNINGSIH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1637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1458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972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37" t="s">
        <v>1356</v>
      </c>
      <c r="C3" s="637"/>
      <c r="D3" s="637"/>
      <c r="E3" s="637"/>
      <c r="F3" s="252" t="str">
        <f>DATA!D14</f>
        <v>PB TRI WAHYUNINGSIH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38" t="s">
        <v>1348</v>
      </c>
      <c r="C5" s="638" t="s">
        <v>1357</v>
      </c>
      <c r="D5" s="639" t="s">
        <v>1358</v>
      </c>
      <c r="E5" s="639" t="s">
        <v>1359</v>
      </c>
      <c r="F5" s="638" t="s">
        <v>1360</v>
      </c>
      <c r="G5" s="638"/>
      <c r="H5" s="638"/>
      <c r="I5" s="638"/>
      <c r="J5" s="638"/>
      <c r="K5" s="638" t="s">
        <v>1361</v>
      </c>
      <c r="L5" s="638"/>
      <c r="M5" s="254"/>
      <c r="N5" s="642" t="s">
        <v>1362</v>
      </c>
      <c r="O5" s="639" t="s">
        <v>1363</v>
      </c>
      <c r="P5" s="639" t="s">
        <v>1364</v>
      </c>
      <c r="Q5" s="639" t="s">
        <v>1365</v>
      </c>
      <c r="R5" s="255"/>
      <c r="S5" s="256"/>
      <c r="T5" s="640" t="s">
        <v>1366</v>
      </c>
      <c r="U5" s="257"/>
    </row>
    <row r="6" spans="1:21" ht="20.100000000000001" customHeight="1">
      <c r="B6" s="638"/>
      <c r="C6" s="638"/>
      <c r="D6" s="638"/>
      <c r="E6" s="63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43"/>
      <c r="O6" s="638"/>
      <c r="P6" s="638"/>
      <c r="Q6" s="638"/>
      <c r="R6" s="255"/>
      <c r="S6" s="256"/>
      <c r="T6" s="638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83.455656609749994</v>
      </c>
      <c r="G7" s="265">
        <f ca="1">DATA!$D$11/1000000</f>
        <v>1.6691131321949999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90.977744039677475</v>
      </c>
      <c r="K7" s="266">
        <f>DATA!D9/1000000</f>
        <v>31.977</v>
      </c>
      <c r="L7" s="263">
        <f>((D7*DATA!$D$23)/1000000)+((E7*DATA!$D$24)/1000000)</f>
        <v>5.5598399999999994</v>
      </c>
      <c r="M7" s="263">
        <f>K7+L7</f>
        <v>37.536839999999998</v>
      </c>
      <c r="N7" s="263">
        <f ca="1">M7-J7</f>
        <v>-53.440904039677477</v>
      </c>
      <c r="O7" s="261">
        <v>1</v>
      </c>
      <c r="P7" s="263">
        <f ca="1">O7*N7</f>
        <v>-53.440904039677477</v>
      </c>
      <c r="Q7" s="263">
        <f ca="1">P7</f>
        <v>-53.440904039677477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1.6691131321949999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19.22803602539247</v>
      </c>
      <c r="K8" s="268"/>
      <c r="L8" s="263">
        <f>((D8*DATA!$D$23)/1000000)+((E8*DATA!$D$24)/1000000)</f>
        <v>16.67952</v>
      </c>
      <c r="M8" s="263">
        <f t="shared" ref="M8:M32" si="2">K8+L8</f>
        <v>16.67952</v>
      </c>
      <c r="N8" s="263">
        <f ca="1">M8-J8</f>
        <v>-2.5485160253924697</v>
      </c>
      <c r="O8" s="262">
        <f>1/(1+'[94]Asumsi I'!$C$3)^(KKF!A8)</f>
        <v>0.89285714285714279</v>
      </c>
      <c r="P8" s="263">
        <f ca="1">O8*N8</f>
        <v>-2.2754607369575619</v>
      </c>
      <c r="Q8" s="263">
        <f ca="1">Q7+P8</f>
        <v>-55.716364776635039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1.6691131321949999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19.22803602539247</v>
      </c>
      <c r="K9" s="263"/>
      <c r="L9" s="263">
        <f>((D9*DATA!$D$23)/1000000)+((E9*DATA!$D$24)/1000000)</f>
        <v>16.67952</v>
      </c>
      <c r="M9" s="263">
        <f t="shared" si="2"/>
        <v>16.67952</v>
      </c>
      <c r="N9" s="263">
        <f t="shared" ref="N9:N32" ca="1" si="6">M9-J9</f>
        <v>-2.5485160253924697</v>
      </c>
      <c r="O9" s="269">
        <f>1/(1+'[94]Asumsi I'!$C$3)^(KKF!A9)</f>
        <v>0.79719387755102034</v>
      </c>
      <c r="P9" s="263">
        <f t="shared" ref="P9:P32" ca="1" si="7">O9*N9</f>
        <v>-2.0316613722835375</v>
      </c>
      <c r="Q9" s="263">
        <f ca="1">Q8+P9</f>
        <v>-57.748026148918576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1.6691131321949999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19.22803602539247</v>
      </c>
      <c r="K10" s="261"/>
      <c r="L10" s="263">
        <f>((D10*DATA!$D$23)/1000000)+((E10*DATA!$D$24)/1000000)</f>
        <v>16.67952</v>
      </c>
      <c r="M10" s="263">
        <f t="shared" si="2"/>
        <v>16.67952</v>
      </c>
      <c r="N10" s="263">
        <f t="shared" ca="1" si="6"/>
        <v>-2.5485160253924697</v>
      </c>
      <c r="O10" s="262">
        <f>1/(1+'[94]Asumsi I'!$C$3)^(KKF!A10)</f>
        <v>0.71178024781341087</v>
      </c>
      <c r="P10" s="263">
        <f t="shared" ca="1" si="7"/>
        <v>-1.813983368110301</v>
      </c>
      <c r="Q10" s="263">
        <f t="shared" ref="Q10:Q30" ca="1" si="9">Q9+P10</f>
        <v>-59.562009517028876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1.6691131321949999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19.22803602539247</v>
      </c>
      <c r="K11" s="261"/>
      <c r="L11" s="263">
        <f>((D11*DATA!$D$23)/1000000)+((E11*DATA!$D$24)/1000000)</f>
        <v>16.67952</v>
      </c>
      <c r="M11" s="263">
        <f t="shared" si="2"/>
        <v>16.67952</v>
      </c>
      <c r="N11" s="263">
        <f t="shared" ca="1" si="6"/>
        <v>-2.5485160253924697</v>
      </c>
      <c r="O11" s="262">
        <f>1/(1+'[94]Asumsi I'!$C$3)^(KKF!A11)</f>
        <v>0.63551807840483121</v>
      </c>
      <c r="P11" s="263">
        <f t="shared" ca="1" si="7"/>
        <v>-1.6196280072413403</v>
      </c>
      <c r="Q11" s="263">
        <f t="shared" ca="1" si="9"/>
        <v>-61.181637524270215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1.6691131321949999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19.22803602539247</v>
      </c>
      <c r="K12" s="261"/>
      <c r="L12" s="263">
        <f>((D12*DATA!$D$23)/1000000)+((E12*DATA!$D$24)/1000000)</f>
        <v>16.67952</v>
      </c>
      <c r="M12" s="263">
        <f t="shared" si="2"/>
        <v>16.67952</v>
      </c>
      <c r="N12" s="263">
        <f t="shared" ca="1" si="6"/>
        <v>-2.5485160253924697</v>
      </c>
      <c r="O12" s="262">
        <f>1/(1+'[94]Asumsi I'!$C$3)^(KKF!A12)</f>
        <v>0.56742685571859919</v>
      </c>
      <c r="P12" s="263">
        <f t="shared" ca="1" si="7"/>
        <v>-1.4460964350369108</v>
      </c>
      <c r="Q12" s="263">
        <f t="shared" ca="1" si="9"/>
        <v>-62.627733959307129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1.6691131321949999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19.22803602539247</v>
      </c>
      <c r="K13" s="261"/>
      <c r="L13" s="263">
        <f>((D13*DATA!$D$23)/1000000)+((E13*DATA!$D$24)/1000000)</f>
        <v>16.67952</v>
      </c>
      <c r="M13" s="263">
        <f t="shared" si="2"/>
        <v>16.67952</v>
      </c>
      <c r="N13" s="263">
        <f t="shared" ca="1" si="6"/>
        <v>-2.5485160253924697</v>
      </c>
      <c r="O13" s="262">
        <f>1/(1+'[94]Asumsi I'!$C$3)^(KKF!A13)</f>
        <v>0.50663112117732068</v>
      </c>
      <c r="P13" s="263">
        <f t="shared" ca="1" si="7"/>
        <v>-1.291157531282956</v>
      </c>
      <c r="Q13" s="263">
        <f t="shared" ca="1" si="9"/>
        <v>-63.918891490590084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1.6691131321949999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19.22803602539247</v>
      </c>
      <c r="K14" s="261"/>
      <c r="L14" s="263">
        <f>((D14*DATA!$D$23)/1000000)+((E14*DATA!$D$24)/1000000)</f>
        <v>16.67952</v>
      </c>
      <c r="M14" s="263">
        <f t="shared" si="2"/>
        <v>16.67952</v>
      </c>
      <c r="N14" s="263">
        <f t="shared" ca="1" si="6"/>
        <v>-2.5485160253924697</v>
      </c>
      <c r="O14" s="262">
        <f>1/(1+'[94]Asumsi I'!$C$3)^(KKF!A14)</f>
        <v>0.45234921533689343</v>
      </c>
      <c r="P14" s="263">
        <f t="shared" ca="1" si="7"/>
        <v>-1.1528192243597821</v>
      </c>
      <c r="Q14" s="263">
        <f t="shared" ca="1" si="9"/>
        <v>-65.071710714949873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1.6691131321949999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19.22803602539247</v>
      </c>
      <c r="K15" s="261"/>
      <c r="L15" s="263">
        <f>((D15*DATA!$D$23)/1000000)+((E15*DATA!$D$24)/1000000)</f>
        <v>16.67952</v>
      </c>
      <c r="M15" s="263">
        <f t="shared" si="2"/>
        <v>16.67952</v>
      </c>
      <c r="N15" s="263">
        <f t="shared" ca="1" si="6"/>
        <v>-2.5485160253924697</v>
      </c>
      <c r="O15" s="262">
        <f>1/(1+'[94]Asumsi I'!$C$3)^(KKF!A15)</f>
        <v>0.4038832279793691</v>
      </c>
      <c r="P15" s="263">
        <f t="shared" ca="1" si="7"/>
        <v>-1.0293028788926624</v>
      </c>
      <c r="Q15" s="263">
        <f t="shared" ca="1" si="9"/>
        <v>-66.101013593842538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1.6691131321949999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19.22803602539247</v>
      </c>
      <c r="K16" s="261"/>
      <c r="L16" s="263">
        <f>((D16*DATA!$D$23)/1000000)+((E16*DATA!$D$24)/1000000)</f>
        <v>16.67952</v>
      </c>
      <c r="M16" s="263">
        <f t="shared" si="2"/>
        <v>16.67952</v>
      </c>
      <c r="N16" s="263">
        <f t="shared" ca="1" si="6"/>
        <v>-2.5485160253924697</v>
      </c>
      <c r="O16" s="262">
        <f>1/(1+'[94]Asumsi I'!$C$3)^(KKF!A16)</f>
        <v>0.36061002498157957</v>
      </c>
      <c r="P16" s="263">
        <f t="shared" ca="1" si="7"/>
        <v>-0.91902042758273439</v>
      </c>
      <c r="Q16" s="263">
        <f t="shared" ca="1" si="9"/>
        <v>-67.020034021425275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1.6691131321949999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19.22803602539247</v>
      </c>
      <c r="K17" s="261"/>
      <c r="L17" s="263">
        <f>((D17*DATA!$D$23)/1000000)+((E17*DATA!$D$24)/1000000)</f>
        <v>16.67952</v>
      </c>
      <c r="M17" s="263">
        <f t="shared" si="2"/>
        <v>16.67952</v>
      </c>
      <c r="N17" s="263">
        <f t="shared" ca="1" si="6"/>
        <v>-2.5485160253924697</v>
      </c>
      <c r="O17" s="262">
        <f>1/(1+'[94]Asumsi I'!$C$3)^(KKF!A17)</f>
        <v>0.32197323659069599</v>
      </c>
      <c r="P17" s="263">
        <f t="shared" ca="1" si="7"/>
        <v>-0.82055395319886981</v>
      </c>
      <c r="Q17" s="263">
        <f t="shared" ca="1" si="9"/>
        <v>-67.840587974624142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1.6691131321949999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19.22803602539247</v>
      </c>
      <c r="K18" s="261"/>
      <c r="L18" s="263">
        <f>((D18*DATA!$D$23)/1000000)+((E18*DATA!$D$24)/1000000)</f>
        <v>16.67952</v>
      </c>
      <c r="M18" s="263">
        <f t="shared" si="2"/>
        <v>16.67952</v>
      </c>
      <c r="N18" s="263">
        <f t="shared" ca="1" si="6"/>
        <v>-2.5485160253924697</v>
      </c>
      <c r="O18" s="262">
        <f>1/(1+'[94]Asumsi I'!$C$3)^(KKF!A18)</f>
        <v>0.28747610409883567</v>
      </c>
      <c r="P18" s="263">
        <f t="shared" ca="1" si="7"/>
        <v>-0.73263745821327653</v>
      </c>
      <c r="Q18" s="263">
        <f t="shared" ca="1" si="9"/>
        <v>-68.573225432837418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1.6691131321949999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19.22803602539247</v>
      </c>
      <c r="K19" s="261"/>
      <c r="L19" s="263">
        <f>((D19*DATA!$D$23)/1000000)+((E19*DATA!$D$24)/1000000)</f>
        <v>16.67952</v>
      </c>
      <c r="M19" s="263">
        <f t="shared" si="2"/>
        <v>16.67952</v>
      </c>
      <c r="N19" s="263">
        <f t="shared" ca="1" si="6"/>
        <v>-2.5485160253924697</v>
      </c>
      <c r="O19" s="262">
        <f>1/(1+'[94]Asumsi I'!$C$3)^(KKF!A19)</f>
        <v>0.25667509294538904</v>
      </c>
      <c r="P19" s="263">
        <f t="shared" ca="1" si="7"/>
        <v>-0.6541405876904256</v>
      </c>
      <c r="Q19" s="263">
        <f t="shared" ca="1" si="9"/>
        <v>-69.227366020527839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1.6691131321949999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19.22803602539247</v>
      </c>
      <c r="K20" s="261"/>
      <c r="L20" s="263">
        <f>((D20*DATA!$D$23)/1000000)+((E20*DATA!$D$24)/1000000)</f>
        <v>16.67952</v>
      </c>
      <c r="M20" s="263">
        <f t="shared" si="2"/>
        <v>16.67952</v>
      </c>
      <c r="N20" s="263">
        <f t="shared" ca="1" si="6"/>
        <v>-2.5485160253924697</v>
      </c>
      <c r="O20" s="262">
        <f>1/(1+'[94]Asumsi I'!$C$3)^(KKF!A20)</f>
        <v>0.22917419012981158</v>
      </c>
      <c r="P20" s="263">
        <f t="shared" ca="1" si="7"/>
        <v>-0.58405409615216552</v>
      </c>
      <c r="Q20" s="263">
        <f t="shared" ca="1" si="9"/>
        <v>-69.811420116680011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1.6691131321949999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19.22803602539247</v>
      </c>
      <c r="K21" s="261"/>
      <c r="L21" s="263">
        <f>((D21*DATA!$D$23)/1000000)+((E21*DATA!$D$24)/1000000)</f>
        <v>16.67952</v>
      </c>
      <c r="M21" s="263">
        <f t="shared" si="2"/>
        <v>16.67952</v>
      </c>
      <c r="N21" s="263">
        <f t="shared" ca="1" si="6"/>
        <v>-2.5485160253924697</v>
      </c>
      <c r="O21" s="262">
        <f>1/(1+'[94]Asumsi I'!$C$3)^(KKF!A21)</f>
        <v>0.20461981261590317</v>
      </c>
      <c r="P21" s="263">
        <f t="shared" ca="1" si="7"/>
        <v>-0.52147687156443345</v>
      </c>
      <c r="Q21" s="263">
        <f t="shared" ca="1" si="9"/>
        <v>-70.332896988244443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1.6691131321949999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19.22803602539247</v>
      </c>
      <c r="K22" s="261"/>
      <c r="L22" s="263">
        <f>((D22*DATA!$D$23)/1000000)+((E22*DATA!$D$24)/1000000)</f>
        <v>16.67952</v>
      </c>
      <c r="M22" s="263">
        <f t="shared" si="2"/>
        <v>16.67952</v>
      </c>
      <c r="N22" s="263">
        <f t="shared" ca="1" si="6"/>
        <v>-2.5485160253924697</v>
      </c>
      <c r="O22" s="262">
        <f>1/(1+'[94]Asumsi I'!$C$3)^(KKF!A22)</f>
        <v>0.18269626126419927</v>
      </c>
      <c r="P22" s="263">
        <f t="shared" ca="1" si="7"/>
        <v>-0.46560434961110136</v>
      </c>
      <c r="Q22" s="263">
        <f t="shared" ca="1" si="9"/>
        <v>-70.798501337855541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1.6691131321949999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19.22803602539247</v>
      </c>
      <c r="K23" s="261"/>
      <c r="L23" s="263">
        <f>((D23*DATA!$D$23)/1000000)+((E23*DATA!$D$24)/1000000)</f>
        <v>16.67952</v>
      </c>
      <c r="M23" s="263">
        <f t="shared" si="2"/>
        <v>16.67952</v>
      </c>
      <c r="N23" s="263">
        <f t="shared" ca="1" si="6"/>
        <v>-2.5485160253924697</v>
      </c>
      <c r="O23" s="262">
        <f>1/(1+'[94]Asumsi I'!$C$3)^(KKF!A23)</f>
        <v>0.16312166184303503</v>
      </c>
      <c r="P23" s="263">
        <f t="shared" ca="1" si="7"/>
        <v>-0.41571816929562611</v>
      </c>
      <c r="Q23" s="263">
        <f t="shared" ca="1" si="9"/>
        <v>-71.214219507151171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1.6691131321949999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19.22803602539247</v>
      </c>
      <c r="K24" s="261"/>
      <c r="L24" s="263">
        <f>((D24*DATA!$D$23)/1000000)+((E24*DATA!$D$24)/1000000)</f>
        <v>16.67952</v>
      </c>
      <c r="M24" s="263">
        <f t="shared" si="2"/>
        <v>16.67952</v>
      </c>
      <c r="N24" s="263">
        <f t="shared" ca="1" si="6"/>
        <v>-2.5485160253924697</v>
      </c>
      <c r="O24" s="262">
        <f>1/(1+'[94]Asumsi I'!$C$3)^(KKF!A24)</f>
        <v>0.14564434093128129</v>
      </c>
      <c r="P24" s="263">
        <f t="shared" ca="1" si="7"/>
        <v>-0.37117693687109476</v>
      </c>
      <c r="Q24" s="263">
        <f t="shared" ca="1" si="9"/>
        <v>-71.585396444022265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1.6691131321949999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19.22803602539247</v>
      </c>
      <c r="K25" s="261"/>
      <c r="L25" s="263">
        <f>((D25*DATA!$D$23)/1000000)+((E25*DATA!$D$24)/1000000)</f>
        <v>16.67952</v>
      </c>
      <c r="M25" s="263">
        <f t="shared" si="2"/>
        <v>16.67952</v>
      </c>
      <c r="N25" s="263">
        <f t="shared" ca="1" si="6"/>
        <v>-2.5485160253924697</v>
      </c>
      <c r="O25" s="262">
        <f>1/(1+'[94]Asumsi I'!$C$3)^(KKF!A25)</f>
        <v>0.13003959011721541</v>
      </c>
      <c r="P25" s="263">
        <f t="shared" ca="1" si="7"/>
        <v>-0.33140797934919169</v>
      </c>
      <c r="Q25" s="263">
        <f t="shared" ca="1" si="9"/>
        <v>-71.91680442337146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1.6691131321949999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19.22803602539247</v>
      </c>
      <c r="K26" s="261"/>
      <c r="L26" s="263">
        <f>((D26*DATA!$D$23)/1000000)+((E26*DATA!$D$24)/1000000)</f>
        <v>16.67952</v>
      </c>
      <c r="M26" s="263">
        <f t="shared" si="2"/>
        <v>16.67952</v>
      </c>
      <c r="N26" s="263">
        <f t="shared" ca="1" si="6"/>
        <v>-2.5485160253924697</v>
      </c>
      <c r="O26" s="262">
        <f>1/(1+'[94]Asumsi I'!$C$3)^(KKF!A26)</f>
        <v>0.1161067768903709</v>
      </c>
      <c r="P26" s="263">
        <f t="shared" ca="1" si="7"/>
        <v>-0.29589998156177827</v>
      </c>
      <c r="Q26" s="263">
        <f t="shared" ca="1" si="9"/>
        <v>-72.212704404933234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1.6691131321949999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19.22803602539247</v>
      </c>
      <c r="K27" s="261"/>
      <c r="L27" s="263">
        <f>((D27*DATA!$D$23)/1000000)+((E27*DATA!$D$24)/1000000)</f>
        <v>16.67952</v>
      </c>
      <c r="M27" s="263">
        <f t="shared" si="2"/>
        <v>16.67952</v>
      </c>
      <c r="N27" s="263">
        <f t="shared" ca="1" si="6"/>
        <v>-2.5485160253924697</v>
      </c>
      <c r="O27" s="262">
        <f>1/(1+'[94]Asumsi I'!$C$3)^(KKF!A27)</f>
        <v>0.1036667650806883</v>
      </c>
      <c r="P27" s="263">
        <f t="shared" ca="1" si="7"/>
        <v>-0.26419641210873063</v>
      </c>
      <c r="Q27" s="263">
        <f t="shared" ca="1" si="9"/>
        <v>-72.476900817041965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1.6691131321949999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19.22803602539247</v>
      </c>
      <c r="K28" s="261"/>
      <c r="L28" s="263">
        <f>((D28*DATA!$D$23)/1000000)+((E28*DATA!$D$24)/1000000)</f>
        <v>16.67952</v>
      </c>
      <c r="M28" s="263">
        <f t="shared" si="2"/>
        <v>16.67952</v>
      </c>
      <c r="N28" s="263">
        <f t="shared" ca="1" si="6"/>
        <v>-2.5485160253924697</v>
      </c>
      <c r="O28" s="262">
        <f>1/(1+'[94]Asumsi I'!$C$3)^(KKF!A28)</f>
        <v>9.2559611679185971E-2</v>
      </c>
      <c r="P28" s="263">
        <f t="shared" ca="1" si="7"/>
        <v>-0.23588965366850945</v>
      </c>
      <c r="Q28" s="263">
        <f t="shared" ca="1" si="9"/>
        <v>-72.712790470710473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1.6691131321949999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19.22803602539247</v>
      </c>
      <c r="K29" s="261"/>
      <c r="L29" s="263">
        <f>((D29*DATA!$D$23)/1000000)+((E29*DATA!$D$24)/1000000)</f>
        <v>16.67952</v>
      </c>
      <c r="M29" s="263">
        <f t="shared" si="2"/>
        <v>16.67952</v>
      </c>
      <c r="N29" s="263">
        <f t="shared" ca="1" si="6"/>
        <v>-2.5485160253924697</v>
      </c>
      <c r="O29" s="262">
        <f>1/(1+'[94]Asumsi I'!$C$3)^(KKF!A29)</f>
        <v>8.2642510427844609E-2</v>
      </c>
      <c r="P29" s="263">
        <f t="shared" ca="1" si="7"/>
        <v>-0.21061576220402628</v>
      </c>
      <c r="Q29" s="263">
        <f t="shared" ca="1" si="9"/>
        <v>-72.923406232914502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1.6691131321949999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19.22803602539247</v>
      </c>
      <c r="K30" s="261"/>
      <c r="L30" s="263">
        <f>((D30*DATA!$D$23)/1000000)+((E30*DATA!$D$24)/1000000)</f>
        <v>16.67952</v>
      </c>
      <c r="M30" s="263">
        <f t="shared" si="2"/>
        <v>16.67952</v>
      </c>
      <c r="N30" s="263">
        <f t="shared" ca="1" si="6"/>
        <v>-2.5485160253924697</v>
      </c>
      <c r="O30" s="262">
        <f>1/(1+'[94]Asumsi I'!$C$3)^(KKF!A30)</f>
        <v>7.3787955739146982E-2</v>
      </c>
      <c r="P30" s="263">
        <f t="shared" ca="1" si="7"/>
        <v>-0.18804978768216635</v>
      </c>
      <c r="Q30" s="263">
        <f t="shared" ca="1" si="9"/>
        <v>-73.111456020596663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1.6691131321949999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19.22803602539247</v>
      </c>
      <c r="K31" s="261"/>
      <c r="L31" s="263">
        <f>((D31*DATA!$D$23)/1000000)+((E31*DATA!$D$24)/1000000)</f>
        <v>16.67952</v>
      </c>
      <c r="M31" s="263">
        <f t="shared" si="2"/>
        <v>16.67952</v>
      </c>
      <c r="N31" s="263">
        <f t="shared" ca="1" si="6"/>
        <v>-2.5485160253924697</v>
      </c>
      <c r="O31" s="262">
        <f>1/(1+'[94]Asumsi I'!$C$3)^(KKF!A31)</f>
        <v>6.5882103338524081E-2</v>
      </c>
      <c r="P31" s="263">
        <f t="shared" ca="1" si="7"/>
        <v>-0.16790159614479136</v>
      </c>
      <c r="Q31" s="263">
        <f ca="1">Q30+P31</f>
        <v>-73.27935761674145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1.6691131321949999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19.22803602539247</v>
      </c>
      <c r="K32" s="261"/>
      <c r="L32" s="263">
        <f>((D32*DATA!$D$23)/1000000)+((E32*DATA!$D$24)/1000000)</f>
        <v>16.67952</v>
      </c>
      <c r="M32" s="263">
        <f t="shared" si="2"/>
        <v>16.67952</v>
      </c>
      <c r="N32" s="263">
        <f t="shared" ca="1" si="6"/>
        <v>-2.5485160253924697</v>
      </c>
      <c r="O32" s="262">
        <f>1/(1+'[94]Asumsi I'!$C$3)^(KKF!A32)</f>
        <v>5.8823306552253637E-2</v>
      </c>
      <c r="P32" s="263">
        <f t="shared" ca="1" si="7"/>
        <v>-0.14991213941499226</v>
      </c>
      <c r="Q32" s="263">
        <f ca="1">Q31+P32</f>
        <v>-73.429269756156444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41" t="s">
        <v>1373</v>
      </c>
      <c r="G33" s="641"/>
      <c r="H33" s="641"/>
      <c r="I33" s="271"/>
      <c r="J33" s="272">
        <f ca="1">SUM(J7:J32)</f>
        <v>571.67864467448965</v>
      </c>
      <c r="K33" s="641" t="s">
        <v>1374</v>
      </c>
      <c r="L33" s="641"/>
      <c r="M33" s="272">
        <f>SUM(M7:M32)</f>
        <v>454.52484000000027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-35.698321349840036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0.79507052473300621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-65.561847996568233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0"/>
  <sheetViews>
    <sheetView showGridLines="0" tabSelected="1" zoomScale="85" zoomScaleNormal="85" zoomScaleSheetLayoutView="70" workbookViewId="0">
      <pane ySplit="13" topLeftCell="A61" activePane="bottomLeft" state="frozen"/>
      <selection activeCell="H1093" sqref="H1093"/>
      <selection pane="bottomLeft" activeCell="C67" sqref="C6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4" t="s">
        <v>1036</v>
      </c>
      <c r="P3" s="644"/>
      <c r="Q3" s="293"/>
      <c r="T3" s="291"/>
      <c r="U3" s="292" t="s">
        <v>1041</v>
      </c>
      <c r="V3" s="291"/>
    </row>
    <row r="4" spans="1:22" ht="15.75" customHeight="1">
      <c r="B4" s="645" t="s">
        <v>1023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61" t="s">
        <v>1634</v>
      </c>
      <c r="H6" s="662"/>
      <c r="I6" s="662"/>
      <c r="J6" s="662"/>
      <c r="K6" s="66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7" t="s">
        <v>0</v>
      </c>
      <c r="C11" s="649" t="s">
        <v>1</v>
      </c>
      <c r="D11" s="652" t="s">
        <v>42</v>
      </c>
      <c r="E11" s="652" t="s">
        <v>43</v>
      </c>
      <c r="F11" s="652" t="s">
        <v>2</v>
      </c>
      <c r="G11" s="654" t="s">
        <v>41</v>
      </c>
      <c r="H11" s="652" t="s">
        <v>3</v>
      </c>
      <c r="I11" s="652"/>
      <c r="J11" s="652"/>
      <c r="K11" s="67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8"/>
      <c r="C12" s="650"/>
      <c r="D12" s="653"/>
      <c r="E12" s="653"/>
      <c r="F12" s="653"/>
      <c r="G12" s="655"/>
      <c r="H12" s="657" t="s">
        <v>46</v>
      </c>
      <c r="I12" s="657" t="s">
        <v>5</v>
      </c>
      <c r="J12" s="653" t="s">
        <v>47</v>
      </c>
      <c r="K12" s="67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8"/>
      <c r="C13" s="651"/>
      <c r="D13" s="653"/>
      <c r="E13" s="653"/>
      <c r="F13" s="653"/>
      <c r="G13" s="656"/>
      <c r="H13" s="658"/>
      <c r="I13" s="658"/>
      <c r="J13" s="653"/>
      <c r="K13" s="67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8" ca="1" si="0">IF(OR(D14="MDU",D14="MDU-KD"),(IF($O$3="RAB NON MDU","PLN KD",G14*F14)),0)</f>
        <v>0</v>
      </c>
      <c r="I14" s="308">
        <f t="shared" ref="I14:I18" ca="1" si="1">IF(D14="HDW",G14*F14,0)</f>
        <v>0</v>
      </c>
      <c r="J14" s="308">
        <f t="shared" ref="J14:J18" ca="1" si="2">IF(D14="JASA",G14*F14,0)</f>
        <v>0</v>
      </c>
      <c r="K14" s="309">
        <f t="shared" ref="K14:K18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303"/>
      <c r="C17" s="185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63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542" t="s">
        <v>1035</v>
      </c>
      <c r="C19" s="543" t="s">
        <v>1635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3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ref="H19:H39" ca="1" si="5">IF(OR(D19="MDU",D19="MDU-KD"),(IF($O$3="RAB NON MDU","PLN KD",G19*F19)),0)</f>
        <v>0</v>
      </c>
      <c r="I19" s="308">
        <f t="shared" ref="I19:I39" ca="1" si="6">IF(D19="HDW",G19*F19,0)</f>
        <v>0</v>
      </c>
      <c r="J19" s="308">
        <f t="shared" ref="J19:J39" ca="1" si="7">IF(D19="JASA",G19*F19,0)</f>
        <v>0</v>
      </c>
      <c r="K19" s="309">
        <f t="shared" ref="K19:K39" ca="1" si="8">SUM(H19:J19)</f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42">
        <v>1</v>
      </c>
      <c r="C20" s="109" t="s">
        <v>1146</v>
      </c>
      <c r="D20" s="305" t="str">
        <f ca="1">IF(ISERROR(OFFSET('HARGA SATUAN'!$D$6,MATCH(RAB!C20,'HARGA SATUAN'!$C$7:$C$1495,0),0)),"",OFFSET('HARGA SATUAN'!$D$6,MATCH(RAB!C20,'HARGA SATUAN'!$C$7:$C$1495,0),0))</f>
        <v>MDU-KD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3">
        <f>F19*1</f>
        <v>1</v>
      </c>
      <c r="G20" s="307">
        <f ca="1">IF(ISERROR(OFFSET('HARGA SATUAN'!$I$6,MATCH(RAB!C20,'HARGA SATUAN'!$C$7:$C$1495,0),0)),0,OFFSET('HARGA SATUAN'!$I$6,MATCH(RAB!C20,'HARGA SATUAN'!$C$7:$C$1495,0),0))</f>
        <v>56838600</v>
      </c>
      <c r="H20" s="308">
        <f t="shared" ca="1" si="5"/>
        <v>56838600</v>
      </c>
      <c r="I20" s="308">
        <f t="shared" ca="1" si="6"/>
        <v>0</v>
      </c>
      <c r="J20" s="308">
        <f t="shared" ca="1" si="7"/>
        <v>0</v>
      </c>
      <c r="K20" s="309">
        <f t="shared" ca="1" si="8"/>
        <v>56838600</v>
      </c>
      <c r="L20" s="316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1">
        <v>2</v>
      </c>
      <c r="C21" s="465" t="s">
        <v>1614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55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5"/>
        <v>0</v>
      </c>
      <c r="I21" s="308">
        <f t="shared" ca="1" si="6"/>
        <v>0</v>
      </c>
      <c r="J21" s="308">
        <f t="shared" ca="1" si="7"/>
        <v>0</v>
      </c>
      <c r="K21" s="309">
        <f t="shared" ca="1" si="8"/>
        <v>0</v>
      </c>
      <c r="L21" s="316"/>
      <c r="M21" s="289" t="str">
        <f t="shared" ref="M21:M31" ca="1" si="9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42"/>
      <c r="C22" s="465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3"/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ca="1" si="9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42"/>
      <c r="C23" s="465" t="s">
        <v>1626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3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5"/>
        <v>0</v>
      </c>
      <c r="I23" s="308">
        <f t="shared" ca="1" si="6"/>
        <v>0</v>
      </c>
      <c r="J23" s="308">
        <f t="shared" ca="1" si="7"/>
        <v>0</v>
      </c>
      <c r="K23" s="309">
        <f t="shared" ca="1" si="8"/>
        <v>0</v>
      </c>
      <c r="L23" s="316"/>
      <c r="M23" s="289" t="str">
        <f t="shared" ca="1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42">
        <v>3</v>
      </c>
      <c r="C24" s="109" t="s">
        <v>559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3">
        <f>F19*3</f>
        <v>3</v>
      </c>
      <c r="G24" s="307">
        <f ca="1">IF(ISERROR(OFFSET('HARGA SATUAN'!$I$6,MATCH(RAB!C24,'HARGA SATUAN'!$C$7:$C$1495,0),0)),0,OFFSET('HARGA SATUAN'!$I$6,MATCH(RAB!C24,'HARGA SATUAN'!$C$7:$C$1495,0),0))</f>
        <v>725900</v>
      </c>
      <c r="H24" s="308">
        <f t="shared" ca="1" si="5"/>
        <v>2177700</v>
      </c>
      <c r="I24" s="308">
        <f t="shared" ca="1" si="6"/>
        <v>0</v>
      </c>
      <c r="J24" s="308">
        <f t="shared" ca="1" si="7"/>
        <v>0</v>
      </c>
      <c r="K24" s="309">
        <f t="shared" ca="1" si="8"/>
        <v>2177700</v>
      </c>
      <c r="L24" s="316"/>
      <c r="M24" s="289" t="str">
        <f t="shared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42">
        <v>4</v>
      </c>
      <c r="C25" s="543" t="s">
        <v>535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3">
        <f>F19*3</f>
        <v>3</v>
      </c>
      <c r="G25" s="307">
        <f ca="1">IF(ISERROR(OFFSET('HARGA SATUAN'!$I$6,MATCH(RAB!C25,'HARGA SATUAN'!$C$7:$C$1495,0),0)),0,OFFSET('HARGA SATUAN'!$I$6,MATCH(RAB!C25,'HARGA SATUAN'!$C$7:$C$1495,0),0))</f>
        <v>848250</v>
      </c>
      <c r="H25" s="308">
        <f t="shared" ca="1" si="5"/>
        <v>2544750</v>
      </c>
      <c r="I25" s="308">
        <f t="shared" ca="1" si="6"/>
        <v>0</v>
      </c>
      <c r="J25" s="308">
        <f t="shared" ca="1" si="7"/>
        <v>0</v>
      </c>
      <c r="K25" s="309">
        <f t="shared" ca="1" si="8"/>
        <v>2544750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42">
        <v>5</v>
      </c>
      <c r="C26" s="543" t="s">
        <v>55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F19*3</f>
        <v>3</v>
      </c>
      <c r="G26" s="307">
        <f ca="1">IF(ISERROR(OFFSET('HARGA SATUAN'!$I$6,MATCH(RAB!C26,'HARGA SATUAN'!$C$7:$C$1495,0),0)),0,OFFSET('HARGA SATUAN'!$I$6,MATCH(RAB!C26,'HARGA SATUAN'!$C$7:$C$1495,0),0))</f>
        <v>18000</v>
      </c>
      <c r="H26" s="308">
        <f t="shared" ca="1" si="5"/>
        <v>0</v>
      </c>
      <c r="I26" s="308">
        <f t="shared" ca="1" si="6"/>
        <v>54000</v>
      </c>
      <c r="J26" s="308">
        <f t="shared" ca="1" si="7"/>
        <v>0</v>
      </c>
      <c r="K26" s="309">
        <f t="shared" ca="1" si="8"/>
        <v>54000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42">
        <v>6</v>
      </c>
      <c r="C27" s="543" t="s">
        <v>1616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/>
      <c r="G27" s="307">
        <f ca="1">IF(ISERROR(OFFSET('HARGA SATUAN'!$I$6,MATCH(RAB!C27,'HARGA SATUAN'!$C$7:$C$1495,0),0)),0,OFFSET('HARGA SATUAN'!$I$6,MATCH(RAB!C27,'HARGA SATUAN'!$C$7:$C$1495,0),0))</f>
        <v>49000</v>
      </c>
      <c r="H27" s="308">
        <f t="shared" ca="1" si="5"/>
        <v>0</v>
      </c>
      <c r="I27" s="308">
        <f t="shared" ca="1" si="6"/>
        <v>0</v>
      </c>
      <c r="J27" s="308">
        <f t="shared" ca="1" si="7"/>
        <v>0</v>
      </c>
      <c r="K27" s="309">
        <f t="shared" ca="1" si="8"/>
        <v>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42">
        <v>7</v>
      </c>
      <c r="C28" s="543" t="s">
        <v>163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/>
      <c r="G28" s="307">
        <f ca="1">IF(ISERROR(OFFSET('HARGA SATUAN'!$I$6,MATCH(RAB!C28,'HARGA SATUAN'!$C$7:$C$1495,0),0)),0,OFFSET('HARGA SATUAN'!$I$6,MATCH(RAB!C28,'HARGA SATUAN'!$C$7:$C$1495,0),0))</f>
        <v>7938</v>
      </c>
      <c r="H28" s="308">
        <f t="shared" ca="1" si="5"/>
        <v>0</v>
      </c>
      <c r="I28" s="308">
        <f t="shared" ca="1" si="6"/>
        <v>0</v>
      </c>
      <c r="J28" s="308">
        <f t="shared" ca="1" si="7"/>
        <v>0</v>
      </c>
      <c r="K28" s="309">
        <f t="shared" ca="1" si="8"/>
        <v>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42">
        <v>8</v>
      </c>
      <c r="C29" s="543" t="s">
        <v>176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/>
      <c r="G29" s="307">
        <f ca="1">IF(ISERROR(OFFSET('HARGA SATUAN'!$I$6,MATCH(RAB!C29,'HARGA SATUAN'!$C$7:$C$1495,0),0)),0,OFFSET('HARGA SATUAN'!$I$6,MATCH(RAB!C29,'HARGA SATUAN'!$C$7:$C$1495,0),0))</f>
        <v>404600</v>
      </c>
      <c r="H29" s="308">
        <f t="shared" ca="1" si="5"/>
        <v>0</v>
      </c>
      <c r="I29" s="308">
        <f t="shared" ca="1" si="6"/>
        <v>0</v>
      </c>
      <c r="J29" s="308">
        <f t="shared" ca="1" si="7"/>
        <v>0</v>
      </c>
      <c r="K29" s="309">
        <f t="shared" ca="1" si="8"/>
        <v>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42">
        <v>9</v>
      </c>
      <c r="C30" s="543" t="s">
        <v>184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/>
      <c r="G30" s="307">
        <f ca="1">IF(ISERROR(OFFSET('HARGA SATUAN'!$I$6,MATCH(RAB!C30,'HARGA SATUAN'!$C$7:$C$1495,0),0)),0,OFFSET('HARGA SATUAN'!$I$6,MATCH(RAB!C30,'HARGA SATUAN'!$C$7:$C$1495,0),0))</f>
        <v>15900</v>
      </c>
      <c r="H30" s="308">
        <f t="shared" ca="1" si="5"/>
        <v>0</v>
      </c>
      <c r="I30" s="308">
        <f t="shared" ca="1" si="6"/>
        <v>0</v>
      </c>
      <c r="J30" s="308">
        <f t="shared" ca="1" si="7"/>
        <v>0</v>
      </c>
      <c r="K30" s="309">
        <f t="shared" ca="1" si="8"/>
        <v>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42">
        <v>10</v>
      </c>
      <c r="C31" s="543" t="s">
        <v>592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/>
      <c r="G31" s="307">
        <f ca="1">IF(ISERROR(OFFSET('HARGA SATUAN'!$I$6,MATCH(RAB!C31,'HARGA SATUAN'!$C$7:$C$1495,0),0)),0,OFFSET('HARGA SATUAN'!$I$6,MATCH(RAB!C31,'HARGA SATUAN'!$C$7:$C$1495,0),0))</f>
        <v>283100</v>
      </c>
      <c r="H31" s="308">
        <f t="shared" ca="1" si="5"/>
        <v>0</v>
      </c>
      <c r="I31" s="308">
        <f t="shared" ca="1" si="6"/>
        <v>0</v>
      </c>
      <c r="J31" s="308">
        <f t="shared" ca="1" si="7"/>
        <v>0</v>
      </c>
      <c r="K31" s="309">
        <f t="shared" ca="1" si="8"/>
        <v>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42">
        <v>11</v>
      </c>
      <c r="C32" s="543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5"/>
        <v>0</v>
      </c>
      <c r="I32" s="308">
        <f t="shared" ca="1" si="6"/>
        <v>0</v>
      </c>
      <c r="J32" s="308">
        <f t="shared" ca="1" si="7"/>
        <v>0</v>
      </c>
      <c r="K32" s="309">
        <f t="shared" ca="1" si="8"/>
        <v>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42">
        <v>12</v>
      </c>
      <c r="C33" s="543" t="s">
        <v>208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/>
      <c r="G33" s="307">
        <f ca="1">IF(ISERROR(OFFSET('HARGA SATUAN'!$I$6,MATCH(RAB!C33,'HARGA SATUAN'!$C$7:$C$1495,0),0)),0,OFFSET('HARGA SATUAN'!$I$6,MATCH(RAB!C33,'HARGA SATUAN'!$C$7:$C$1495,0),0))</f>
        <v>173400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42">
        <v>13</v>
      </c>
      <c r="C34" s="543" t="s">
        <v>247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/>
      <c r="G34" s="307">
        <f ca="1">IF(ISERROR(OFFSET('HARGA SATUAN'!$I$6,MATCH(RAB!C34,'HARGA SATUAN'!$C$7:$C$1495,0),0)),0,OFFSET('HARGA SATUAN'!$I$6,MATCH(RAB!C34,'HARGA SATUAN'!$C$7:$C$1495,0),0))</f>
        <v>57690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42">
        <v>14</v>
      </c>
      <c r="C35" s="543" t="s">
        <v>234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/>
      <c r="G35" s="307">
        <f ca="1">IF(ISERROR(OFFSET('HARGA SATUAN'!$I$6,MATCH(RAB!C35,'HARGA SATUAN'!$C$7:$C$1495,0),0)),0,OFFSET('HARGA SATUAN'!$I$6,MATCH(RAB!C35,'HARGA SATUAN'!$C$7:$C$1495,0),0))</f>
        <v>67500</v>
      </c>
      <c r="H35" s="308">
        <f t="shared" ca="1" si="5"/>
        <v>0</v>
      </c>
      <c r="I35" s="308">
        <f t="shared" ca="1" si="6"/>
        <v>0</v>
      </c>
      <c r="J35" s="308">
        <f t="shared" ca="1" si="7"/>
        <v>0</v>
      </c>
      <c r="K35" s="309">
        <f t="shared" ca="1" si="8"/>
        <v>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42">
        <v>15</v>
      </c>
      <c r="C36" s="543" t="s">
        <v>267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/>
      <c r="G36" s="307">
        <f ca="1">IF(ISERROR(OFFSET('HARGA SATUAN'!$I$6,MATCH(RAB!C36,'HARGA SATUAN'!$C$7:$C$1495,0),0)),0,OFFSET('HARGA SATUAN'!$I$6,MATCH(RAB!C36,'HARGA SATUAN'!$C$7:$C$1495,0),0))</f>
        <v>129000</v>
      </c>
      <c r="H36" s="308">
        <f t="shared" ca="1" si="5"/>
        <v>0</v>
      </c>
      <c r="I36" s="308">
        <f t="shared" ca="1" si="6"/>
        <v>0</v>
      </c>
      <c r="J36" s="308">
        <f t="shared" ca="1" si="7"/>
        <v>0</v>
      </c>
      <c r="K36" s="309">
        <f t="shared" ca="1" si="8"/>
        <v>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42">
        <v>16</v>
      </c>
      <c r="C37" s="543" t="s">
        <v>607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/>
      <c r="G37" s="307">
        <f ca="1">IF(ISERROR(OFFSET('HARGA SATUAN'!$I$6,MATCH(RAB!C37,'HARGA SATUAN'!$C$7:$C$1495,0),0)),0,OFFSET('HARGA SATUAN'!$I$6,MATCH(RAB!C37,'HARGA SATUAN'!$C$7:$C$1495,0),0))</f>
        <v>250000</v>
      </c>
      <c r="H37" s="308">
        <f t="shared" ca="1" si="5"/>
        <v>0</v>
      </c>
      <c r="I37" s="308">
        <f t="shared" ca="1" si="6"/>
        <v>0</v>
      </c>
      <c r="J37" s="308">
        <f t="shared" ca="1" si="7"/>
        <v>0</v>
      </c>
      <c r="K37" s="309">
        <f t="shared" ca="1" si="8"/>
        <v>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42">
        <v>17</v>
      </c>
      <c r="C38" s="543" t="s">
        <v>784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3">
        <f>F19*1</f>
        <v>1</v>
      </c>
      <c r="G38" s="307">
        <f ca="1">IF(ISERROR(OFFSET('HARGA SATUAN'!$I$6,MATCH(RAB!C38,'HARGA SATUAN'!$C$7:$C$1495,0),0)),0,OFFSET('HARGA SATUAN'!$I$6,MATCH(RAB!C38,'HARGA SATUAN'!$C$7:$C$1495,0),0))</f>
        <v>2953300</v>
      </c>
      <c r="H38" s="308">
        <f t="shared" ca="1" si="5"/>
        <v>0</v>
      </c>
      <c r="I38" s="308">
        <f t="shared" ca="1" si="6"/>
        <v>0</v>
      </c>
      <c r="J38" s="308">
        <f t="shared" ca="1" si="7"/>
        <v>2953300</v>
      </c>
      <c r="K38" s="309">
        <f t="shared" ca="1" si="8"/>
        <v>2953300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18"/>
      <c r="C39" s="319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4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5"/>
        <v>0</v>
      </c>
      <c r="I39" s="308">
        <f t="shared" ca="1" si="6"/>
        <v>0</v>
      </c>
      <c r="J39" s="308">
        <f t="shared" ca="1" si="7"/>
        <v>0</v>
      </c>
      <c r="K39" s="309">
        <f t="shared" ca="1" si="8"/>
        <v>0</v>
      </c>
      <c r="L39" s="316"/>
      <c r="M39" s="289" t="str">
        <f ca="1">IF(AND(F39&gt;0,F31=0),"",IF(AND(ISBLANK(F39)=FALSE,K39=0),"WARNING",""))</f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5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60" ca="1" si="10">IF(OR(D40="MDU",D40="MDU-KD"),(IF($O$3="RAB NON MDU","PLN KD",G40*F40)),0)</f>
        <v>0</v>
      </c>
      <c r="I40" s="308">
        <f t="shared" ref="I40:I60" ca="1" si="11">IF(D40="HDW",G40*F40,0)</f>
        <v>0</v>
      </c>
      <c r="J40" s="308">
        <f t="shared" ref="J40:J60" ca="1" si="12">IF(D40="JASA",G40*F40,0)</f>
        <v>0</v>
      </c>
      <c r="K40" s="309">
        <f t="shared" ref="K40:K60" ca="1" si="13">SUM(H40:J40)</f>
        <v>0</v>
      </c>
      <c r="L40" s="316"/>
      <c r="M40" s="289" t="e">
        <f>IF(AND(F40&gt;0,#REF!=0),"",IF(AND(ISBLANK(F40)=FALSE,K40=0),"WARNING",""))</f>
        <v>#REF!</v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5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0"/>
        <v>0</v>
      </c>
      <c r="I41" s="308">
        <f t="shared" ca="1" si="11"/>
        <v>0</v>
      </c>
      <c r="J41" s="308">
        <f t="shared" ca="1" si="12"/>
        <v>0</v>
      </c>
      <c r="K41" s="309">
        <f t="shared" ca="1" si="13"/>
        <v>0</v>
      </c>
      <c r="L41" s="316"/>
      <c r="M41" s="289" t="str">
        <f t="shared" ref="M41:M76" ca="1" si="14">IF(AND(F41&gt;0,F40=0),"",IF(AND(ISBLANK(F41)=FALSE,K41=0),"WARNING",""))</f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5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0"/>
        <v>0</v>
      </c>
      <c r="I42" s="308">
        <f t="shared" ca="1" si="11"/>
        <v>0</v>
      </c>
      <c r="J42" s="308">
        <f t="shared" ca="1" si="12"/>
        <v>0</v>
      </c>
      <c r="K42" s="309">
        <f t="shared" ca="1" si="13"/>
        <v>0</v>
      </c>
      <c r="L42" s="316"/>
      <c r="M42" s="289" t="str">
        <f t="shared" ca="1" si="14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5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0"/>
        <v>0</v>
      </c>
      <c r="I43" s="308">
        <f t="shared" ca="1" si="11"/>
        <v>0</v>
      </c>
      <c r="J43" s="308">
        <f t="shared" ca="1" si="12"/>
        <v>0</v>
      </c>
      <c r="K43" s="309">
        <f t="shared" ca="1" si="13"/>
        <v>0</v>
      </c>
      <c r="L43" s="316"/>
      <c r="M43" s="289" t="str">
        <f t="shared" ca="1" si="14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5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0"/>
        <v>0</v>
      </c>
      <c r="I44" s="308">
        <f t="shared" ca="1" si="11"/>
        <v>0</v>
      </c>
      <c r="J44" s="308">
        <f t="shared" ca="1" si="12"/>
        <v>0</v>
      </c>
      <c r="K44" s="309">
        <f t="shared" ca="1" si="13"/>
        <v>0</v>
      </c>
      <c r="L44" s="316"/>
      <c r="M44" s="289" t="str">
        <f t="shared" ca="1" si="14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5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ca="1" si="14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5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5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5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5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5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5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5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5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5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49"/>
      <c r="C55" s="450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5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49"/>
      <c r="C56" s="450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5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49"/>
      <c r="C57" s="450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5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49"/>
      <c r="C58" s="450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5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49"/>
      <c r="C59" s="450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5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49"/>
      <c r="C60" s="45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18" t="s">
        <v>1602</v>
      </c>
      <c r="C61" s="421" t="s">
        <v>1604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6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ref="H61" ca="1" si="15">IF(OR(D61="MDU",D61="MDU-KD"),(IF($O$3="RAB NON MDU","PLN KD",G61*F61)),0)</f>
        <v>0</v>
      </c>
      <c r="I61" s="308">
        <f t="shared" ref="I61" ca="1" si="16">IF(D61="HDW",G61*F61,0)</f>
        <v>0</v>
      </c>
      <c r="J61" s="308">
        <f t="shared" ref="J61" ca="1" si="17">IF(D61="JASA",G61*F61,0)</f>
        <v>0</v>
      </c>
      <c r="K61" s="309">
        <f t="shared" ref="K61" ca="1" si="18">SUM(H61:J61)</f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/>
      <c r="C62" s="10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" ca="1" si="19">IF(OR(D62="MDU",D62="MDU-KD"),(IF($O$3="RAB NON MDU","PLN KD",G62*F62)),0)</f>
        <v>0</v>
      </c>
      <c r="I62" s="308">
        <f t="shared" ref="I62" ca="1" si="20">IF(D62="HDW",G62*F62,0)</f>
        <v>0</v>
      </c>
      <c r="J62" s="308">
        <f t="shared" ref="J62" ca="1" si="21">IF(D62="JASA",G62*F62,0)</f>
        <v>0</v>
      </c>
      <c r="K62" s="309">
        <f t="shared" ref="K62" ca="1" si="22">SUM(H62:J62)</f>
        <v>0</v>
      </c>
      <c r="L62" s="316"/>
      <c r="M62" s="289" t="e">
        <f>IF(AND(F62&gt;0,#REF!=0),"",IF(AND(ISBLANK(F62)=FALSE,K62=0),"WARNING",""))</f>
        <v>#REF!</v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18" t="s">
        <v>1610</v>
      </c>
      <c r="C63" s="421" t="s">
        <v>1606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7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ref="H63:H79" ca="1" si="23">IF(OR(D63="MDU",D63="MDU-KD"),(IF($O$3="RAB NON MDU","PLN KD",G63*F63)),0)</f>
        <v>0</v>
      </c>
      <c r="I63" s="308">
        <f t="shared" ref="I63:I79" ca="1" si="24">IF(D63="HDW",G63*F63,0)</f>
        <v>0</v>
      </c>
      <c r="J63" s="308">
        <f t="shared" ref="J63:J79" ca="1" si="25">IF(D63="JASA",G63*F63,0)</f>
        <v>0</v>
      </c>
      <c r="K63" s="309">
        <f t="shared" ref="K63:K79" ca="1" si="26">SUM(H63:J63)</f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52" t="s">
        <v>1035</v>
      </c>
      <c r="C64" s="466" t="s">
        <v>1636</v>
      </c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545">
        <v>1</v>
      </c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3"/>
        <v>0</v>
      </c>
      <c r="I64" s="308">
        <f t="shared" ca="1" si="24"/>
        <v>0</v>
      </c>
      <c r="J64" s="308">
        <f t="shared" ca="1" si="25"/>
        <v>0</v>
      </c>
      <c r="K64" s="309">
        <f t="shared" ca="1" si="26"/>
        <v>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42">
        <v>1</v>
      </c>
      <c r="C65" s="109" t="s">
        <v>483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545">
        <f>F64*1</f>
        <v>1</v>
      </c>
      <c r="G65" s="307">
        <f ca="1">IF(ISERROR(OFFSET('HARGA SATUAN'!$I$6,MATCH(RAB!C65,'HARGA SATUAN'!$C$7:$C$1495,0),0)),0,OFFSET('HARGA SATUAN'!$I$6,MATCH(RAB!C65,'HARGA SATUAN'!$C$7:$C$1495,0),0))</f>
        <v>1719200</v>
      </c>
      <c r="H65" s="308">
        <f t="shared" ca="1" si="23"/>
        <v>0</v>
      </c>
      <c r="I65" s="308">
        <f t="shared" ca="1" si="24"/>
        <v>1719200</v>
      </c>
      <c r="J65" s="308">
        <f t="shared" ca="1" si="25"/>
        <v>0</v>
      </c>
      <c r="K65" s="309">
        <f t="shared" ca="1" si="26"/>
        <v>1719200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42">
        <v>2</v>
      </c>
      <c r="C66" s="544" t="s">
        <v>513</v>
      </c>
      <c r="D66" s="305" t="str">
        <f ca="1">IF(ISERROR(OFFSET('HARGA SATUAN'!$D$6,MATCH(RAB!C66,'HARGA SATUAN'!$C$7:$C$1495,0),0)),"",OFFSET('HARGA SATUAN'!$D$6,MATCH(RAB!C66,'HARGA SATUAN'!$C$7:$C$1495,0),0))</f>
        <v>MDU-KD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545">
        <f>F64*1</f>
        <v>1</v>
      </c>
      <c r="G66" s="307">
        <f ca="1">IF(ISERROR(OFFSET('HARGA SATUAN'!$I$6,MATCH(RAB!C66,'HARGA SATUAN'!$C$7:$C$1495,0),0)),0,OFFSET('HARGA SATUAN'!$I$6,MATCH(RAB!C66,'HARGA SATUAN'!$C$7:$C$1495,0),0))</f>
        <v>3564900</v>
      </c>
      <c r="H66" s="308">
        <f t="shared" ca="1" si="23"/>
        <v>3564900</v>
      </c>
      <c r="I66" s="308">
        <f t="shared" ca="1" si="24"/>
        <v>0</v>
      </c>
      <c r="J66" s="308">
        <f t="shared" ca="1" si="25"/>
        <v>0</v>
      </c>
      <c r="K66" s="309">
        <f t="shared" ca="1" si="26"/>
        <v>3564900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42">
        <v>3</v>
      </c>
      <c r="C67" s="544" t="s">
        <v>1141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545">
        <f>F64*1</f>
        <v>1</v>
      </c>
      <c r="G67" s="307">
        <f ca="1">IF(ISERROR(OFFSET('HARGA SATUAN'!$I$6,MATCH(RAB!C67,'HARGA SATUAN'!$C$7:$C$1495,0),0)),0,OFFSET('HARGA SATUAN'!$I$6,MATCH(RAB!C67,'HARGA SATUAN'!$C$7:$C$1495,0),0))</f>
        <v>1113900</v>
      </c>
      <c r="H67" s="308">
        <f t="shared" ca="1" si="23"/>
        <v>0</v>
      </c>
      <c r="I67" s="308">
        <f t="shared" ca="1" si="24"/>
        <v>1113900</v>
      </c>
      <c r="J67" s="308">
        <f t="shared" ca="1" si="25"/>
        <v>0</v>
      </c>
      <c r="K67" s="309">
        <f t="shared" ca="1" si="26"/>
        <v>1113900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42">
        <v>4</v>
      </c>
      <c r="C68" s="109" t="s">
        <v>1402</v>
      </c>
      <c r="D68" s="305" t="str">
        <f ca="1">IF(ISERROR(OFFSET('HARGA SATUAN'!$D$6,MATCH(RAB!C68,'HARGA SATUAN'!$C$7:$C$1495,0),0)),"",OFFSET('HARGA SATUAN'!$D$6,MATCH(RAB!C68,'HARGA SATUAN'!$C$7:$C$1495,0),0))</f>
        <v>MDU-KD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545">
        <v>40</v>
      </c>
      <c r="G68" s="307">
        <f ca="1">IF(ISERROR(OFFSET('HARGA SATUAN'!$I$6,MATCH(RAB!C68,'HARGA SATUAN'!$C$7:$C$1495,0),0)),0,OFFSET('HARGA SATUAN'!$I$6,MATCH(RAB!C68,'HARGA SATUAN'!$C$7:$C$1495,0),0))</f>
        <v>30400</v>
      </c>
      <c r="H68" s="308">
        <f t="shared" ca="1" si="23"/>
        <v>1216000</v>
      </c>
      <c r="I68" s="308">
        <f t="shared" ca="1" si="24"/>
        <v>0</v>
      </c>
      <c r="J68" s="308">
        <f t="shared" ca="1" si="25"/>
        <v>0</v>
      </c>
      <c r="K68" s="309">
        <f t="shared" ca="1" si="26"/>
        <v>1216000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42">
        <v>5</v>
      </c>
      <c r="C69" s="544" t="s">
        <v>799</v>
      </c>
      <c r="D69" s="305" t="str">
        <f ca="1">IF(ISERROR(OFFSET('HARGA SATUAN'!$D$6,MATCH(RAB!C69,'HARGA SATUAN'!$C$7:$C$1495,0),0)),"",OFFSET('HARGA SATUAN'!$D$6,MATCH(RAB!C69,'HARGA SATUAN'!$C$7:$C$1495,0),0))</f>
        <v>JASA</v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545">
        <f>F64*1</f>
        <v>1</v>
      </c>
      <c r="G69" s="307">
        <f ca="1">IF(ISERROR(OFFSET('HARGA SATUAN'!$I$6,MATCH(RAB!C69,'HARGA SATUAN'!$C$7:$C$1495,0),0)),0,OFFSET('HARGA SATUAN'!$I$6,MATCH(RAB!C69,'HARGA SATUAN'!$C$7:$C$1495,0),0))</f>
        <v>106400</v>
      </c>
      <c r="H69" s="308">
        <f t="shared" ca="1" si="23"/>
        <v>0</v>
      </c>
      <c r="I69" s="308">
        <f t="shared" ca="1" si="24"/>
        <v>0</v>
      </c>
      <c r="J69" s="308">
        <f t="shared" ca="1" si="25"/>
        <v>106400</v>
      </c>
      <c r="K69" s="309">
        <f t="shared" ca="1" si="26"/>
        <v>106400</v>
      </c>
      <c r="L69" s="316"/>
      <c r="M69" s="289" t="str">
        <f>IF(AND(F69&gt;0,F63=0),"",IF(AND(ISBLANK(F69)=FALSE,K69=0),"WARNING",""))</f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64"/>
      <c r="C70" s="467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8"/>
      <c r="G70" s="307"/>
      <c r="H70" s="308"/>
      <c r="I70" s="308"/>
      <c r="J70" s="308"/>
      <c r="K70" s="309"/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38" t="s">
        <v>1035</v>
      </c>
      <c r="C71" s="460" t="s">
        <v>1619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469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3"/>
        <v>0</v>
      </c>
      <c r="I71" s="308">
        <f t="shared" ca="1" si="24"/>
        <v>0</v>
      </c>
      <c r="J71" s="308">
        <f t="shared" ca="1" si="25"/>
        <v>0</v>
      </c>
      <c r="K71" s="309">
        <f t="shared" ca="1" si="26"/>
        <v>0</v>
      </c>
      <c r="L71" s="316"/>
      <c r="M71" s="289" t="str">
        <f ca="1">IF(AND(F71&gt;0,F69=0),"",IF(AND(ISBLANK(F71)=FALSE,K71=0),"WARNING",""))</f>
        <v>WARNING</v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39">
        <v>1</v>
      </c>
      <c r="C72" s="460" t="s">
        <v>29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69">
        <f>F71*1</f>
        <v>1</v>
      </c>
      <c r="G72" s="307">
        <f ca="1">IF(ISERROR(OFFSET('HARGA SATUAN'!$I$6,MATCH(RAB!C72,'HARGA SATUAN'!$C$7:$C$1495,0),0)),0,OFFSET('HARGA SATUAN'!$I$6,MATCH(RAB!C72,'HARGA SATUAN'!$C$7:$C$1495,0),0))</f>
        <v>185200</v>
      </c>
      <c r="H72" s="308">
        <f t="shared" ca="1" si="23"/>
        <v>0</v>
      </c>
      <c r="I72" s="308">
        <f t="shared" ca="1" si="24"/>
        <v>185200</v>
      </c>
      <c r="J72" s="308">
        <f t="shared" ca="1" si="25"/>
        <v>0</v>
      </c>
      <c r="K72" s="309">
        <f t="shared" ca="1" si="26"/>
        <v>185200</v>
      </c>
      <c r="L72" s="316"/>
      <c r="M72" s="289" t="str">
        <f t="shared" ca="1" si="14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39">
        <v>2</v>
      </c>
      <c r="C73" s="460" t="s">
        <v>30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69">
        <f>F71*1</f>
        <v>1</v>
      </c>
      <c r="G73" s="307">
        <f ca="1">IF(ISERROR(OFFSET('HARGA SATUAN'!$I$6,MATCH(RAB!C73,'HARGA SATUAN'!$C$7:$C$1495,0),0)),0,OFFSET('HARGA SATUAN'!$I$6,MATCH(RAB!C73,'HARGA SATUAN'!$C$7:$C$1495,0),0))</f>
        <v>47459</v>
      </c>
      <c r="H73" s="308">
        <f t="shared" ca="1" si="23"/>
        <v>0</v>
      </c>
      <c r="I73" s="308">
        <f t="shared" ca="1" si="24"/>
        <v>47459</v>
      </c>
      <c r="J73" s="308">
        <f t="shared" ca="1" si="25"/>
        <v>0</v>
      </c>
      <c r="K73" s="309">
        <f t="shared" ca="1" si="26"/>
        <v>47459</v>
      </c>
      <c r="L73" s="316"/>
      <c r="M73" s="289" t="str">
        <f t="shared" ca="1" si="14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39">
        <v>3</v>
      </c>
      <c r="C74" s="460" t="s">
        <v>32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69">
        <f>F71*1.5</f>
        <v>1.5</v>
      </c>
      <c r="G74" s="307">
        <f ca="1">IF(ISERROR(OFFSET('HARGA SATUAN'!$I$6,MATCH(RAB!C74,'HARGA SATUAN'!$C$7:$C$1495,0),0)),0,OFFSET('HARGA SATUAN'!$I$6,MATCH(RAB!C74,'HARGA SATUAN'!$C$7:$C$1495,0),0))</f>
        <v>30000</v>
      </c>
      <c r="H74" s="308">
        <f t="shared" ca="1" si="23"/>
        <v>0</v>
      </c>
      <c r="I74" s="308">
        <f t="shared" ca="1" si="24"/>
        <v>45000</v>
      </c>
      <c r="J74" s="308">
        <f t="shared" ca="1" si="25"/>
        <v>0</v>
      </c>
      <c r="K74" s="309">
        <f t="shared" ca="1" si="26"/>
        <v>45000</v>
      </c>
      <c r="L74" s="316"/>
      <c r="M74" s="289" t="str">
        <f t="shared" ca="1" si="14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39">
        <v>4</v>
      </c>
      <c r="C75" s="460" t="s">
        <v>33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69">
        <f>F71*2</f>
        <v>2</v>
      </c>
      <c r="G75" s="307">
        <f ca="1">IF(ISERROR(OFFSET('HARGA SATUAN'!$I$6,MATCH(RAB!C75,'HARGA SATUAN'!$C$7:$C$1495,0),0)),0,OFFSET('HARGA SATUAN'!$I$6,MATCH(RAB!C75,'HARGA SATUAN'!$C$7:$C$1495,0),0))</f>
        <v>9500</v>
      </c>
      <c r="H75" s="308">
        <f t="shared" ca="1" si="23"/>
        <v>0</v>
      </c>
      <c r="I75" s="308">
        <f t="shared" ca="1" si="24"/>
        <v>19000</v>
      </c>
      <c r="J75" s="308">
        <f t="shared" ca="1" si="25"/>
        <v>0</v>
      </c>
      <c r="K75" s="309">
        <f t="shared" ca="1" si="26"/>
        <v>19000</v>
      </c>
      <c r="L75" s="316"/>
      <c r="M75" s="289" t="str">
        <f t="shared" ca="1" si="14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39">
        <v>5</v>
      </c>
      <c r="C76" s="460" t="s">
        <v>735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69">
        <f>F71*1</f>
        <v>1</v>
      </c>
      <c r="G76" s="307">
        <f ca="1">IF(ISERROR(OFFSET('HARGA SATUAN'!$I$6,MATCH(RAB!C76,'HARGA SATUAN'!$C$7:$C$1495,0),0)),0,OFFSET('HARGA SATUAN'!$I$6,MATCH(RAB!C76,'HARGA SATUAN'!$C$7:$C$1495,0),0))</f>
        <v>56400</v>
      </c>
      <c r="H76" s="308">
        <f t="shared" ca="1" si="23"/>
        <v>0</v>
      </c>
      <c r="I76" s="308">
        <f t="shared" ca="1" si="24"/>
        <v>0</v>
      </c>
      <c r="J76" s="308">
        <f t="shared" ca="1" si="25"/>
        <v>56400</v>
      </c>
      <c r="K76" s="309">
        <f t="shared" ca="1" si="26"/>
        <v>56400</v>
      </c>
      <c r="L76" s="316"/>
      <c r="M76" s="289" t="str">
        <f t="shared" ca="1" si="14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40" t="s">
        <v>22</v>
      </c>
      <c r="C77" s="541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469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ref="H77" ca="1" si="27">IF(OR(D77="MDU",D77="MDU-KD"),(IF($O$3="RAB NON MDU","PLN KD",G77*F77)),0)</f>
        <v>0</v>
      </c>
      <c r="I77" s="308">
        <f t="shared" ref="I77" ca="1" si="28">IF(D77="HDW",G77*F77,0)</f>
        <v>0</v>
      </c>
      <c r="J77" s="308">
        <f t="shared" ref="J77" ca="1" si="29">IF(D77="JASA",G77*F77,0)</f>
        <v>0</v>
      </c>
      <c r="K77" s="309">
        <f t="shared" ref="K77" ca="1" si="30">SUM(H77:J77)</f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>
      <c r="B78" s="320">
        <v>1</v>
      </c>
      <c r="C78" s="109" t="s">
        <v>964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315">
        <v>1</v>
      </c>
      <c r="G78" s="307">
        <f ca="1">IF(ISERROR(OFFSET('HARGA SATUAN'!$I$6,MATCH(RAB!C78,'HARGA SATUAN'!$C$7:$C$1495,0),0)),0,OFFSET('HARGA SATUAN'!$I$6,MATCH(RAB!C78,'HARGA SATUAN'!$C$7:$C$1495,0),0))</f>
        <v>709680</v>
      </c>
      <c r="H78" s="308">
        <f t="shared" ca="1" si="23"/>
        <v>0</v>
      </c>
      <c r="I78" s="308">
        <f t="shared" ca="1" si="24"/>
        <v>0</v>
      </c>
      <c r="J78" s="308">
        <f t="shared" ca="1" si="25"/>
        <v>709680</v>
      </c>
      <c r="K78" s="309">
        <f t="shared" ca="1" si="26"/>
        <v>709680</v>
      </c>
      <c r="M78" s="289" t="str">
        <f ca="1">IF(AND(F78&gt;0,F76=0),"",IF(AND(ISBLANK(F78)=FALSE,K78=0),"WARNING",""))</f>
        <v/>
      </c>
    </row>
    <row r="79" spans="1:22">
      <c r="B79" s="321"/>
      <c r="C79" s="322" t="s">
        <v>475</v>
      </c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3"/>
        <v>0</v>
      </c>
      <c r="I79" s="308">
        <f t="shared" ca="1" si="24"/>
        <v>0</v>
      </c>
      <c r="J79" s="308">
        <f t="shared" ca="1" si="25"/>
        <v>0</v>
      </c>
      <c r="K79" s="309">
        <f t="shared" ca="1" si="26"/>
        <v>0</v>
      </c>
      <c r="M79" s="289" t="e">
        <f>IF(AND(F79&gt;0,#REF!=0),"",IF(AND(ISBLANK(F79)=FALSE,K79=0),"WARNING",""))</f>
        <v>#REF!</v>
      </c>
    </row>
    <row r="80" spans="1:22">
      <c r="B80" s="324">
        <v>1</v>
      </c>
      <c r="C80" s="325" t="s">
        <v>1091</v>
      </c>
      <c r="D80" s="326" t="str">
        <f ca="1">IF(ISERROR(OFFSET('HARGA SATUAN'!$D$6,MATCH(RAB!C80,'HARGA SATUAN'!$C$7:$C$1495,0),0)),"",OFFSET('HARGA SATUAN'!$D$6,MATCH(RAB!C80,'HARGA SATUAN'!$C$7:$C$1495,0),0))</f>
        <v>JASA</v>
      </c>
      <c r="E80" s="327" t="str">
        <f ca="1">IF(ISERROR(OFFSET('HARGA SATUAN'!$E$6,MATCH(RAB!C80,'HARGA SATUAN'!$C$7:$C$1495,0),0)),"",OFFSET('HARGA SATUAN'!$E$6,MATCH(RAB!C80,'HARGA SATUAN'!$C$7:$C$1495,0),0))</f>
        <v>Lot</v>
      </c>
      <c r="F80" s="328">
        <v>1</v>
      </c>
      <c r="G80" s="329">
        <f ca="1">IF(ISERROR(OFFSET('HARGA SATUAN'!$I$6,MATCH(RAB!C80,'HARGA SATUAN'!$C$7:$C$1495,0),0)),0,OFFSET('HARGA SATUAN'!$I$6,MATCH(RAB!C80,'HARGA SATUAN'!$C$7:$C$1495,0),0))</f>
        <v>2.5000000000000001E-2</v>
      </c>
      <c r="H80" s="330">
        <f ca="1">SUM(H14:H79)*G80</f>
        <v>1658548.75</v>
      </c>
      <c r="I80" s="330">
        <f ca="1">SUM(I14:I79)*G80</f>
        <v>79593.975000000006</v>
      </c>
      <c r="J80" s="330">
        <f ca="1">SUM(J14:J79)*G80</f>
        <v>95644.5</v>
      </c>
      <c r="K80" s="330">
        <f ca="1">SUM(K14:K79)*G80</f>
        <v>1833787.2250000001</v>
      </c>
      <c r="M80" s="289" t="str">
        <f t="shared" ref="M80" si="31">IF(AND(F80&gt;0,F79=0),"",IF(AND(ISBLANK(F80)=FALSE,K80=0),"WARNING",""))</f>
        <v/>
      </c>
    </row>
    <row r="81" spans="2:13">
      <c r="B81" s="331"/>
      <c r="C81" s="332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IF(ISERROR(OFFSET('HARGA SATUAN'!$E$6,MATCH(RAB!C81,'HARGA SATUAN'!$C$7:$C$1495,0),0)),"",OFFSET('HARGA SATUAN'!$E$6,MATCH(RAB!C81,'HARGA SATUAN'!$C$7:$C$1495,0),0))</f>
        <v/>
      </c>
      <c r="F81" s="323"/>
      <c r="G81" s="307" t="str">
        <f ca="1">IF(ISERROR(OFFSET('HARGA SATUAN'!$I$6,MATCH(RAB!C81,'HARGA SATUAN'!$C$7:$C$1495,0),0)),"",OFFSET('HARGA SATUAN'!$I$6,MATCH(RAB!C81,'HARGA SATUAN'!$C$7:$C$1495,0),0))</f>
        <v/>
      </c>
      <c r="H81" s="308">
        <f ca="1">IF(OR(D81="MDU",D81="MDU-KD"),IF(G81="PLN",0,G81*F81),0)</f>
        <v>0</v>
      </c>
      <c r="I81" s="308">
        <f ca="1">IF(D81="HDW",IF(G81="PLN",0,G81*F81),0)</f>
        <v>0</v>
      </c>
      <c r="J81" s="308">
        <f ca="1">IF(D81="JASA",IF(G81="PLN",0,G81*F81),0)</f>
        <v>0</v>
      </c>
      <c r="K81" s="309">
        <f ca="1">SUM(H81:J81)</f>
        <v>0</v>
      </c>
    </row>
    <row r="82" spans="2:13" ht="15.75" thickBot="1">
      <c r="B82" s="333"/>
      <c r="C82" s="334"/>
      <c r="D82" s="335"/>
      <c r="E82" s="336"/>
      <c r="F82" s="336"/>
      <c r="G82" s="336"/>
      <c r="H82" s="337"/>
      <c r="I82" s="337"/>
      <c r="J82" s="337"/>
      <c r="K82" s="338"/>
    </row>
    <row r="83" spans="2:13">
      <c r="B83" s="339"/>
      <c r="C83" s="646" t="s">
        <v>1008</v>
      </c>
      <c r="D83" s="646"/>
      <c r="E83" s="646"/>
      <c r="F83" s="646"/>
      <c r="G83" s="340" t="s">
        <v>9</v>
      </c>
      <c r="H83" s="341">
        <f ca="1">SUM(H14:H81)</f>
        <v>68000498.75</v>
      </c>
      <c r="I83" s="341">
        <f ca="1">SUM(I14:I81)</f>
        <v>3263352.9750000001</v>
      </c>
      <c r="J83" s="341">
        <f ca="1">SUM(J14:J81)</f>
        <v>3921424.5</v>
      </c>
      <c r="K83" s="341">
        <f ca="1">SUM(K14:K81)</f>
        <v>75185276.224999994</v>
      </c>
    </row>
    <row r="84" spans="2:13">
      <c r="B84" s="342"/>
      <c r="C84" s="663" t="s">
        <v>1455</v>
      </c>
      <c r="D84" s="663"/>
      <c r="E84" s="663"/>
      <c r="F84" s="663"/>
      <c r="G84" s="343" t="s">
        <v>9</v>
      </c>
      <c r="H84" s="344">
        <f ca="1">H83*0.11</f>
        <v>7480054.8624999998</v>
      </c>
      <c r="I84" s="344">
        <f ca="1">I83*0.11</f>
        <v>358968.82725000003</v>
      </c>
      <c r="J84" s="344">
        <f ca="1">J83*0.11</f>
        <v>431356.69500000001</v>
      </c>
      <c r="K84" s="344">
        <f ca="1">K83*0.11</f>
        <v>8270380.3847499993</v>
      </c>
    </row>
    <row r="85" spans="2:13" ht="15.75" thickBot="1">
      <c r="B85" s="342"/>
      <c r="C85" s="660" t="s">
        <v>463</v>
      </c>
      <c r="D85" s="660"/>
      <c r="E85" s="660"/>
      <c r="F85" s="660"/>
      <c r="G85" s="345" t="s">
        <v>9</v>
      </c>
      <c r="H85" s="346">
        <f ca="1">SUM(H83:H84)</f>
        <v>75480553.612499997</v>
      </c>
      <c r="I85" s="346">
        <f ca="1">SUM(I83:I84)</f>
        <v>3622321.8022500002</v>
      </c>
      <c r="J85" s="345">
        <f ca="1">SUM(J83:J84)</f>
        <v>4352781.1950000003</v>
      </c>
      <c r="K85" s="345">
        <f ca="1">SUM(K83:K84)</f>
        <v>83455656.609749988</v>
      </c>
      <c r="M85" s="410"/>
    </row>
    <row r="86" spans="2:13">
      <c r="B86" s="664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Tiga Juta Empat Ratus Lima Puluh Lima Ribu Enam Ratus Lima Puluh Tujuh Rupiah</v>
      </c>
      <c r="C86" s="665"/>
      <c r="D86" s="665"/>
      <c r="E86" s="665"/>
      <c r="F86" s="665"/>
      <c r="G86" s="665"/>
      <c r="H86" s="665"/>
      <c r="I86" s="665"/>
      <c r="J86" s="665"/>
      <c r="K86" s="666"/>
    </row>
    <row r="87" spans="2:13">
      <c r="B87" s="667"/>
      <c r="C87" s="668"/>
      <c r="D87" s="668"/>
      <c r="E87" s="668"/>
      <c r="F87" s="668"/>
      <c r="G87" s="668"/>
      <c r="H87" s="668"/>
      <c r="I87" s="668"/>
      <c r="J87" s="668"/>
      <c r="K87" s="669"/>
    </row>
    <row r="88" spans="2:13" ht="15.75" thickBot="1">
      <c r="B88" s="347" t="str">
        <f>"Harga yang dipakai adalah "&amp;'HARGA SATUAN'!I5&amp;""</f>
        <v>Harga yang dipakai adalah RAB HSS 2023</v>
      </c>
      <c r="C88" s="348"/>
      <c r="D88" s="349"/>
      <c r="E88" s="349"/>
      <c r="F88" s="349"/>
      <c r="G88" s="350"/>
      <c r="H88" s="350"/>
      <c r="I88" s="350"/>
      <c r="J88" s="350"/>
      <c r="K88" s="351"/>
    </row>
    <row r="89" spans="2:13">
      <c r="C89" s="352"/>
      <c r="E89" s="354"/>
      <c r="F89" s="354"/>
      <c r="G89" s="354"/>
    </row>
    <row r="90" spans="2:13">
      <c r="C90" s="284"/>
      <c r="E90" s="354"/>
      <c r="F90" s="354"/>
      <c r="G90" s="354"/>
      <c r="H90" s="670"/>
      <c r="I90" s="670"/>
      <c r="J90" s="671"/>
      <c r="K90" s="671"/>
    </row>
    <row r="91" spans="2:13">
      <c r="C91" s="284"/>
      <c r="E91" s="354"/>
      <c r="F91" s="354"/>
      <c r="G91" s="354"/>
      <c r="H91" s="355"/>
      <c r="I91" s="659" t="s">
        <v>1617</v>
      </c>
      <c r="J91" s="659"/>
      <c r="K91" s="659"/>
    </row>
    <row r="92" spans="2:13">
      <c r="C92" s="284"/>
      <c r="E92" s="354"/>
      <c r="F92" s="354"/>
      <c r="G92" s="354"/>
      <c r="H92" s="355"/>
      <c r="I92" s="659" t="s">
        <v>1611</v>
      </c>
      <c r="J92" s="659"/>
      <c r="K92" s="659"/>
    </row>
    <row r="93" spans="2:13">
      <c r="C93" s="284"/>
      <c r="E93" s="354"/>
      <c r="F93" s="354"/>
      <c r="G93" s="354"/>
      <c r="H93" s="356"/>
      <c r="I93" s="357"/>
      <c r="J93" s="357"/>
      <c r="K93" s="357"/>
    </row>
    <row r="94" spans="2:13">
      <c r="C94" s="284"/>
      <c r="E94" s="354"/>
      <c r="F94" s="354"/>
      <c r="G94" s="354"/>
      <c r="H94" s="356"/>
      <c r="I94" s="356"/>
      <c r="J94" s="356"/>
      <c r="K94" s="356"/>
    </row>
    <row r="95" spans="2:13">
      <c r="C95" s="284"/>
      <c r="E95" s="354"/>
      <c r="F95" s="354"/>
      <c r="G95" s="354"/>
      <c r="H95" s="356"/>
      <c r="I95" s="356"/>
      <c r="J95" s="356"/>
      <c r="K95" s="356"/>
    </row>
    <row r="96" spans="2:13">
      <c r="C96" s="284"/>
      <c r="E96" s="354"/>
      <c r="F96" s="354"/>
      <c r="G96" s="354"/>
      <c r="H96" s="356"/>
      <c r="I96" s="356"/>
      <c r="J96" s="356"/>
      <c r="K96" s="356"/>
    </row>
    <row r="97" spans="3:11">
      <c r="C97" s="284"/>
      <c r="E97" s="354"/>
      <c r="F97" s="354"/>
      <c r="G97" s="354"/>
      <c r="H97" s="358"/>
      <c r="I97" s="659" t="s">
        <v>1612</v>
      </c>
      <c r="J97" s="659"/>
      <c r="K97" s="659"/>
    </row>
    <row r="98" spans="3:11">
      <c r="C98" s="352"/>
      <c r="E98" s="354"/>
      <c r="F98" s="354"/>
      <c r="G98" s="354"/>
      <c r="H98" s="356"/>
      <c r="I98" s="356"/>
      <c r="J98" s="356"/>
      <c r="K98" s="356"/>
    </row>
    <row r="99" spans="3:11">
      <c r="C99" s="352"/>
      <c r="E99" s="354"/>
      <c r="F99" s="354"/>
      <c r="G99" s="354"/>
      <c r="H99" s="356"/>
      <c r="I99" s="356"/>
      <c r="J99" s="356"/>
      <c r="K99" s="356"/>
    </row>
    <row r="100" spans="3:11">
      <c r="C100" s="352"/>
      <c r="E100" s="354"/>
      <c r="F100" s="354"/>
      <c r="G100" s="354"/>
      <c r="H100" s="356"/>
      <c r="I100" s="356"/>
      <c r="J100" s="356"/>
      <c r="K100" s="356"/>
    </row>
  </sheetData>
  <sheetProtection sort="0" autoFilter="0"/>
  <protectedRanges>
    <protectedRange sqref="B78" name="Range1_1"/>
    <protectedRange sqref="F14:F15 F78:F79" name="Range1_1_2_2"/>
    <protectedRange sqref="B63:C64 B15 B16:C16 B18:C18 B40:C61 B66:C67 B65 B71:C77 B17 B19:B29 B68:B70 B62" name="Range1_6_1"/>
    <protectedRange sqref="B30:B38 B39:C39" name="Range1_6_1_2"/>
    <protectedRange sqref="C69:C70" name="Range1_1_3_3"/>
    <protectedRange sqref="C17" name="Range1_1_2_2_1"/>
    <protectedRange sqref="C19:C22 C24:C38" name="Range1_6_1_1"/>
    <protectedRange sqref="C23" name="Range1_1_2_6"/>
    <protectedRange sqref="C62" name="Range1_1_3_7"/>
    <protectedRange sqref="C68" name="Range1_1_3_5"/>
    <protectedRange sqref="C78" name="Range1_1_3_18"/>
    <protectedRange sqref="C65" name="Range1_1_3"/>
  </protectedRanges>
  <mergeCells count="22">
    <mergeCell ref="I92:K92"/>
    <mergeCell ref="I97:K97"/>
    <mergeCell ref="C85:F85"/>
    <mergeCell ref="G6:K6"/>
    <mergeCell ref="I91:K91"/>
    <mergeCell ref="C84:F84"/>
    <mergeCell ref="B86:K87"/>
    <mergeCell ref="H90:K90"/>
    <mergeCell ref="H11:K11"/>
    <mergeCell ref="H12:H13"/>
    <mergeCell ref="J12:J13"/>
    <mergeCell ref="K12:K13"/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 C17 C62">
    <cfRule type="cellIs" dxfId="10" priority="88" operator="equal">
      <formula>0</formula>
    </cfRule>
  </conditionalFormatting>
  <conditionalFormatting sqref="C20">
    <cfRule type="cellIs" dxfId="9" priority="8" operator="equal">
      <formula>0</formula>
    </cfRule>
  </conditionalFormatting>
  <conditionalFormatting sqref="C24">
    <cfRule type="cellIs" dxfId="8" priority="7" operator="equal">
      <formula>0</formula>
    </cfRule>
  </conditionalFormatting>
  <conditionalFormatting sqref="C68">
    <cfRule type="cellIs" dxfId="6" priority="3" operator="equal">
      <formula>0</formula>
    </cfRule>
  </conditionalFormatting>
  <conditionalFormatting sqref="C78">
    <cfRule type="cellIs" dxfId="5" priority="2" operator="equal">
      <formula>0</formula>
    </cfRule>
  </conditionalFormatting>
  <conditionalFormatting sqref="E1:E3 E5:E13 H12:I12 O13 S14:V77 E80:G80 H80:K82 E81:H81 E82:F82">
    <cfRule type="cellIs" dxfId="4" priority="1132" stopIfTrue="1" operator="equal">
      <formula>0</formula>
    </cfRule>
  </conditionalFormatting>
  <conditionalFormatting sqref="E14:K79">
    <cfRule type="cellIs" dxfId="3" priority="4" stopIfTrue="1" operator="equal">
      <formula>0</formula>
    </cfRule>
  </conditionalFormatting>
  <conditionalFormatting sqref="G1:G13">
    <cfRule type="cellIs" dxfId="2" priority="57" stopIfTrue="1" operator="equal">
      <formula>0</formula>
    </cfRule>
  </conditionalFormatting>
  <conditionalFormatting sqref="G81:G65547 E86:E65547">
    <cfRule type="cellIs" dxfId="1" priority="266" stopIfTrue="1" operator="equal">
      <formula>0</formula>
    </cfRule>
  </conditionalFormatting>
  <conditionalFormatting sqref="C6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71:F77 C21:C23 F16:F38 F40:F60 H14:K8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21A2E-9FA8-4DA9-9BF5-C95E7A2032FB}">
  <sheetPr>
    <tabColor rgb="FF92D050"/>
  </sheetPr>
  <dimension ref="C1:AK60"/>
  <sheetViews>
    <sheetView showGridLines="0" topLeftCell="A19" zoomScale="80" zoomScaleNormal="80" zoomScaleSheetLayoutView="100" workbookViewId="0">
      <selection activeCell="P43" sqref="P43"/>
    </sheetView>
  </sheetViews>
  <sheetFormatPr defaultColWidth="9.140625" defaultRowHeight="12"/>
  <cols>
    <col min="1" max="2" width="1.42578125" style="470" customWidth="1"/>
    <col min="3" max="3" width="7.42578125" style="470" customWidth="1"/>
    <col min="4" max="23" width="5.7109375" style="470" customWidth="1"/>
    <col min="24" max="24" width="6.28515625" style="470" customWidth="1"/>
    <col min="25" max="26" width="5.7109375" style="470" customWidth="1"/>
    <col min="27" max="27" width="6.5703125" style="470" customWidth="1"/>
    <col min="28" max="118" width="5.7109375" style="470" customWidth="1"/>
    <col min="119" max="16384" width="9.140625" style="470"/>
  </cols>
  <sheetData>
    <row r="1" spans="3:30" ht="12.75" thickBot="1"/>
    <row r="2" spans="3:30" ht="12.75" customHeight="1">
      <c r="C2" s="471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745" t="s">
        <v>1438</v>
      </c>
      <c r="X2" s="746"/>
      <c r="Y2" s="746"/>
      <c r="Z2" s="746"/>
      <c r="AA2" s="746"/>
      <c r="AB2" s="746"/>
      <c r="AC2" s="746"/>
      <c r="AD2" s="747"/>
    </row>
    <row r="3" spans="3:30">
      <c r="C3" s="473"/>
      <c r="K3" s="474" t="s">
        <v>1628</v>
      </c>
      <c r="W3" s="748"/>
      <c r="X3" s="749"/>
      <c r="Y3" s="749"/>
      <c r="Z3" s="749"/>
      <c r="AA3" s="749"/>
      <c r="AB3" s="749"/>
      <c r="AC3" s="749"/>
      <c r="AD3" s="750"/>
    </row>
    <row r="4" spans="3:30">
      <c r="C4" s="473"/>
      <c r="G4" s="474"/>
      <c r="W4" s="475" t="s">
        <v>987</v>
      </c>
      <c r="AD4" s="476"/>
    </row>
    <row r="5" spans="3:30">
      <c r="C5" s="473"/>
      <c r="W5" s="477" t="s">
        <v>991</v>
      </c>
      <c r="X5" s="680" t="s">
        <v>990</v>
      </c>
      <c r="Y5" s="680"/>
      <c r="Z5" s="680"/>
      <c r="AA5" s="680" t="s">
        <v>988</v>
      </c>
      <c r="AB5" s="680"/>
      <c r="AC5" s="680" t="s">
        <v>989</v>
      </c>
      <c r="AD5" s="681"/>
    </row>
    <row r="6" spans="3:30">
      <c r="C6" s="473"/>
      <c r="W6" s="477">
        <v>1</v>
      </c>
      <c r="X6" s="680" t="s">
        <v>993</v>
      </c>
      <c r="Y6" s="680"/>
      <c r="Z6" s="680"/>
      <c r="AA6" s="680"/>
      <c r="AB6" s="680"/>
      <c r="AC6" s="680"/>
      <c r="AD6" s="681"/>
    </row>
    <row r="7" spans="3:30">
      <c r="C7" s="473"/>
      <c r="W7" s="477">
        <v>2</v>
      </c>
      <c r="X7" s="680" t="s">
        <v>994</v>
      </c>
      <c r="Y7" s="680"/>
      <c r="Z7" s="680"/>
      <c r="AA7" s="680"/>
      <c r="AB7" s="680"/>
      <c r="AC7" s="680"/>
      <c r="AD7" s="681"/>
    </row>
    <row r="8" spans="3:30">
      <c r="C8" s="473"/>
      <c r="W8" s="477">
        <v>3</v>
      </c>
      <c r="X8" s="680" t="s">
        <v>995</v>
      </c>
      <c r="Y8" s="680"/>
      <c r="Z8" s="680"/>
      <c r="AA8" s="680"/>
      <c r="AB8" s="680"/>
      <c r="AC8" s="680"/>
      <c r="AD8" s="681"/>
    </row>
    <row r="9" spans="3:30">
      <c r="C9" s="473"/>
      <c r="W9" s="477">
        <v>4</v>
      </c>
      <c r="X9" s="680" t="s">
        <v>996</v>
      </c>
      <c r="Y9" s="680"/>
      <c r="Z9" s="680"/>
      <c r="AA9" s="680"/>
      <c r="AB9" s="680"/>
      <c r="AC9" s="680"/>
      <c r="AD9" s="681"/>
    </row>
    <row r="10" spans="3:30">
      <c r="C10" s="473"/>
      <c r="W10" s="477">
        <v>5</v>
      </c>
      <c r="X10" s="680" t="s">
        <v>997</v>
      </c>
      <c r="Y10" s="680"/>
      <c r="Z10" s="680"/>
      <c r="AA10" s="680"/>
      <c r="AB10" s="680"/>
      <c r="AC10" s="680"/>
      <c r="AD10" s="681"/>
    </row>
    <row r="11" spans="3:30">
      <c r="C11" s="473"/>
      <c r="W11" s="477">
        <v>6</v>
      </c>
      <c r="X11" s="680" t="s">
        <v>998</v>
      </c>
      <c r="Y11" s="680"/>
      <c r="Z11" s="680"/>
      <c r="AA11" s="680"/>
      <c r="AB11" s="680"/>
      <c r="AC11" s="680"/>
      <c r="AD11" s="681"/>
    </row>
    <row r="12" spans="3:30">
      <c r="C12" s="473"/>
      <c r="W12" s="477">
        <v>7</v>
      </c>
      <c r="X12" s="680" t="s">
        <v>999</v>
      </c>
      <c r="Y12" s="680"/>
      <c r="Z12" s="680"/>
      <c r="AA12" s="680"/>
      <c r="AB12" s="680"/>
      <c r="AC12" s="680"/>
      <c r="AD12" s="681"/>
    </row>
    <row r="13" spans="3:30" ht="12.75" customHeight="1">
      <c r="C13" s="473"/>
      <c r="W13" s="477">
        <v>8</v>
      </c>
      <c r="X13" s="680" t="s">
        <v>1000</v>
      </c>
      <c r="Y13" s="680"/>
      <c r="Z13" s="680"/>
      <c r="AA13" s="680"/>
      <c r="AB13" s="680"/>
      <c r="AC13" s="680"/>
      <c r="AD13" s="681"/>
    </row>
    <row r="14" spans="3:30">
      <c r="C14" s="473"/>
      <c r="W14" s="477">
        <v>9</v>
      </c>
      <c r="X14" s="680" t="s">
        <v>1001</v>
      </c>
      <c r="Y14" s="680"/>
      <c r="Z14" s="680"/>
      <c r="AA14" s="680"/>
      <c r="AB14" s="680"/>
      <c r="AC14" s="680"/>
      <c r="AD14" s="681"/>
    </row>
    <row r="15" spans="3:30">
      <c r="C15" s="473"/>
      <c r="W15" s="477">
        <v>10</v>
      </c>
      <c r="X15" s="680" t="s">
        <v>1010</v>
      </c>
      <c r="Y15" s="680"/>
      <c r="Z15" s="680"/>
      <c r="AA15" s="680"/>
      <c r="AB15" s="680"/>
      <c r="AC15" s="680"/>
      <c r="AD15" s="681"/>
    </row>
    <row r="16" spans="3:30">
      <c r="C16" s="473"/>
      <c r="W16" s="477">
        <v>11</v>
      </c>
      <c r="X16" s="680" t="s">
        <v>1454</v>
      </c>
      <c r="Y16" s="680"/>
      <c r="Z16" s="680"/>
      <c r="AA16" s="680"/>
      <c r="AB16" s="680"/>
      <c r="AC16" s="680"/>
      <c r="AD16" s="681"/>
    </row>
    <row r="17" spans="3:37">
      <c r="C17" s="473"/>
      <c r="S17" s="479"/>
      <c r="W17" s="477">
        <v>12</v>
      </c>
      <c r="X17" s="680" t="s">
        <v>1011</v>
      </c>
      <c r="Y17" s="680"/>
      <c r="Z17" s="680"/>
      <c r="AA17" s="680"/>
      <c r="AB17" s="680"/>
      <c r="AC17" s="680"/>
      <c r="AD17" s="681"/>
    </row>
    <row r="18" spans="3:37">
      <c r="C18" s="480"/>
      <c r="D18" s="481"/>
      <c r="E18" s="481"/>
      <c r="W18" s="477">
        <v>13</v>
      </c>
      <c r="X18" s="680"/>
      <c r="Y18" s="680"/>
      <c r="Z18" s="680"/>
      <c r="AA18" s="680"/>
      <c r="AB18" s="680"/>
      <c r="AC18" s="680"/>
      <c r="AD18" s="681"/>
    </row>
    <row r="19" spans="3:37">
      <c r="C19" s="473"/>
      <c r="W19" s="482"/>
      <c r="X19" s="734"/>
      <c r="Y19" s="734"/>
      <c r="Z19" s="734"/>
      <c r="AA19" s="734"/>
      <c r="AB19" s="734"/>
      <c r="AC19" s="734"/>
      <c r="AD19" s="735"/>
    </row>
    <row r="20" spans="3:37">
      <c r="C20" s="473"/>
      <c r="Q20" s="483"/>
      <c r="W20" s="736" t="s">
        <v>992</v>
      </c>
      <c r="X20" s="737"/>
      <c r="Y20" s="737"/>
      <c r="Z20" s="737"/>
      <c r="AA20" s="737"/>
      <c r="AB20" s="737"/>
      <c r="AC20" s="737"/>
      <c r="AD20" s="738"/>
    </row>
    <row r="21" spans="3:37">
      <c r="C21" s="473"/>
      <c r="W21" s="739" t="s">
        <v>985</v>
      </c>
      <c r="X21" s="740"/>
      <c r="Y21" s="740"/>
      <c r="Z21" s="741"/>
      <c r="AA21" s="742" t="s">
        <v>986</v>
      </c>
      <c r="AB21" s="743"/>
      <c r="AC21" s="743"/>
      <c r="AD21" s="744"/>
    </row>
    <row r="22" spans="3:37">
      <c r="C22" s="473"/>
      <c r="S22" s="484"/>
      <c r="W22" s="728" t="s">
        <v>1632</v>
      </c>
      <c r="X22" s="729"/>
      <c r="Y22" s="485" t="s">
        <v>1618</v>
      </c>
      <c r="Z22" s="486">
        <v>1</v>
      </c>
      <c r="AA22" s="730" t="s">
        <v>1627</v>
      </c>
      <c r="AB22" s="731"/>
      <c r="AC22" s="487" t="s">
        <v>1618</v>
      </c>
      <c r="AD22" s="488">
        <v>1</v>
      </c>
    </row>
    <row r="23" spans="3:37">
      <c r="C23" s="473"/>
      <c r="W23" s="728"/>
      <c r="X23" s="729"/>
      <c r="Y23" s="485"/>
      <c r="Z23" s="486"/>
      <c r="AA23" s="721"/>
      <c r="AB23" s="722"/>
      <c r="AC23" s="487"/>
      <c r="AD23" s="488"/>
    </row>
    <row r="24" spans="3:37">
      <c r="C24" s="473"/>
      <c r="W24" s="728"/>
      <c r="X24" s="729"/>
      <c r="Y24" s="485"/>
      <c r="Z24" s="486"/>
      <c r="AA24" s="732"/>
      <c r="AB24" s="733"/>
      <c r="AC24" s="487"/>
      <c r="AD24" s="488"/>
    </row>
    <row r="25" spans="3:37">
      <c r="C25" s="473"/>
      <c r="W25" s="728"/>
      <c r="X25" s="729"/>
      <c r="Y25" s="485"/>
      <c r="Z25" s="486"/>
      <c r="AA25" s="721"/>
      <c r="AB25" s="722"/>
      <c r="AC25" s="487"/>
      <c r="AD25" s="488"/>
    </row>
    <row r="26" spans="3:37">
      <c r="C26" s="473"/>
      <c r="W26" s="728"/>
      <c r="X26" s="729"/>
      <c r="Y26" s="485"/>
      <c r="Z26" s="486"/>
      <c r="AA26" s="721"/>
      <c r="AB26" s="722"/>
      <c r="AC26" s="487"/>
      <c r="AD26" s="488"/>
    </row>
    <row r="27" spans="3:37">
      <c r="C27" s="473"/>
      <c r="W27" s="726"/>
      <c r="X27" s="727"/>
      <c r="Y27" s="485"/>
      <c r="Z27" s="486"/>
      <c r="AA27" s="721"/>
      <c r="AB27" s="722"/>
      <c r="AC27" s="487"/>
      <c r="AD27" s="488"/>
    </row>
    <row r="28" spans="3:37">
      <c r="C28" s="473"/>
      <c r="W28" s="726"/>
      <c r="X28" s="727"/>
      <c r="Y28" s="485"/>
      <c r="Z28" s="486"/>
      <c r="AA28" s="721"/>
      <c r="AB28" s="722"/>
      <c r="AC28" s="487"/>
      <c r="AD28" s="488"/>
    </row>
    <row r="29" spans="3:37">
      <c r="C29" s="473"/>
      <c r="W29" s="719"/>
      <c r="X29" s="720"/>
      <c r="Y29" s="485"/>
      <c r="Z29" s="486"/>
      <c r="AA29" s="721"/>
      <c r="AB29" s="722"/>
      <c r="AC29" s="487"/>
      <c r="AD29" s="488"/>
    </row>
    <row r="30" spans="3:37" ht="11.25" customHeight="1">
      <c r="C30" s="473"/>
      <c r="W30" s="726"/>
      <c r="X30" s="727"/>
      <c r="Y30" s="485"/>
      <c r="Z30" s="486"/>
      <c r="AA30" s="721"/>
      <c r="AB30" s="722"/>
      <c r="AC30" s="487"/>
      <c r="AD30" s="488"/>
    </row>
    <row r="31" spans="3:37">
      <c r="C31" s="473"/>
      <c r="U31" s="491"/>
      <c r="W31" s="719"/>
      <c r="X31" s="720"/>
      <c r="Y31" s="485"/>
      <c r="Z31" s="486"/>
      <c r="AA31" s="721"/>
      <c r="AB31" s="722"/>
      <c r="AC31" s="487"/>
      <c r="AD31" s="488"/>
      <c r="AH31" s="725"/>
      <c r="AI31" s="725"/>
      <c r="AJ31" s="492"/>
      <c r="AK31" s="492"/>
    </row>
    <row r="32" spans="3:37">
      <c r="C32" s="473"/>
      <c r="U32" s="491"/>
      <c r="W32" s="489"/>
      <c r="X32" s="490"/>
      <c r="Y32" s="485"/>
      <c r="Z32" s="486"/>
      <c r="AA32" s="721"/>
      <c r="AB32" s="722"/>
      <c r="AC32" s="487"/>
      <c r="AD32" s="488"/>
      <c r="AH32" s="725"/>
      <c r="AI32" s="725"/>
      <c r="AJ32" s="492"/>
      <c r="AK32" s="492"/>
    </row>
    <row r="33" spans="3:37">
      <c r="C33" s="473"/>
      <c r="W33" s="719"/>
      <c r="X33" s="720"/>
      <c r="Y33" s="485"/>
      <c r="Z33" s="486"/>
      <c r="AA33" s="721"/>
      <c r="AB33" s="722"/>
      <c r="AC33" s="487"/>
      <c r="AD33" s="488"/>
      <c r="AH33" s="701"/>
      <c r="AI33" s="701"/>
      <c r="AJ33" s="492"/>
      <c r="AK33" s="492"/>
    </row>
    <row r="34" spans="3:37">
      <c r="C34" s="473"/>
      <c r="Q34" s="470" t="s">
        <v>1607</v>
      </c>
      <c r="W34" s="719"/>
      <c r="X34" s="720"/>
      <c r="Y34" s="485"/>
      <c r="Z34" s="486"/>
      <c r="AA34" s="721"/>
      <c r="AB34" s="722"/>
      <c r="AC34" s="487"/>
      <c r="AD34" s="488"/>
      <c r="AH34" s="701"/>
      <c r="AI34" s="701"/>
      <c r="AJ34" s="492"/>
      <c r="AK34" s="492"/>
    </row>
    <row r="35" spans="3:37">
      <c r="C35" s="473"/>
      <c r="W35" s="719"/>
      <c r="X35" s="720"/>
      <c r="Y35" s="485"/>
      <c r="Z35" s="486"/>
      <c r="AA35" s="721"/>
      <c r="AB35" s="722"/>
      <c r="AC35" s="487"/>
      <c r="AD35" s="488"/>
      <c r="AH35" s="701"/>
      <c r="AI35" s="701"/>
      <c r="AJ35" s="492"/>
      <c r="AK35" s="492"/>
    </row>
    <row r="36" spans="3:37">
      <c r="C36" s="473"/>
      <c r="W36" s="719"/>
      <c r="X36" s="720"/>
      <c r="Y36" s="485"/>
      <c r="Z36" s="486"/>
      <c r="AA36" s="721"/>
      <c r="AB36" s="722"/>
      <c r="AC36" s="487"/>
      <c r="AD36" s="488"/>
      <c r="AH36" s="701"/>
      <c r="AI36" s="701"/>
      <c r="AJ36" s="492"/>
      <c r="AK36" s="492"/>
    </row>
    <row r="37" spans="3:37" ht="12.75" customHeight="1">
      <c r="C37" s="473"/>
      <c r="W37" s="719"/>
      <c r="X37" s="720"/>
      <c r="Y37" s="485"/>
      <c r="Z37" s="486"/>
      <c r="AA37" s="723"/>
      <c r="AB37" s="724"/>
      <c r="AC37" s="487"/>
      <c r="AD37" s="494"/>
      <c r="AH37" s="701"/>
      <c r="AI37" s="701"/>
      <c r="AJ37" s="492"/>
      <c r="AK37" s="492"/>
    </row>
    <row r="38" spans="3:37" ht="12.75" customHeight="1">
      <c r="C38" s="473"/>
      <c r="W38" s="495"/>
      <c r="X38" s="496"/>
      <c r="Y38" s="485"/>
      <c r="Z38" s="497"/>
      <c r="AA38" s="713"/>
      <c r="AB38" s="714"/>
      <c r="AC38" s="487"/>
      <c r="AD38" s="494"/>
      <c r="AH38" s="493"/>
      <c r="AI38" s="493"/>
      <c r="AJ38" s="492"/>
      <c r="AK38" s="492"/>
    </row>
    <row r="39" spans="3:37" ht="12" customHeight="1">
      <c r="C39" s="473"/>
      <c r="W39" s="498"/>
      <c r="X39" s="499"/>
      <c r="Y39" s="500"/>
      <c r="Z39" s="497"/>
      <c r="AA39" s="715"/>
      <c r="AB39" s="716"/>
      <c r="AC39" s="487"/>
      <c r="AD39" s="494"/>
      <c r="AH39" s="701"/>
      <c r="AI39" s="701"/>
      <c r="AJ39" s="492"/>
      <c r="AK39" s="492"/>
    </row>
    <row r="40" spans="3:37" ht="12" customHeight="1">
      <c r="C40" s="473"/>
      <c r="W40" s="706"/>
      <c r="X40" s="706"/>
      <c r="Y40" s="501"/>
      <c r="Z40" s="502"/>
      <c r="AA40" s="503"/>
      <c r="AB40" s="504"/>
      <c r="AC40" s="505"/>
      <c r="AD40" s="506"/>
      <c r="AH40" s="701"/>
      <c r="AI40" s="701"/>
      <c r="AJ40" s="492"/>
      <c r="AK40" s="492"/>
    </row>
    <row r="41" spans="3:37" ht="12" customHeight="1">
      <c r="C41" s="473"/>
      <c r="W41" s="498"/>
      <c r="X41" s="499"/>
      <c r="Y41" s="500"/>
      <c r="Z41" s="497"/>
      <c r="AA41" s="717"/>
      <c r="AB41" s="718"/>
      <c r="AC41" s="507"/>
      <c r="AD41" s="508"/>
      <c r="AH41" s="701"/>
      <c r="AI41" s="701"/>
      <c r="AJ41" s="492"/>
      <c r="AK41" s="492"/>
    </row>
    <row r="42" spans="3:37" ht="12" customHeight="1">
      <c r="C42" s="473"/>
      <c r="W42" s="702"/>
      <c r="X42" s="703"/>
      <c r="Y42" s="509"/>
      <c r="Z42" s="510"/>
      <c r="AA42" s="704"/>
      <c r="AB42" s="705"/>
      <c r="AC42" s="511"/>
      <c r="AD42" s="512"/>
      <c r="AE42" s="513"/>
      <c r="AH42" s="701"/>
      <c r="AI42" s="701"/>
      <c r="AJ42" s="492"/>
      <c r="AK42" s="492"/>
    </row>
    <row r="43" spans="3:37" ht="12" customHeight="1">
      <c r="C43" s="473"/>
      <c r="W43" s="706"/>
      <c r="X43" s="706"/>
      <c r="Y43" s="501"/>
      <c r="Z43" s="514"/>
      <c r="AA43" s="707"/>
      <c r="AB43" s="708"/>
      <c r="AC43" s="515"/>
      <c r="AD43" s="516"/>
      <c r="AE43" s="513"/>
      <c r="AH43" s="493"/>
      <c r="AI43" s="493"/>
      <c r="AJ43" s="492"/>
      <c r="AK43" s="492"/>
    </row>
    <row r="44" spans="3:37" ht="12" customHeight="1">
      <c r="C44" s="473"/>
      <c r="W44" s="709"/>
      <c r="X44" s="710"/>
      <c r="Y44" s="517"/>
      <c r="Z44" s="518"/>
      <c r="AA44" s="711"/>
      <c r="AB44" s="712"/>
      <c r="AC44" s="519"/>
      <c r="AD44" s="520"/>
      <c r="AH44" s="493"/>
      <c r="AI44" s="493"/>
      <c r="AJ44" s="492"/>
      <c r="AK44" s="492"/>
    </row>
    <row r="45" spans="3:37" ht="12" customHeight="1">
      <c r="C45" s="473"/>
      <c r="S45" s="521"/>
      <c r="W45" s="691"/>
      <c r="X45" s="692"/>
      <c r="Y45" s="522"/>
      <c r="Z45" s="522"/>
      <c r="AA45" s="693"/>
      <c r="AB45" s="694"/>
      <c r="AC45" s="505"/>
      <c r="AD45" s="505"/>
      <c r="AH45" s="493"/>
      <c r="AI45" s="493"/>
      <c r="AJ45" s="492"/>
      <c r="AK45" s="492"/>
    </row>
    <row r="46" spans="3:37" ht="12" customHeight="1">
      <c r="C46" s="473"/>
      <c r="W46" s="691"/>
      <c r="X46" s="692"/>
      <c r="Y46" s="522"/>
      <c r="Z46" s="522"/>
      <c r="AA46" s="693"/>
      <c r="AB46" s="694"/>
      <c r="AC46" s="505"/>
      <c r="AD46" s="505"/>
      <c r="AH46" s="493"/>
      <c r="AI46" s="493"/>
      <c r="AJ46" s="492"/>
      <c r="AK46" s="492"/>
    </row>
    <row r="47" spans="3:37" ht="12" customHeight="1">
      <c r="C47" s="473"/>
      <c r="W47" s="695" t="s">
        <v>1620</v>
      </c>
      <c r="X47" s="696"/>
      <c r="Y47" s="696"/>
      <c r="Z47" s="696"/>
      <c r="AA47" s="696"/>
      <c r="AB47" s="696"/>
      <c r="AC47" s="696"/>
      <c r="AD47" s="697"/>
      <c r="AH47" s="701"/>
      <c r="AI47" s="701"/>
      <c r="AJ47" s="492"/>
      <c r="AK47" s="492"/>
    </row>
    <row r="48" spans="3:37" ht="12" customHeight="1">
      <c r="C48" s="473"/>
      <c r="V48" s="523"/>
      <c r="W48" s="698"/>
      <c r="X48" s="699"/>
      <c r="Y48" s="699"/>
      <c r="Z48" s="699"/>
      <c r="AA48" s="699"/>
      <c r="AB48" s="699"/>
      <c r="AC48" s="699"/>
      <c r="AD48" s="700"/>
      <c r="AH48" s="493"/>
      <c r="AI48" s="493"/>
      <c r="AJ48" s="492"/>
      <c r="AK48" s="492"/>
    </row>
    <row r="49" spans="3:37">
      <c r="C49" s="524"/>
      <c r="D49" s="525"/>
      <c r="E49" s="525"/>
      <c r="F49" s="525"/>
      <c r="G49" s="525"/>
      <c r="H49" s="525"/>
      <c r="I49" s="525"/>
      <c r="N49" s="525"/>
      <c r="O49" s="525"/>
      <c r="P49" s="525"/>
      <c r="Q49" s="525"/>
      <c r="R49" s="525"/>
      <c r="S49" s="525"/>
      <c r="T49" s="525"/>
      <c r="U49" s="525"/>
      <c r="V49" s="523"/>
      <c r="W49" s="689" t="s">
        <v>11</v>
      </c>
      <c r="X49" s="679"/>
      <c r="Y49" s="680"/>
      <c r="Z49" s="680"/>
      <c r="AA49" s="680"/>
      <c r="AB49" s="680"/>
      <c r="AC49" s="680"/>
      <c r="AD49" s="681"/>
      <c r="AH49" s="526"/>
      <c r="AI49" s="526"/>
      <c r="AJ49" s="492"/>
      <c r="AK49" s="492"/>
    </row>
    <row r="50" spans="3:37">
      <c r="C50" s="524"/>
      <c r="D50" s="525"/>
      <c r="E50" s="525"/>
      <c r="F50" s="525"/>
      <c r="G50" s="525"/>
      <c r="H50" s="525"/>
      <c r="I50" s="525"/>
      <c r="N50" s="525"/>
      <c r="O50" s="525"/>
      <c r="P50" s="525"/>
      <c r="Q50" s="525"/>
      <c r="R50" s="525"/>
      <c r="S50" s="525"/>
      <c r="T50" s="525"/>
      <c r="U50" s="525"/>
      <c r="V50" s="523"/>
      <c r="W50" s="689" t="s">
        <v>984</v>
      </c>
      <c r="X50" s="679"/>
      <c r="Y50" s="680">
        <v>1</v>
      </c>
      <c r="Z50" s="680"/>
      <c r="AA50" s="680"/>
      <c r="AB50" s="680" t="s">
        <v>12</v>
      </c>
      <c r="AC50" s="680"/>
      <c r="AD50" s="478" t="s">
        <v>13</v>
      </c>
      <c r="AH50" s="526"/>
      <c r="AI50" s="526"/>
      <c r="AJ50" s="492"/>
      <c r="AK50" s="492"/>
    </row>
    <row r="51" spans="3:37">
      <c r="C51" s="524"/>
      <c r="D51" s="525"/>
      <c r="E51" s="525"/>
      <c r="F51" s="525"/>
      <c r="G51" s="525"/>
      <c r="H51" s="525"/>
      <c r="I51" s="525"/>
      <c r="J51" s="525"/>
      <c r="K51" s="525"/>
      <c r="L51" s="525"/>
      <c r="M51" s="525"/>
      <c r="N51" s="525"/>
      <c r="O51" s="525"/>
      <c r="P51" s="525"/>
      <c r="Q51" s="525"/>
      <c r="R51" s="525"/>
      <c r="S51" s="525"/>
      <c r="T51" s="525"/>
      <c r="U51" s="525"/>
      <c r="V51" s="523"/>
      <c r="W51" s="689" t="s">
        <v>15</v>
      </c>
      <c r="X51" s="679"/>
      <c r="Y51" s="690"/>
      <c r="Z51" s="690"/>
      <c r="AA51" s="690"/>
      <c r="AB51" s="680" t="s">
        <v>16</v>
      </c>
      <c r="AC51" s="680"/>
      <c r="AD51" s="527"/>
      <c r="AH51" s="526"/>
      <c r="AI51" s="526"/>
      <c r="AJ51" s="528"/>
      <c r="AK51" s="492"/>
    </row>
    <row r="52" spans="3:37">
      <c r="C52" s="524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525"/>
      <c r="T52" s="525"/>
      <c r="U52" s="525"/>
      <c r="V52" s="523"/>
      <c r="W52" s="682" t="s">
        <v>17</v>
      </c>
      <c r="X52" s="682"/>
      <c r="Y52" s="682"/>
      <c r="Z52" s="682"/>
      <c r="AA52" s="682"/>
      <c r="AB52" s="682"/>
      <c r="AC52" s="682"/>
      <c r="AD52" s="683"/>
      <c r="AH52" s="684"/>
      <c r="AI52" s="684"/>
      <c r="AJ52" s="529"/>
      <c r="AK52" s="529"/>
    </row>
    <row r="53" spans="3:37" ht="12.75" customHeight="1">
      <c r="C53" s="524"/>
      <c r="D53" s="525"/>
      <c r="E53" s="525"/>
      <c r="F53" s="525"/>
      <c r="G53" s="525"/>
      <c r="H53" s="525"/>
      <c r="I53" s="525"/>
      <c r="J53" s="525"/>
      <c r="K53" s="525"/>
      <c r="L53" s="525"/>
      <c r="M53" s="525"/>
      <c r="R53" s="525"/>
      <c r="S53" s="525"/>
      <c r="T53" s="525"/>
      <c r="U53" s="525"/>
      <c r="V53" s="523"/>
      <c r="W53" s="685" t="s">
        <v>1633</v>
      </c>
      <c r="X53" s="685"/>
      <c r="Y53" s="685"/>
      <c r="Z53" s="685"/>
      <c r="AA53" s="685"/>
      <c r="AB53" s="685"/>
      <c r="AC53" s="685"/>
      <c r="AD53" s="686"/>
    </row>
    <row r="54" spans="3:37">
      <c r="C54" s="524"/>
      <c r="D54" s="530"/>
      <c r="E54" s="525"/>
      <c r="F54" s="525"/>
      <c r="G54" s="525"/>
      <c r="I54" s="525"/>
      <c r="J54" s="525"/>
      <c r="K54" s="525"/>
      <c r="L54" s="525"/>
      <c r="M54" s="525"/>
      <c r="R54" s="525"/>
      <c r="S54" s="525"/>
      <c r="T54" s="525"/>
      <c r="U54" s="525"/>
      <c r="V54" s="531"/>
      <c r="W54" s="685"/>
      <c r="X54" s="685"/>
      <c r="Y54" s="685"/>
      <c r="Z54" s="685"/>
      <c r="AA54" s="685"/>
      <c r="AB54" s="685"/>
      <c r="AC54" s="685"/>
      <c r="AD54" s="686"/>
    </row>
    <row r="55" spans="3:37">
      <c r="C55" s="524"/>
      <c r="D55" s="532"/>
      <c r="E55" s="532"/>
      <c r="F55" s="532"/>
      <c r="G55" s="532"/>
      <c r="I55" s="525"/>
      <c r="J55" s="525"/>
      <c r="K55" s="525"/>
      <c r="L55" s="525"/>
      <c r="M55" s="525"/>
      <c r="N55" s="525"/>
      <c r="O55" s="525"/>
      <c r="P55" s="525"/>
      <c r="Q55" s="525"/>
      <c r="R55" s="525"/>
      <c r="S55" s="525"/>
      <c r="T55" s="525"/>
      <c r="U55" s="525"/>
      <c r="V55" s="531"/>
      <c r="W55" s="685"/>
      <c r="X55" s="685"/>
      <c r="Y55" s="685"/>
      <c r="Z55" s="685"/>
      <c r="AA55" s="685"/>
      <c r="AB55" s="685"/>
      <c r="AC55" s="685"/>
      <c r="AD55" s="686"/>
    </row>
    <row r="56" spans="3:37" ht="19.5" customHeight="1">
      <c r="C56" s="524"/>
      <c r="D56" s="532"/>
      <c r="E56" s="532"/>
      <c r="F56" s="532"/>
      <c r="G56" s="532"/>
      <c r="I56" s="525"/>
      <c r="J56" s="525"/>
      <c r="K56" s="525"/>
      <c r="L56" s="525"/>
      <c r="M56" s="525"/>
      <c r="N56" s="525"/>
      <c r="O56" s="525"/>
      <c r="P56" s="525"/>
      <c r="Q56" s="525"/>
      <c r="R56" s="525"/>
      <c r="S56" s="525"/>
      <c r="T56" s="525"/>
      <c r="U56" s="525"/>
      <c r="V56" s="531"/>
      <c r="W56" s="687"/>
      <c r="X56" s="687"/>
      <c r="Y56" s="687"/>
      <c r="Z56" s="687"/>
      <c r="AA56" s="687"/>
      <c r="AB56" s="687"/>
      <c r="AC56" s="687"/>
      <c r="AD56" s="688"/>
    </row>
    <row r="57" spans="3:37">
      <c r="C57" s="524"/>
      <c r="D57" s="533"/>
      <c r="E57" s="533"/>
      <c r="F57" s="533"/>
      <c r="G57" s="533"/>
      <c r="I57" s="525"/>
      <c r="J57" s="525"/>
      <c r="K57" s="525"/>
      <c r="L57" s="422"/>
      <c r="M57" s="525"/>
      <c r="N57" s="525"/>
      <c r="O57" s="525"/>
      <c r="P57" s="525"/>
      <c r="Q57" s="525"/>
      <c r="R57" s="525"/>
      <c r="S57" s="525"/>
      <c r="T57" s="525"/>
      <c r="U57" s="525"/>
      <c r="V57" s="523"/>
      <c r="W57" s="678" t="s">
        <v>18</v>
      </c>
      <c r="X57" s="679"/>
      <c r="Y57" s="680" t="s">
        <v>1621</v>
      </c>
      <c r="Z57" s="680"/>
      <c r="AA57" s="680"/>
      <c r="AB57" s="680"/>
      <c r="AC57" s="680"/>
      <c r="AD57" s="681"/>
    </row>
    <row r="58" spans="3:37">
      <c r="C58" s="524"/>
      <c r="D58" s="532"/>
      <c r="E58" s="532"/>
      <c r="F58" s="532"/>
      <c r="G58" s="532"/>
      <c r="I58" s="525"/>
      <c r="J58" s="525"/>
      <c r="K58" s="525"/>
      <c r="L58" s="525"/>
      <c r="M58" s="525"/>
      <c r="N58" s="525"/>
      <c r="O58" s="525"/>
      <c r="P58" s="525"/>
      <c r="Q58" s="525"/>
      <c r="R58" s="525"/>
      <c r="S58" s="525"/>
      <c r="T58" s="525"/>
      <c r="V58" s="523"/>
      <c r="W58" s="678" t="s">
        <v>19</v>
      </c>
      <c r="X58" s="679"/>
      <c r="Y58" s="680" t="s">
        <v>1622</v>
      </c>
      <c r="Z58" s="680"/>
      <c r="AA58" s="680"/>
      <c r="AB58" s="680"/>
      <c r="AC58" s="680"/>
      <c r="AD58" s="681"/>
    </row>
    <row r="59" spans="3:37">
      <c r="C59" s="524"/>
      <c r="D59" s="423"/>
      <c r="E59" s="423"/>
      <c r="F59" s="423"/>
      <c r="G59" s="423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525"/>
      <c r="T59" s="525"/>
      <c r="V59" s="523"/>
      <c r="W59" s="678" t="s">
        <v>20</v>
      </c>
      <c r="X59" s="679"/>
      <c r="Y59" s="680" t="s">
        <v>1622</v>
      </c>
      <c r="Z59" s="680"/>
      <c r="AA59" s="680"/>
      <c r="AB59" s="680"/>
      <c r="AC59" s="680"/>
      <c r="AD59" s="681"/>
    </row>
    <row r="60" spans="3:37" ht="12.75" thickBot="1">
      <c r="C60" s="534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535"/>
      <c r="O60" s="535"/>
      <c r="P60" s="535"/>
      <c r="Q60" s="535"/>
      <c r="R60" s="535"/>
      <c r="S60" s="535"/>
      <c r="T60" s="535"/>
      <c r="U60" s="536"/>
      <c r="V60" s="537"/>
      <c r="W60" s="674" t="s">
        <v>21</v>
      </c>
      <c r="X60" s="675"/>
      <c r="Y60" s="676" t="s">
        <v>1623</v>
      </c>
      <c r="Z60" s="676"/>
      <c r="AA60" s="676"/>
      <c r="AB60" s="676"/>
      <c r="AC60" s="676"/>
      <c r="AD60" s="677"/>
    </row>
  </sheetData>
  <mergeCells count="130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4:X34"/>
    <mergeCell ref="AA34:AB34"/>
    <mergeCell ref="AH34:AI34"/>
    <mergeCell ref="W35:X35"/>
    <mergeCell ref="AA35:AB35"/>
    <mergeCell ref="AH35:AI35"/>
    <mergeCell ref="W31:X31"/>
    <mergeCell ref="AA31:AB31"/>
    <mergeCell ref="AH31:AI31"/>
    <mergeCell ref="AA32:AB32"/>
    <mergeCell ref="AH32:AI32"/>
    <mergeCell ref="W33:X33"/>
    <mergeCell ref="AA33:AB33"/>
    <mergeCell ref="AH33:AI33"/>
    <mergeCell ref="AA38:AB38"/>
    <mergeCell ref="AA39:AB39"/>
    <mergeCell ref="AH39:AI39"/>
    <mergeCell ref="W40:X40"/>
    <mergeCell ref="AH40:AI40"/>
    <mergeCell ref="AA41:AB41"/>
    <mergeCell ref="AH41:AI41"/>
    <mergeCell ref="W36:X36"/>
    <mergeCell ref="AA36:AB36"/>
    <mergeCell ref="AH36:AI36"/>
    <mergeCell ref="W37:X37"/>
    <mergeCell ref="AA37:AB37"/>
    <mergeCell ref="AH37:AI37"/>
    <mergeCell ref="W45:X45"/>
    <mergeCell ref="AA45:AB45"/>
    <mergeCell ref="W46:X46"/>
    <mergeCell ref="AA46:AB46"/>
    <mergeCell ref="W47:AD48"/>
    <mergeCell ref="AH47:AI47"/>
    <mergeCell ref="W42:X42"/>
    <mergeCell ref="AA42:AB42"/>
    <mergeCell ref="AH42:AI42"/>
    <mergeCell ref="W43:X43"/>
    <mergeCell ref="AA43:AB43"/>
    <mergeCell ref="W44:X44"/>
    <mergeCell ref="AA44:AB44"/>
    <mergeCell ref="W52:AD52"/>
    <mergeCell ref="AH52:AI52"/>
    <mergeCell ref="W53:AD56"/>
    <mergeCell ref="W57:X57"/>
    <mergeCell ref="Y57:AA57"/>
    <mergeCell ref="AB57:AD57"/>
    <mergeCell ref="W49:X49"/>
    <mergeCell ref="Y49:AD49"/>
    <mergeCell ref="W50:X50"/>
    <mergeCell ref="Y50:AA50"/>
    <mergeCell ref="AB50:AC50"/>
    <mergeCell ref="W51:X51"/>
    <mergeCell ref="Y51:AA51"/>
    <mergeCell ref="AB51:AC51"/>
    <mergeCell ref="W60:X60"/>
    <mergeCell ref="Y60:AA60"/>
    <mergeCell ref="AB60:AD60"/>
    <mergeCell ref="W58:X58"/>
    <mergeCell ref="Y58:AA58"/>
    <mergeCell ref="AB58:AD58"/>
    <mergeCell ref="W59:X59"/>
    <mergeCell ref="Y59:AA59"/>
    <mergeCell ref="AB59:AD5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51" t="s">
        <v>1624</v>
      </c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3"/>
      <c r="AC3" s="430"/>
      <c r="AD3" s="428"/>
      <c r="AE3" s="428"/>
    </row>
    <row r="4" spans="2:31" ht="13.5" customHeight="1" thickBot="1">
      <c r="B4" s="429"/>
      <c r="C4" s="754"/>
      <c r="D4" s="755"/>
      <c r="E4" s="755"/>
      <c r="F4" s="755"/>
      <c r="G4" s="755"/>
      <c r="H4" s="755"/>
      <c r="I4" s="755"/>
      <c r="J4" s="755"/>
      <c r="K4" s="755"/>
      <c r="L4" s="755"/>
      <c r="M4" s="755"/>
      <c r="N4" s="755"/>
      <c r="O4" s="755"/>
      <c r="P4" s="755"/>
      <c r="Q4" s="755"/>
      <c r="R4" s="755"/>
      <c r="S4" s="755"/>
      <c r="T4" s="755"/>
      <c r="U4" s="755"/>
      <c r="V4" s="755"/>
      <c r="W4" s="755"/>
      <c r="X4" s="755"/>
      <c r="Y4" s="755"/>
      <c r="Z4" s="755"/>
      <c r="AA4" s="755"/>
      <c r="AB4" s="75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zoomScale="43" zoomScaleNormal="130" zoomScaleSheetLayoutView="40" workbookViewId="0">
      <selection activeCell="AC42" sqref="AC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57" t="s">
        <v>1625</v>
      </c>
      <c r="E4" s="758"/>
      <c r="F4" s="758"/>
      <c r="G4" s="758"/>
      <c r="H4" s="758"/>
      <c r="I4" s="758"/>
      <c r="J4" s="758"/>
      <c r="K4" s="758"/>
      <c r="L4" s="758"/>
      <c r="M4" s="758"/>
      <c r="N4" s="758"/>
      <c r="O4" s="758"/>
      <c r="P4" s="758"/>
      <c r="Q4" s="758"/>
      <c r="R4" s="758"/>
      <c r="S4" s="758"/>
      <c r="T4" s="758"/>
      <c r="U4" s="758"/>
      <c r="V4" s="758"/>
      <c r="W4" s="758"/>
      <c r="X4" s="758"/>
      <c r="Y4" s="758"/>
      <c r="Z4" s="758"/>
      <c r="AA4" s="758"/>
      <c r="AB4" s="758"/>
      <c r="AC4" s="759"/>
      <c r="AD4" s="206"/>
      <c r="AE4" s="205"/>
      <c r="AF4" s="205"/>
    </row>
    <row r="5" spans="2:32" ht="13.5" customHeight="1" thickBot="1">
      <c r="B5" s="204"/>
      <c r="C5" s="204"/>
      <c r="D5" s="760"/>
      <c r="E5" s="761"/>
      <c r="F5" s="761"/>
      <c r="G5" s="761"/>
      <c r="H5" s="761"/>
      <c r="I5" s="761"/>
      <c r="J5" s="761"/>
      <c r="K5" s="761"/>
      <c r="L5" s="761"/>
      <c r="M5" s="761"/>
      <c r="N5" s="761"/>
      <c r="O5" s="761"/>
      <c r="P5" s="761"/>
      <c r="Q5" s="761"/>
      <c r="R5" s="761"/>
      <c r="S5" s="761"/>
      <c r="T5" s="761"/>
      <c r="U5" s="761"/>
      <c r="V5" s="761"/>
      <c r="W5" s="761"/>
      <c r="X5" s="761"/>
      <c r="Y5" s="761"/>
      <c r="Z5" s="761"/>
      <c r="AA5" s="761"/>
      <c r="AB5" s="761"/>
      <c r="AC5" s="76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1"/>
    </row>
    <row r="76" spans="2:32" ht="15" customHeight="1">
      <c r="F76" s="462"/>
      <c r="N76" s="461"/>
    </row>
    <row r="77" spans="2:32" ht="15" customHeight="1">
      <c r="F77" s="462"/>
      <c r="N77" s="461"/>
    </row>
    <row r="78" spans="2:32" ht="15" customHeight="1">
      <c r="F78" s="462"/>
      <c r="N78" s="461"/>
    </row>
    <row r="79" spans="2:32" ht="15" customHeight="1">
      <c r="F79" s="462"/>
      <c r="N79" s="461"/>
    </row>
    <row r="80" spans="2:32" ht="15" customHeight="1">
      <c r="F80" s="462"/>
      <c r="N80" s="461"/>
    </row>
    <row r="81" spans="6:14" ht="15" customHeight="1">
      <c r="F81" s="462"/>
      <c r="N81" s="461"/>
    </row>
    <row r="82" spans="6:14" ht="15" customHeight="1">
      <c r="F82" s="462"/>
      <c r="N82" s="461"/>
    </row>
    <row r="83" spans="6:14" ht="15" customHeight="1">
      <c r="F83" s="462"/>
      <c r="N83" s="461"/>
    </row>
    <row r="84" spans="6:14" ht="15" customHeight="1">
      <c r="F84" s="462"/>
      <c r="N84" s="461"/>
    </row>
    <row r="85" spans="6:14" ht="15" customHeight="1">
      <c r="F85" s="462"/>
      <c r="N85" s="461"/>
    </row>
    <row r="86" spans="6:14" ht="15" customHeight="1">
      <c r="F86" s="462"/>
      <c r="N86" s="461"/>
    </row>
    <row r="87" spans="6:14" ht="15" customHeight="1">
      <c r="F87" s="462"/>
      <c r="N87" s="461"/>
    </row>
    <row r="88" spans="6:14" ht="15" customHeight="1">
      <c r="F88" s="462"/>
      <c r="N88" s="461"/>
    </row>
    <row r="89" spans="6:14" ht="15" customHeight="1">
      <c r="F89" s="462"/>
      <c r="N89" s="461"/>
    </row>
    <row r="90" spans="6:14" ht="15" customHeight="1">
      <c r="F90" s="462"/>
      <c r="N90" s="461"/>
    </row>
    <row r="91" spans="6:14" ht="15" customHeight="1">
      <c r="F91" s="462"/>
      <c r="N91" s="461"/>
    </row>
    <row r="92" spans="6:14" ht="15" customHeight="1">
      <c r="F92" s="462"/>
      <c r="N92" s="461"/>
    </row>
    <row r="93" spans="6:14" ht="15" customHeight="1">
      <c r="F93" s="462"/>
      <c r="N93" s="461"/>
    </row>
    <row r="94" spans="6:14" ht="15" customHeight="1">
      <c r="F94" s="462"/>
      <c r="N94" s="461"/>
    </row>
    <row r="95" spans="6:14" ht="15" customHeight="1">
      <c r="F95" s="462"/>
      <c r="N95" s="461"/>
    </row>
    <row r="96" spans="6:14" ht="15" customHeight="1">
      <c r="F96" s="462"/>
      <c r="N96" s="461"/>
    </row>
    <row r="97" spans="6:14" ht="15" customHeight="1">
      <c r="F97" s="462"/>
      <c r="N97" s="461"/>
    </row>
    <row r="98" spans="6:14" ht="15" customHeight="1">
      <c r="F98" s="462"/>
    </row>
    <row r="99" spans="6:14" ht="15" customHeight="1">
      <c r="F99" s="462"/>
    </row>
    <row r="100" spans="6:14" ht="15" customHeight="1">
      <c r="F100" s="462"/>
    </row>
    <row r="101" spans="6:14" ht="15" customHeight="1">
      <c r="F101" s="462"/>
    </row>
    <row r="102" spans="6:14" ht="15" customHeight="1">
      <c r="F102" s="462"/>
    </row>
    <row r="103" spans="6:14" ht="15" customHeight="1">
      <c r="F103" s="462"/>
    </row>
    <row r="104" spans="6:14" ht="15" customHeight="1">
      <c r="F104" s="462"/>
    </row>
    <row r="105" spans="6:14" ht="15" customHeight="1">
      <c r="F105" s="462"/>
    </row>
    <row r="106" spans="6:14" ht="15" customHeight="1">
      <c r="F106" s="462"/>
    </row>
    <row r="107" spans="6:14" ht="15" customHeight="1">
      <c r="F107" s="462"/>
    </row>
    <row r="108" spans="6:14" ht="15" customHeight="1">
      <c r="F108" s="462"/>
    </row>
    <row r="109" spans="6:14" ht="15" customHeight="1">
      <c r="F109" s="462"/>
    </row>
    <row r="110" spans="6:14" ht="15" customHeight="1">
      <c r="F110" s="462"/>
    </row>
    <row r="111" spans="6:14" ht="15" customHeight="1">
      <c r="F111" s="462"/>
    </row>
    <row r="112" spans="6:14" ht="15" customHeight="1">
      <c r="F112" s="462"/>
    </row>
    <row r="113" spans="6:6" ht="15" customHeight="1">
      <c r="F113" s="462"/>
    </row>
    <row r="114" spans="6:6" ht="15" customHeight="1">
      <c r="F114" s="462"/>
    </row>
    <row r="115" spans="6:6" ht="15" customHeight="1">
      <c r="F115" s="462"/>
    </row>
    <row r="116" spans="6:6" ht="15" customHeight="1">
      <c r="F116" s="462"/>
    </row>
    <row r="117" spans="6:6" ht="15" customHeight="1">
      <c r="F117" s="462"/>
    </row>
    <row r="118" spans="6:6" ht="15" customHeight="1">
      <c r="F118" s="462"/>
    </row>
    <row r="119" spans="6:6" ht="15" customHeight="1">
      <c r="F119" s="462"/>
    </row>
    <row r="120" spans="6:6" ht="15" customHeight="1">
      <c r="F120" s="462"/>
    </row>
    <row r="121" spans="6:6" ht="15" customHeight="1">
      <c r="F121" s="462"/>
    </row>
    <row r="122" spans="6:6">
      <c r="F122" s="462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2024-05-31T04:42:40Z</dcterms:modified>
</cp:coreProperties>
</file>