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7BA83932-0150-46AB-9CE2-D4275349F4DC}" xr6:coauthVersionLast="47" xr6:coauthVersionMax="47" xr10:uidLastSave="{00000000-0000-0000-0000-000000000000}"/>
  <bookViews>
    <workbookView xWindow="-120" yWindow="-120" windowWidth="20730" windowHeight="11160" tabRatio="859" firstSheet="2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RAB!$A$1:$K$128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64" i="11" l="1"/>
  <c r="F63" i="11"/>
  <c r="F62" i="11"/>
  <c r="F61" i="11"/>
  <c r="F60" i="11"/>
  <c r="F59" i="11"/>
  <c r="F58" i="11"/>
  <c r="F57" i="11"/>
  <c r="F56" i="11"/>
  <c r="F53" i="11"/>
  <c r="F52" i="11"/>
  <c r="F51" i="11"/>
  <c r="F50" i="11"/>
  <c r="F49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D47" i="11"/>
  <c r="I47" i="11" s="1"/>
  <c r="E47" i="11"/>
  <c r="D48" i="11"/>
  <c r="H48" i="11" s="1"/>
  <c r="E48" i="11"/>
  <c r="D49" i="11"/>
  <c r="E49" i="11"/>
  <c r="D50" i="11"/>
  <c r="H50" i="11" s="1"/>
  <c r="E50" i="11"/>
  <c r="D51" i="11"/>
  <c r="E51" i="11"/>
  <c r="D52" i="11"/>
  <c r="H52" i="11" s="1"/>
  <c r="E52" i="11"/>
  <c r="D53" i="11"/>
  <c r="I53" i="11" s="1"/>
  <c r="E53" i="11"/>
  <c r="D54" i="11"/>
  <c r="H54" i="11" s="1"/>
  <c r="E54" i="11"/>
  <c r="D55" i="11"/>
  <c r="I55" i="11" s="1"/>
  <c r="E55" i="11"/>
  <c r="D56" i="11"/>
  <c r="H56" i="11" s="1"/>
  <c r="E56" i="11"/>
  <c r="D57" i="11"/>
  <c r="E57" i="11"/>
  <c r="D58" i="11"/>
  <c r="H58" i="11" s="1"/>
  <c r="E58" i="11"/>
  <c r="D59" i="11"/>
  <c r="E59" i="11"/>
  <c r="D60" i="11"/>
  <c r="H60" i="11" s="1"/>
  <c r="E60" i="11"/>
  <c r="D61" i="11"/>
  <c r="E61" i="11"/>
  <c r="D62" i="11"/>
  <c r="H62" i="11" s="1"/>
  <c r="E62" i="11"/>
  <c r="D63" i="11"/>
  <c r="E63" i="11"/>
  <c r="D64" i="11"/>
  <c r="H64" i="11" s="1"/>
  <c r="E64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I63" i="11" l="1"/>
  <c r="I61" i="11"/>
  <c r="I59" i="11"/>
  <c r="I57" i="11"/>
  <c r="I51" i="11"/>
  <c r="I49" i="11"/>
  <c r="I64" i="11"/>
  <c r="J63" i="11"/>
  <c r="H63" i="11"/>
  <c r="I62" i="11"/>
  <c r="J61" i="11"/>
  <c r="H61" i="11"/>
  <c r="I60" i="11"/>
  <c r="J59" i="11"/>
  <c r="H59" i="11"/>
  <c r="I58" i="11"/>
  <c r="J57" i="11"/>
  <c r="H57" i="11"/>
  <c r="I56" i="11"/>
  <c r="J55" i="11"/>
  <c r="H55" i="11"/>
  <c r="I54" i="11"/>
  <c r="J53" i="11"/>
  <c r="H53" i="11"/>
  <c r="I52" i="11"/>
  <c r="J51" i="11"/>
  <c r="H51" i="11"/>
  <c r="I50" i="11"/>
  <c r="J49" i="11"/>
  <c r="H49" i="11"/>
  <c r="I48" i="11"/>
  <c r="J47" i="11"/>
  <c r="H47" i="11"/>
  <c r="J64" i="11"/>
  <c r="J62" i="11"/>
  <c r="J60" i="11"/>
  <c r="J58" i="11"/>
  <c r="J56" i="11"/>
  <c r="J54" i="11"/>
  <c r="J52" i="11"/>
  <c r="J50" i="11"/>
  <c r="J48" i="11"/>
  <c r="K50" i="11" l="1"/>
  <c r="K54" i="11"/>
  <c r="K58" i="11"/>
  <c r="K62" i="11"/>
  <c r="K47" i="11"/>
  <c r="K48" i="11"/>
  <c r="K51" i="11"/>
  <c r="K52" i="11"/>
  <c r="K55" i="11"/>
  <c r="K56" i="11"/>
  <c r="K59" i="11"/>
  <c r="K60" i="11"/>
  <c r="K63" i="11"/>
  <c r="K64" i="11"/>
  <c r="K49" i="11"/>
  <c r="K53" i="11"/>
  <c r="K57" i="11"/>
  <c r="K61" i="11"/>
  <c r="F97" i="11" l="1"/>
  <c r="F95" i="11"/>
  <c r="F94" i="11"/>
  <c r="F46" i="11" l="1"/>
  <c r="F45" i="11"/>
  <c r="F44" i="11"/>
  <c r="F43" i="11"/>
  <c r="F42" i="11"/>
  <c r="G105" i="11" l="1"/>
  <c r="G106" i="11"/>
  <c r="G107" i="11"/>
  <c r="D105" i="11"/>
  <c r="H105" i="11" s="1"/>
  <c r="E105" i="11"/>
  <c r="D106" i="11"/>
  <c r="J106" i="11" s="1"/>
  <c r="E106" i="11"/>
  <c r="D107" i="11"/>
  <c r="I107" i="11" s="1"/>
  <c r="E107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D87" i="11"/>
  <c r="I87" i="11" s="1"/>
  <c r="E87" i="11"/>
  <c r="D88" i="11"/>
  <c r="I88" i="11" s="1"/>
  <c r="E88" i="11"/>
  <c r="D89" i="11"/>
  <c r="E89" i="11"/>
  <c r="D90" i="11"/>
  <c r="H90" i="11" s="1"/>
  <c r="E90" i="11"/>
  <c r="D91" i="11"/>
  <c r="I91" i="11" s="1"/>
  <c r="E91" i="11"/>
  <c r="G39" i="11"/>
  <c r="D39" i="11"/>
  <c r="H39" i="11" s="1"/>
  <c r="E39" i="11"/>
  <c r="J89" i="11" l="1"/>
  <c r="I106" i="11"/>
  <c r="H107" i="11"/>
  <c r="J105" i="11"/>
  <c r="H106" i="11"/>
  <c r="I105" i="11"/>
  <c r="J107" i="11"/>
  <c r="J90" i="11"/>
  <c r="I90" i="11"/>
  <c r="J88" i="11"/>
  <c r="H88" i="11"/>
  <c r="H87" i="11"/>
  <c r="I89" i="11"/>
  <c r="J91" i="11"/>
  <c r="H89" i="11"/>
  <c r="J87" i="11"/>
  <c r="H91" i="11"/>
  <c r="J39" i="11"/>
  <c r="I39" i="11"/>
  <c r="K88" i="11" l="1"/>
  <c r="K105" i="11"/>
  <c r="K90" i="11"/>
  <c r="K106" i="11"/>
  <c r="K107" i="11"/>
  <c r="K91" i="11"/>
  <c r="K39" i="11"/>
  <c r="K89" i="11"/>
  <c r="K87" i="11"/>
  <c r="G17" i="11" l="1"/>
  <c r="D17" i="11"/>
  <c r="H17" i="11" s="1"/>
  <c r="E17" i="11"/>
  <c r="G44" i="11"/>
  <c r="G45" i="11"/>
  <c r="G46" i="11"/>
  <c r="D44" i="11"/>
  <c r="H44" i="11" s="1"/>
  <c r="E44" i="11"/>
  <c r="D45" i="11"/>
  <c r="J45" i="11" s="1"/>
  <c r="E45" i="11"/>
  <c r="D46" i="11"/>
  <c r="I46" i="11" s="1"/>
  <c r="E46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H40" i="11" s="1"/>
  <c r="E40" i="11"/>
  <c r="D41" i="11"/>
  <c r="J41" i="11" s="1"/>
  <c r="E41" i="11"/>
  <c r="D42" i="11"/>
  <c r="E42" i="11"/>
  <c r="D43" i="11"/>
  <c r="H43" i="11" s="1"/>
  <c r="E43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J17" i="11" l="1"/>
  <c r="I17" i="11"/>
  <c r="I42" i="11"/>
  <c r="I36" i="11"/>
  <c r="I32" i="11"/>
  <c r="I28" i="11"/>
  <c r="I45" i="11"/>
  <c r="H45" i="11"/>
  <c r="I44" i="11"/>
  <c r="J44" i="11"/>
  <c r="J46" i="11"/>
  <c r="H46" i="11"/>
  <c r="H26" i="11"/>
  <c r="H23" i="11"/>
  <c r="H36" i="11"/>
  <c r="J34" i="11"/>
  <c r="I27" i="11"/>
  <c r="J38" i="11"/>
  <c r="I31" i="11"/>
  <c r="J40" i="11"/>
  <c r="I35" i="11"/>
  <c r="H28" i="11"/>
  <c r="J26" i="11"/>
  <c r="H42" i="11"/>
  <c r="H32" i="11"/>
  <c r="J30" i="11"/>
  <c r="I41" i="11"/>
  <c r="J43" i="11"/>
  <c r="H41" i="11"/>
  <c r="I40" i="11"/>
  <c r="I38" i="11"/>
  <c r="J37" i="11"/>
  <c r="H35" i="11"/>
  <c r="I34" i="11"/>
  <c r="J33" i="11"/>
  <c r="H31" i="11"/>
  <c r="I30" i="11"/>
  <c r="J29" i="11"/>
  <c r="H27" i="11"/>
  <c r="I26" i="11"/>
  <c r="I43" i="11"/>
  <c r="J42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43" i="11" l="1"/>
  <c r="K45" i="11"/>
  <c r="K17" i="11"/>
  <c r="K42" i="11"/>
  <c r="K46" i="11"/>
  <c r="K32" i="11"/>
  <c r="K31" i="11"/>
  <c r="K44" i="11"/>
  <c r="K38" i="11"/>
  <c r="K30" i="11"/>
  <c r="K34" i="11"/>
  <c r="K20" i="11"/>
  <c r="K29" i="11"/>
  <c r="K35" i="11"/>
  <c r="K40" i="11"/>
  <c r="K27" i="11"/>
  <c r="K28" i="11"/>
  <c r="K37" i="11"/>
  <c r="K26" i="11"/>
  <c r="K36" i="11"/>
  <c r="K41" i="11"/>
  <c r="K23" i="11"/>
  <c r="K24" i="11"/>
  <c r="K21" i="11"/>
  <c r="K22" i="11"/>
  <c r="K25" i="11"/>
  <c r="G94" i="11" l="1"/>
  <c r="G95" i="11"/>
  <c r="G96" i="11"/>
  <c r="G97" i="11"/>
  <c r="D16" i="11"/>
  <c r="F104" i="11" l="1"/>
  <c r="F103" i="11"/>
  <c r="F102" i="11"/>
  <c r="F101" i="11"/>
  <c r="F100" i="11"/>
  <c r="G92" i="11"/>
  <c r="G93" i="11"/>
  <c r="G98" i="11"/>
  <c r="G99" i="11"/>
  <c r="G100" i="11"/>
  <c r="G101" i="11"/>
  <c r="G102" i="11"/>
  <c r="G103" i="11"/>
  <c r="G104" i="11"/>
  <c r="D92" i="11"/>
  <c r="H92" i="11" s="1"/>
  <c r="E92" i="11"/>
  <c r="D93" i="11"/>
  <c r="J93" i="11" s="1"/>
  <c r="E93" i="11"/>
  <c r="D94" i="11"/>
  <c r="I94" i="11" s="1"/>
  <c r="E94" i="11"/>
  <c r="D95" i="11"/>
  <c r="E95" i="11"/>
  <c r="D96" i="11"/>
  <c r="E96" i="11"/>
  <c r="D97" i="11"/>
  <c r="E97" i="11"/>
  <c r="D98" i="11"/>
  <c r="I98" i="11" s="1"/>
  <c r="E98" i="11"/>
  <c r="D99" i="11"/>
  <c r="H99" i="11" s="1"/>
  <c r="E99" i="11"/>
  <c r="D100" i="11"/>
  <c r="H100" i="11" s="1"/>
  <c r="E100" i="11"/>
  <c r="D101" i="11"/>
  <c r="J101" i="11" s="1"/>
  <c r="E101" i="11"/>
  <c r="D102" i="11"/>
  <c r="E102" i="11"/>
  <c r="D103" i="11"/>
  <c r="H103" i="11" s="1"/>
  <c r="E103" i="11"/>
  <c r="D104" i="11"/>
  <c r="H104" i="11" s="1"/>
  <c r="E104" i="11"/>
  <c r="G15" i="11"/>
  <c r="G16" i="11"/>
  <c r="G18" i="11"/>
  <c r="I102" i="11" l="1"/>
  <c r="H96" i="11"/>
  <c r="J97" i="11"/>
  <c r="H95" i="11"/>
  <c r="J100" i="11"/>
  <c r="H98" i="11"/>
  <c r="H93" i="11"/>
  <c r="I101" i="11"/>
  <c r="J96" i="11"/>
  <c r="H94" i="11"/>
  <c r="H101" i="11"/>
  <c r="J99" i="11"/>
  <c r="I97" i="11"/>
  <c r="J92" i="11"/>
  <c r="H102" i="11"/>
  <c r="H97" i="11"/>
  <c r="J95" i="11"/>
  <c r="I93" i="11"/>
  <c r="J104" i="11"/>
  <c r="I104" i="11"/>
  <c r="J103" i="11"/>
  <c r="I100" i="11"/>
  <c r="I96" i="11"/>
  <c r="I92" i="11"/>
  <c r="I103" i="11"/>
  <c r="K103" i="11" s="1"/>
  <c r="J102" i="11"/>
  <c r="I99" i="11"/>
  <c r="J98" i="11"/>
  <c r="I95" i="11"/>
  <c r="J94" i="11"/>
  <c r="K100" i="11" l="1"/>
  <c r="K97" i="11"/>
  <c r="K95" i="11"/>
  <c r="K104" i="11"/>
  <c r="K102" i="11"/>
  <c r="K101" i="11"/>
  <c r="K99" i="11"/>
  <c r="K96" i="11"/>
  <c r="K94" i="11"/>
  <c r="K98" i="11"/>
  <c r="K92" i="11"/>
  <c r="K93" i="11"/>
  <c r="D8" i="59" l="1"/>
  <c r="E16" i="11"/>
  <c r="E18" i="11"/>
  <c r="D108" i="11" l="1"/>
  <c r="J108" i="11" s="1"/>
  <c r="D15" i="11"/>
  <c r="D18" i="11"/>
  <c r="D19" i="11"/>
  <c r="K6" i="60"/>
  <c r="M10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M65" i="11"/>
  <c r="D14" i="59"/>
  <c r="D5" i="60" s="1"/>
  <c r="K5" i="60" s="1"/>
  <c r="E19" i="11"/>
  <c r="E15" i="11"/>
  <c r="A15" i="11"/>
  <c r="D19" i="59"/>
  <c r="D8" i="60" s="1"/>
  <c r="D18" i="59"/>
  <c r="M16" i="11"/>
  <c r="M91" i="11"/>
  <c r="E108" i="11"/>
  <c r="G108" i="11"/>
  <c r="D14" i="11"/>
  <c r="H14" i="11" s="1"/>
  <c r="E14" i="11"/>
  <c r="G14" i="11"/>
  <c r="K19" i="60"/>
  <c r="D19" i="60"/>
  <c r="M10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K18" i="60"/>
  <c r="K17" i="60"/>
  <c r="D17" i="60"/>
  <c r="D18" i="60"/>
  <c r="D20" i="60"/>
  <c r="D6" i="60"/>
  <c r="D10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9" i="11"/>
  <c r="D110" i="11"/>
  <c r="E11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1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9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J65" i="11"/>
  <c r="H65" i="11"/>
  <c r="I65" i="11"/>
  <c r="I67" i="11"/>
  <c r="H67" i="11"/>
  <c r="J67" i="11"/>
  <c r="J69" i="11"/>
  <c r="H69" i="11"/>
  <c r="I69" i="11"/>
  <c r="I71" i="11"/>
  <c r="H71" i="11"/>
  <c r="J71" i="11"/>
  <c r="H73" i="11"/>
  <c r="I73" i="11"/>
  <c r="J73" i="11"/>
  <c r="I75" i="11"/>
  <c r="J75" i="11"/>
  <c r="H75" i="11"/>
  <c r="H77" i="11"/>
  <c r="I77" i="11"/>
  <c r="J77" i="11"/>
  <c r="I79" i="11"/>
  <c r="J79" i="11"/>
  <c r="H79" i="11"/>
  <c r="H81" i="11"/>
  <c r="I81" i="11"/>
  <c r="J81" i="11"/>
  <c r="I83" i="11"/>
  <c r="J83" i="11"/>
  <c r="H83" i="11"/>
  <c r="H85" i="11"/>
  <c r="I85" i="11"/>
  <c r="J85" i="11"/>
  <c r="J66" i="11"/>
  <c r="I66" i="11"/>
  <c r="H66" i="11"/>
  <c r="H68" i="11"/>
  <c r="I68" i="11"/>
  <c r="J68" i="11"/>
  <c r="J70" i="11"/>
  <c r="I70" i="11"/>
  <c r="H70" i="11"/>
  <c r="H72" i="11"/>
  <c r="I72" i="11"/>
  <c r="J72" i="11"/>
  <c r="J74" i="11"/>
  <c r="H74" i="11"/>
  <c r="I74" i="11"/>
  <c r="H76" i="11"/>
  <c r="I76" i="11"/>
  <c r="J76" i="11"/>
  <c r="J78" i="11"/>
  <c r="H78" i="11"/>
  <c r="I78" i="11"/>
  <c r="H80" i="11"/>
  <c r="I80" i="11"/>
  <c r="J80" i="11"/>
  <c r="J82" i="11"/>
  <c r="H82" i="11"/>
  <c r="I82" i="11"/>
  <c r="H84" i="11"/>
  <c r="I84" i="11"/>
  <c r="J84" i="11"/>
  <c r="J86" i="11"/>
  <c r="H86" i="11"/>
  <c r="I86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100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1" i="11"/>
  <c r="M102" i="11"/>
  <c r="M104" i="11"/>
  <c r="M103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110" i="11"/>
  <c r="J110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98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110" i="11"/>
  <c r="I108" i="11"/>
  <c r="H108" i="11"/>
  <c r="F778" i="41" l="1"/>
  <c r="F288" i="29"/>
  <c r="F784" i="41"/>
  <c r="F294" i="29"/>
  <c r="F830" i="41"/>
  <c r="F340" i="29"/>
  <c r="K65" i="11"/>
  <c r="K83" i="11"/>
  <c r="K73" i="11"/>
  <c r="M73" i="11" s="1"/>
  <c r="K66" i="11"/>
  <c r="M66" i="11" s="1"/>
  <c r="K79" i="11"/>
  <c r="M79" i="11" s="1"/>
  <c r="K69" i="11"/>
  <c r="M69" i="11" s="1"/>
  <c r="K82" i="11"/>
  <c r="M82" i="11" s="1"/>
  <c r="K80" i="11"/>
  <c r="M80" i="11" s="1"/>
  <c r="K74" i="11"/>
  <c r="M74" i="11" s="1"/>
  <c r="K72" i="11"/>
  <c r="M72" i="11" s="1"/>
  <c r="K85" i="11"/>
  <c r="M85" i="11" s="1"/>
  <c r="K77" i="11"/>
  <c r="M77" i="11" s="1"/>
  <c r="K71" i="11"/>
  <c r="M71" i="11" s="1"/>
  <c r="K70" i="11"/>
  <c r="M70" i="11" s="1"/>
  <c r="K75" i="11"/>
  <c r="M75" i="11" s="1"/>
  <c r="K86" i="11"/>
  <c r="M86" i="11" s="1"/>
  <c r="K84" i="11"/>
  <c r="M84" i="11" s="1"/>
  <c r="K78" i="11"/>
  <c r="M78" i="11" s="1"/>
  <c r="K76" i="11"/>
  <c r="M76" i="11" s="1"/>
  <c r="K68" i="11"/>
  <c r="M68" i="11" s="1"/>
  <c r="K81" i="11"/>
  <c r="M81" i="11" s="1"/>
  <c r="K67" i="11"/>
  <c r="M67" i="11" s="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2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107" i="11"/>
  <c r="K110" i="11"/>
  <c r="M87" i="11"/>
  <c r="F350" i="29"/>
  <c r="M83" i="11"/>
  <c r="K108" i="11"/>
  <c r="H109" i="11"/>
  <c r="H112" i="11" s="1"/>
  <c r="F312" i="29"/>
  <c r="F339" i="29"/>
  <c r="F226" i="29"/>
  <c r="F345" i="29"/>
  <c r="F239" i="29"/>
  <c r="I109" i="11"/>
  <c r="I112" i="11" s="1"/>
  <c r="J109" i="11"/>
  <c r="J112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3" i="11"/>
  <c r="J114" i="11" s="1"/>
  <c r="H113" i="11"/>
  <c r="H114" i="11" s="1"/>
  <c r="I113" i="11"/>
  <c r="I114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09" i="11"/>
  <c r="K112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1" i="39" l="1"/>
  <c r="D28" i="39"/>
  <c r="G26" i="39"/>
  <c r="B23" i="39"/>
  <c r="E23" i="39" s="1"/>
  <c r="D26" i="39"/>
  <c r="G23" i="39"/>
  <c r="D67" i="29"/>
  <c r="H67" i="29" s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3" i="11"/>
  <c r="K114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113" i="29"/>
  <c r="I33" i="29"/>
  <c r="H33" i="29"/>
  <c r="J33" i="29"/>
  <c r="H122" i="29"/>
  <c r="J122" i="29"/>
  <c r="J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68" i="29" l="1"/>
  <c r="J143" i="29"/>
  <c r="I67" i="29"/>
  <c r="J113" i="29"/>
  <c r="K113" i="29" s="1"/>
  <c r="H58" i="29"/>
  <c r="I143" i="29"/>
  <c r="K143" i="29" s="1"/>
  <c r="I22" i="39"/>
  <c r="I68" i="29"/>
  <c r="I58" i="29"/>
  <c r="J29" i="39"/>
  <c r="H85" i="29"/>
  <c r="K85" i="29" s="1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K90" i="29" s="1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5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33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58" i="29" l="1"/>
  <c r="K68" i="29"/>
  <c r="K33" i="39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<sst xmlns="http://schemas.openxmlformats.org/spreadsheetml/2006/main" count="4779" uniqueCount="1643">
  <si>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</si>
  <si>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</si>
  <si>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</si>
  <si>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</si>
  <si>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</si>
  <si>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</si>
  <si>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</si>
  <si>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</si>
  <si>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</si>
  <si>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</si>
  <si>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</si>
  <si>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</si>
  <si>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</si>
  <si>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</si>
  <si>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</si>
  <si>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</si>
  <si>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</si>
  <si>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</si>
  <si>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</si>
  <si>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</si>
  <si>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</si>
  <si>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</si>
  <si>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</si>
  <si>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</si>
  <si>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</si>
  <si>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</si>
  <si>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</si>
  <si>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</si>
  <si>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</si>
  <si>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</si>
  <si>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</si>
  <si>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</si>
  <si>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</si>
  <si>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</si>
  <si>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</si>
  <si>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</si>
  <si>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</si>
  <si>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</si>
  <si>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</si>
  <si>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</si>
  <si>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</si>
  <si>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</si>
  <si>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</si>
  <si>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</si>
  <si>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</si>
  <si>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</si>
  <si>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</si>
  <si>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</si>
  <si>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</si>
  <si>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</si>
  <si>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</si>
  <si>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</si>
  <si>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</si>
  <si>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</si>
  <si>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</si>
  <si>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</si>
  <si>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</si>
  <si>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</si>
  <si>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</si>
  <si>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</si>
  <si>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</si>
  <si>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</si>
  <si>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</si>
  <si>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</si>
  <si>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</si>
  <si>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</si>
  <si>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</si>
  <si>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</si>
  <si>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</si>
  <si>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</si>
  <si>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</si>
  <si>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</si>
  <si>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</si>
  <si>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</si>
  <si>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</si>
  <si>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</si>
  <si>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</si>
  <si>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</si>
  <si>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</si>
  <si>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</si>
  <si>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</si>
  <si>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</si>
  <si>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</si>
  <si>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</si>
  <si>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</si>
  <si>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</si>
  <si>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</si>
  <si>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</si>
  <si>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</si>
  <si>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</si>
  <si>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</si>
  <si>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</si>
  <si>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</si>
  <si>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</si>
  <si>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</si>
  <si>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</si>
  <si>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</si>
  <si>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</si>
  <si>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</si>
  <si>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</si>
  <si>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</si>
  <si>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</si>
  <si>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</si>
  <si>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</si>
  <si>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</si>
  <si>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</si>
  <si>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</si>
  <si>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</si>
  <si>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</si>
  <si>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</si>
  <si>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</si>
  <si>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</si>
  <si>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</si>
  <si>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</si>
  <si>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</si>
  <si>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</si>
  <si>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</si>
  <si>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</si>
  <si>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</si>
  <si>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</si>
  <si>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</si>
  <si>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</si>
  <si>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</si>
  <si>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</si>
  <si>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</si>
  <si>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</si>
  <si>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</si>
  <si>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</si>
  <si>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</si>
  <si>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</si>
  <si>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</si>
  <si>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</si>
  <si>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</si>
  <si>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</si>
  <si>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</si>
  <si>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</si>
  <si>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</si>
  <si>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</si>
  <si>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</si>
  <si>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</si>
  <si>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</si>
  <si>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</si>
  <si>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</si>
  <si>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</si>
  <si>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</si>
  <si>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</si>
  <si>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</si>
  <si>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</si>
  <si>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</si>
  <si>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</si>
  <si>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</si>
  <si>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</si>
  <si>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</si>
  <si>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</si>
  <si>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</si>
  <si>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</si>
  <si>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</si>
  <si>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</si>
  <si>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</si>
  <si>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</si>
  <si>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</si>
  <si>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</si>
  <si>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</si>
  <si>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</si>
  <si>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</si>
  <si>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</si>
  <si>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</si>
  <si>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</si>
  <si>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</si>
  <si>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</si>
  <si>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</si>
  <si>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</si>
  <si>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</si>
  <si>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</si>
  <si>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</si>
  <si>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</si>
  <si>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</si>
  <si>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</si>
  <si>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</si>
  <si>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</si>
  <si>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</si>
  <si>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</si>
  <si>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</si>
  <si>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</si>
  <si>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</si>
  <si>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</si>
  <si>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</si>
  <si>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</si>
  <si>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</si>
  <si>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</si>
  <si>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</si>
  <si>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</si>
  <si>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</si>
  <si>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</si>
  <si>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</si>
  <si>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</si>
  <si>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</si>
  <si>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</si>
  <si>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</si>
  <si>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</si>
  <si>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</si>
  <si>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</si>
  <si>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</si>
  <si>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</si>
  <si>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</si>
  <si>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</si>
  <si>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</si>
  <si>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</si>
  <si>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</si>
  <si>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</si>
  <si>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</si>
  <si>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</si>
  <si>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</si>
  <si>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</si>
  <si>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</si>
  <si>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</si>
  <si>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</si>
  <si>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</si>
  <si>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</si>
  <si>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</si>
  <si>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</si>
  <si>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</si>
  <si>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</si>
  <si>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</si>
  <si>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</si>
  <si>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</si>
  <si>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</si>
  <si>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</si>
  <si>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</si>
  <si>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</si>
  <si>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</si>
  <si>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</si>
  <si>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</si>
  <si>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</si>
  <si>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</si>
  <si>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</si>
  <si>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</si>
  <si>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</si>
  <si>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</si>
  <si>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</si>
  <si>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</si>
  <si>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</si>
  <si>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</si>
  <si>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</si>
  <si>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</si>
  <si>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</si>
  <si>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</si>
  <si>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</si>
  <si>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</si>
  <si>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</si>
  <si>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</si>
  <si>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</si>
  <si>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</si>
  <si>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</si>
  <si>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</si>
  <si>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</si>
  <si>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</si>
  <si>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</si>
  <si>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</si>
  <si>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</si>
  <si>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</si>
  <si>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</si>
  <si>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</si>
  <si>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</si>
  <si>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</si>
  <si>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</si>
  <si>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</si>
  <si>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</si>
  <si>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</si>
  <si>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</si>
  <si>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</si>
  <si>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</si>
  <si>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</si>
  <si>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</si>
  <si>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</si>
  <si>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</si>
  <si>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</si>
  <si>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</si>
  <si>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</si>
  <si>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</si>
  <si>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</si>
  <si>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</si>
  <si>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</si>
  <si>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</si>
  <si>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</si>
  <si>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</si>
  <si>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</si>
  <si>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</si>
  <si>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</si>
  <si>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</si>
  <si>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</si>
  <si>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</si>
  <si>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</si>
  <si>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</si>
  <si>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</si>
  <si>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</si>
  <si>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</si>
  <si>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</si>
  <si>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</si>
  <si>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</si>
  <si>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</si>
  <si>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</si>
  <si>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</si>
  <si>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</si>
  <si>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</si>
  <si>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</si>
  <si>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</si>
  <si>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</si>
  <si>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</si>
  <si>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</si>
  <si>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</si>
  <si>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</si>
  <si>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</si>
  <si>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</si>
  <si>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</si>
  <si>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</si>
  <si>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</si>
  <si>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</si>
  <si>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</si>
  <si>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</si>
  <si>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</si>
  <si>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</si>
  <si>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</si>
  <si>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</si>
  <si>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</si>
  <si>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</si>
  <si>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</si>
  <si>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</si>
  <si>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</si>
  <si>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</si>
  <si>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</si>
  <si>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</si>
  <si>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</si>
  <si>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</si>
  <si>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</si>
  <si>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</si>
  <si>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</si>
  <si>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</si>
  <si>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</si>
  <si>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</si>
  <si>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</si>
  <si>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</si>
  <si>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</si>
  <si>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</si>
  <si>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</si>
  <si>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</si>
  <si>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</si>
  <si>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</si>
  <si>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</si>
  <si>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</si>
  <si>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</si>
  <si>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</si>
  <si>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</si>
  <si>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</si>
  <si>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</si>
  <si>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</si>
  <si>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</si>
  <si>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</si>
  <si>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</si>
  <si>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</si>
  <si>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</si>
  <si>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</si>
  <si>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</si>
  <si>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</si>
  <si>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</si>
  <si>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</si>
  <si>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</si>
  <si>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</si>
  <si>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</si>
  <si>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</si>
  <si>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</si>
  <si>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</si>
  <si>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</si>
  <si>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</si>
  <si>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</si>
  <si>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</si>
  <si>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</si>
  <si>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</si>
  <si>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</si>
  <si>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</si>
  <si>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</si>
  <si>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</si>
  <si>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</si>
  <si>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</si>
  <si>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</si>
  <si>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</si>
  <si>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</si>
  <si>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</si>
  <si>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</si>
  <si>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</si>
  <si>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</si>
  <si>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</si>
  <si>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</si>
  <si>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</si>
  <si>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</si>
  <si>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</si>
  <si>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</si>
  <si>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</si>
  <si>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</si>
  <si>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</si>
  <si>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</si>
  <si>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</si>
  <si>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</si>
  <si>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</si>
  <si>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</si>
  <si>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</si>
  <si>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</si>
  <si>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</si>
  <si>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</si>
  <si>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</si>
  <si>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</si>
  <si>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</si>
  <si>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</si>
  <si>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</si>
  <si>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</si>
  <si>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</si>
  <si>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</si>
  <si>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</si>
  <si>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</si>
  <si>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</si>
  <si>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</si>
  <si>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</si>
  <si>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</si>
  <si>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</si>
  <si>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</si>
  <si>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</si>
  <si>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</si>
  <si>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</si>
  <si>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</si>
  <si>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</si>
  <si>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</si>
  <si>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</si>
  <si>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</si>
  <si>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</si>
  <si>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</si>
  <si>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</si>
  <si>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</si>
  <si>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</si>
  <si>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</si>
  <si>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</si>
  <si>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</si>
  <si>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</si>
  <si>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</si>
  <si>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</si>
  <si>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</si>
  <si>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</si>
  <si>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</si>
  <si>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</si>
  <si>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</si>
  <si>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</si>
  <si>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</si>
  <si>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</si>
  <si>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</si>
  <si>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</si>
  <si>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</si>
  <si>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</si>
  <si>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</si>
  <si>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</si>
  <si>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</si>
  <si>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</si>
  <si>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</si>
  <si>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</si>
  <si>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</si>
  <si>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</si>
  <si>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</si>
  <si>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</si>
  <si>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</si>
  <si>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</si>
  <si>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</si>
  <si>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</si>
  <si>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</si>
  <si>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</si>
  <si>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</si>
  <si>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</si>
  <si>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</si>
  <si>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</si>
  <si>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</si>
  <si>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</si>
  <si>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</si>
  <si>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</si>
  <si>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</si>
  <si>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</si>
  <si>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</si>
  <si>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</si>
  <si>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</si>
  <si>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</si>
  <si>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</si>
  <si>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</si>
  <si>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</si>
  <si>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</si>
  <si>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</si>
  <si>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</si>
  <si>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</si>
  <si>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</si>
  <si>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</si>
  <si>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</si>
  <si>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</si>
  <si>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</si>
  <si>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</si>
  <si>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</si>
  <si>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</si>
  <si>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</si>
  <si>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</si>
  <si>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</si>
  <si>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</si>
  <si>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</si>
  <si>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</si>
  <si>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</si>
  <si>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</si>
  <si>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</si>
  <si>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</si>
  <si>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</si>
  <si>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</si>
  <si>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</si>
  <si>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</si>
  <si>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</si>
  <si>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</si>
  <si>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</si>
  <si>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</si>
  <si>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</si>
  <si>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</si>
  <si>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</si>
  <si>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</si>
  <si>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</si>
  <si>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</si>
  <si>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</si>
  <si>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</si>
  <si>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</si>
  <si>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</si>
  <si>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</si>
  <si>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</si>
  <si>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</si>
  <si>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</si>
  <si>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</si>
  <si>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</si>
  <si>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</si>
  <si>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</si>
  <si>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</si>
  <si>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</si>
  <si>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</si>
  <si>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</si>
  <si>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</si>
  <si>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</si>
  <si>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</si>
  <si>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</si>
  <si>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</si>
  <si>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</si>
  <si>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</si>
  <si>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</si>
  <si>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</si>
  <si>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</si>
  <si>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</si>
  <si>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</si>
  <si>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</si>
  <si>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</si>
  <si>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</si>
  <si>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</si>
  <si>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</si>
  <si>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</si>
  <si>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</si>
  <si>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</si>
  <si>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</si>
  <si>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</si>
  <si>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</si>
  <si>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</si>
  <si>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</si>
  <si>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</si>
  <si>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</si>
  <si>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</si>
  <si>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</si>
  <si>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</si>
  <si>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</si>
  <si>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</si>
  <si>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</si>
  <si>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</si>
  <si>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</si>
  <si>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</si>
  <si>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</si>
  <si>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</si>
  <si>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</si>
  <si>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</si>
  <si>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</si>
  <si>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</si>
  <si>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</si>
  <si>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</si>
  <si>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</si>
  <si>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</si>
  <si>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</si>
  <si>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</si>
  <si>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</si>
  <si>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</si>
  <si>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</si>
  <si>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</si>
  <si>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</si>
  <si>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</si>
  <si>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</si>
  <si>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</si>
  <si>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</si>
  <si>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</si>
  <si>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</si>
  <si>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</si>
  <si>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</si>
  <si>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</si>
  <si>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</si>
  <si>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</si>
  <si>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</si>
  <si>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</si>
  <si>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</si>
  <si>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</si>
  <si>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</si>
  <si>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</si>
  <si>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</si>
  <si>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</si>
  <si>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</si>
  <si>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</si>
  <si>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</si>
  <si>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</si>
  <si>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</si>
  <si>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</si>
  <si>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</si>
  <si>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</si>
  <si>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</si>
  <si>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</si>
  <si>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</si>
  <si>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</si>
  <si>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</si>
  <si>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</si>
  <si>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</si>
  <si>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</si>
  <si>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</si>
  <si>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</si>
  <si>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</si>
  <si>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</si>
  <si>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</si>
  <si>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</si>
  <si>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</si>
  <si>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</si>
  <si>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</si>
  <si>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</si>
  <si>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</si>
  <si>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</si>
  <si>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</si>
  <si>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</si>
  <si>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</si>
  <si>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</si>
  <si>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</si>
  <si>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</si>
  <si>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</si>
  <si>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</si>
  <si>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</si>
  <si>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</si>
  <si>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</si>
  <si>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</si>
  <si>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</si>
  <si>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</si>
  <si>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</si>
  <si>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</si>
  <si>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</si>
  <si>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</si>
  <si>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</si>
  <si>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</si>
  <si>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</si>
  <si>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</si>
  <si>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</si>
  <si>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</si>
  <si>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</si>
  <si>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</si>
  <si>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</si>
  <si>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</si>
  <si>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</si>
  <si>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</si>
  <si>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</si>
  <si>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</si>
  <si>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</si>
  <si>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</si>
  <si>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</si>
  <si>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</si>
  <si>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</si>
  <si>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</si>
  <si>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</si>
  <si>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</si>
  <si>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</si>
  <si>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</si>
  <si>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</si>
  <si>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</si>
  <si>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</si>
  <si>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</si>
  <si>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</si>
  <si>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</si>
  <si>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</si>
  <si>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</si>
  <si>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</si>
  <si>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</si>
  <si>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</si>
  <si>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</si>
  <si>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</si>
  <si>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</si>
  <si>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</si>
  <si>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</si>
  <si>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</si>
  <si>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</si>
  <si>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</si>
  <si>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</si>
  <si>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</si>
  <si>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</si>
  <si>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</si>
  <si>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</si>
  <si>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</si>
  <si>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</si>
  <si>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</si>
  <si>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</si>
  <si>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</si>
  <si>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</si>
  <si>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</si>
  <si>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</si>
  <si>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</si>
  <si>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</si>
  <si>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</si>
  <si>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</si>
  <si>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</si>
  <si>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</si>
  <si>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</si>
  <si>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</si>
  <si>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</si>
  <si>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</si>
  <si>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</si>
  <si>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</si>
  <si>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</si>
  <si>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</si>
  <si>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</si>
  <si>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</si>
  <si>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</si>
  <si>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</si>
  <si>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</si>
  <si>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</si>
  <si>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</si>
  <si>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</si>
  <si>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</si>
  <si>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</si>
  <si>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</si>
  <si>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</si>
  <si>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</si>
  <si>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</si>
  <si>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</si>
  <si>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</si>
  <si>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</si>
  <si>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</si>
  <si>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</si>
  <si>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</si>
  <si>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</si>
  <si>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</si>
  <si>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</si>
  <si>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</si>
  <si>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</si>
  <si>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</si>
  <si>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</si>
  <si>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</si>
  <si>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</si>
  <si>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</si>
  <si>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</si>
  <si>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</si>
  <si>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</si>
  <si>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</si>
  <si>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</si>
  <si>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</si>
  <si>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</si>
  <si>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</si>
  <si>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</si>
  <si>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</si>
  <si>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</si>
  <si>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</si>
  <si>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</si>
  <si>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</si>
  <si>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</si>
  <si>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</si>
  <si>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</si>
  <si>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</si>
  <si>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</si>
  <si>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</si>
  <si>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</si>
  <si>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</si>
  <si>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</si>
  <si>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</si>
  <si>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</si>
  <si>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</si>
  <si>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</si>
  <si>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</si>
  <si>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</si>
  <si>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</si>
  <si>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</si>
  <si>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</si>
  <si>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</si>
  <si>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</si>
  <si>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</si>
  <si>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</si>
  <si>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</si>
  <si>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</si>
  <si>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</si>
  <si>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</si>
  <si>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</si>
  <si>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</si>
  <si>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</si>
  <si>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</si>
  <si>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</si>
  <si>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</si>
  <si>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</si>
  <si>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</si>
  <si>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</si>
  <si>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</si>
  <si>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</si>
  <si>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</si>
  <si>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</si>
  <si>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</si>
  <si>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</si>
  <si>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</si>
  <si>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</si>
  <si>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</si>
  <si>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</si>
  <si>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</si>
  <si>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</si>
  <si>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</si>
  <si>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</si>
  <si>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</si>
  <si>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</si>
  <si>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</si>
  <si>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</si>
  <si>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</si>
  <si>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</si>
  <si>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</si>
  <si>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</si>
  <si>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</si>
  <si>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</si>
  <si>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</si>
  <si>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</si>
  <si>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</si>
  <si>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</si>
  <si>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</si>
  <si>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</si>
  <si>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</si>
  <si>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</si>
  <si>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</si>
  <si>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</si>
  <si>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</si>
  <si>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</si>
  <si>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</si>
  <si>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</si>
  <si>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</si>
  <si>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</si>
  <si>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</si>
  <si>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</si>
  <si>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</si>
  <si>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</si>
  <si>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</si>
  <si>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</si>
  <si>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</si>
  <si>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</si>
  <si>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</si>
  <si>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</si>
  <si>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</si>
  <si>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</si>
  <si>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</si>
  <si>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</si>
  <si>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</si>
  <si>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</si>
  <si>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</si>
  <si>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</si>
  <si>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</si>
  <si>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</si>
  <si>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</si>
  <si>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</si>
  <si>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</si>
  <si>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</si>
  <si>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</si>
  <si>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</si>
  <si>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</si>
  <si>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</si>
  <si>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</si>
  <si>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</si>
  <si>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</si>
  <si>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</si>
  <si>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</si>
  <si>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</si>
  <si>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</si>
  <si>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</si>
  <si>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</si>
  <si>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</si>
  <si>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</si>
  <si>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</si>
  <si>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</si>
  <si>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</si>
  <si>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</si>
  <si>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</si>
  <si>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</si>
  <si>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</si>
  <si>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</si>
  <si>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</si>
  <si>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</si>
  <si>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</si>
  <si>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</si>
  <si>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</si>
  <si>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</si>
  <si>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</si>
  <si>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</si>
  <si>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</si>
  <si>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</si>
  <si>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</si>
  <si>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</si>
  <si>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</si>
  <si>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</si>
  <si>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</si>
  <si>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</si>
  <si>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</si>
  <si>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</si>
  <si>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</si>
  <si>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</si>
  <si>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</si>
  <si>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</si>
  <si>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</si>
  <si>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</si>
  <si>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</si>
  <si>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</si>
  <si>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</si>
  <si>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</si>
  <si>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</si>
  <si>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</si>
  <si>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</si>
  <si>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</si>
  <si>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</si>
  <si>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</si>
  <si>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</si>
  <si>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</si>
  <si>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</si>
  <si>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</si>
  <si>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</si>
  <si>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</si>
  <si>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</si>
  <si>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</si>
  <si>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</si>
  <si>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</si>
  <si>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</si>
  <si>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</si>
  <si>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</si>
  <si>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</si>
  <si>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</si>
  <si>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</si>
  <si>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</si>
  <si>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</si>
  <si>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</si>
  <si>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</si>
  <si>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</si>
  <si>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</si>
  <si>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</si>
  <si>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</si>
  <si>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</si>
  <si>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</si>
  <si>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</si>
  <si>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</si>
  <si>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</si>
  <si>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</si>
  <si>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</si>
  <si>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</si>
  <si>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</si>
  <si>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</si>
  <si>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</si>
  <si>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</si>
  <si>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</si>
  <si>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</si>
  <si>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</si>
  <si>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</si>
  <si>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</si>
  <si>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</si>
  <si>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</si>
  <si>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</si>
  <si>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</si>
  <si>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</si>
  <si>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</si>
  <si>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</si>
  <si>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</si>
  <si>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</si>
  <si>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</si>
  <si>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</si>
  <si>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</si>
  <si>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</si>
  <si>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</si>
  <si>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</si>
  <si>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</si>
  <si>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</si>
  <si>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</si>
  <si>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</si>
  <si>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</si>
  <si>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</si>
  <si>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</si>
  <si>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</si>
  <si>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</si>
  <si>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</si>
  <si>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</si>
  <si>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</si>
  <si>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</si>
  <si>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</si>
  <si>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</si>
  <si>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</si>
  <si>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</si>
  <si>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</si>
  <si>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</si>
  <si>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</si>
  <si>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</si>
  <si>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</si>
  <si>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</si>
  <si>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</si>
  <si>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</si>
  <si>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</si>
  <si>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</si>
  <si>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</si>
  <si>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</si>
  <si>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</si>
  <si>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</si>
  <si>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</si>
  <si>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</si>
  <si>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</si>
  <si>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</si>
  <si>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</si>
  <si>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</si>
  <si>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</si>
  <si>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</si>
  <si>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</si>
  <si>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</si>
  <si>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</si>
  <si>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</si>
  <si>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</si>
  <si>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</si>
  <si>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</si>
  <si>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</si>
  <si>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</si>
  <si>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</si>
  <si>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</si>
  <si>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</si>
  <si>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</si>
  <si>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</si>
  <si>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</si>
  <si>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</si>
  <si>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</si>
  <si>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</si>
  <si>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</si>
  <si>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</si>
  <si>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</si>
  <si>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</si>
  <si>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</si>
  <si>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</si>
  <si>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</si>
  <si>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</si>
  <si>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</si>
  <si>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</si>
  <si>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</si>
  <si>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</si>
  <si>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</si>
  <si>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</si>
  <si>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</si>
  <si>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</si>
  <si>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</si>
  <si>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</si>
  <si>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</si>
  <si>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</si>
  <si>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</si>
  <si>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</si>
  <si>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</si>
  <si>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</si>
  <si>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</si>
  <si>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</si>
  <si>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</si>
  <si>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</si>
  <si>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</si>
  <si>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</si>
  <si>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</si>
  <si>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</si>
  <si>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</si>
  <si>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</si>
  <si>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</si>
  <si>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</si>
  <si>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</si>
  <si>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</si>
  <si>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</si>
  <si>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</si>
  <si>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</si>
  <si>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</si>
  <si>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</si>
  <si>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</si>
  <si>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</si>
  <si>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</si>
  <si>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</si>
  <si>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</si>
  <si>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</si>
  <si>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</si>
  <si>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</si>
  <si>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</si>
  <si>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</si>
  <si>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</si>
  <si>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</si>
  <si>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</si>
  <si>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</si>
  <si>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</si>
  <si>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</si>
  <si>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</si>
  <si>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</si>
  <si>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</si>
  <si>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</si>
  <si>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</si>
  <si>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</si>
  <si>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</si>
  <si>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</si>
  <si>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</si>
  <si>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</si>
  <si>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</si>
  <si>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</si>
  <si>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</si>
  <si>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</si>
  <si>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</si>
  <si>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</si>
  <si>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</si>
  <si>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</si>
  <si>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</si>
  <si>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</si>
  <si>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</si>
  <si>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</si>
  <si>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</si>
  <si>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</si>
  <si>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</si>
  <si>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</si>
  <si>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</si>
  <si>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</si>
  <si>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</si>
  <si>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</si>
  <si>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</si>
  <si>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</si>
  <si>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</si>
  <si>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</si>
  <si>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</si>
  <si>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</si>
  <si>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</si>
  <si>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</si>
  <si>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</si>
  <si>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</si>
  <si>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</si>
  <si>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</si>
  <si>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</si>
  <si>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</si>
  <si>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</si>
  <si>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</si>
  <si>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</si>
  <si>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</si>
  <si>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</si>
  <si>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</si>
  <si>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</si>
  <si>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</si>
  <si>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</si>
  <si>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</si>
  <si>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</si>
  <si>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</si>
  <si>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</si>
  <si>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</si>
  <si>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</si>
  <si>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</si>
  <si>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</si>
  <si>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</si>
  <si>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</si>
  <si>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</si>
  <si>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</si>
  <si>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</si>
  <si>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</si>
  <si>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</si>
  <si>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</si>
  <si>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</si>
  <si>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</si>
  <si>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</si>
  <si>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</si>
  <si>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</si>
  <si>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</si>
  <si>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</si>
  <si>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</si>
  <si>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</si>
  <si>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</si>
  <si>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</si>
  <si>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</si>
  <si>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</si>
  <si>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</si>
  <si>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</si>
  <si>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</si>
  <si>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</si>
  <si>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</si>
  <si>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</si>
  <si>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</si>
  <si>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</si>
  <si>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</si>
  <si>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</si>
  <si>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</si>
  <si>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</si>
  <si>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</si>
  <si>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</si>
  <si>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</si>
  <si>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</si>
  <si>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</si>
  <si>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</si>
  <si>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</si>
  <si>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</si>
  <si>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</si>
  <si>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</si>
  <si>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</si>
  <si>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</si>
  <si>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</si>
  <si>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</si>
  <si>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</si>
  <si>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</si>
  <si>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</si>
  <si>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</si>
  <si>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</si>
  <si>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</si>
  <si>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</si>
  <si>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</si>
  <si>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</si>
  <si>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</si>
  <si>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</si>
  <si>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</si>
  <si>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</si>
  <si>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</si>
  <si>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</si>
  <si>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</si>
  <si>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</si>
  <si>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</si>
  <si>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</si>
  <si>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</si>
  <si>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</si>
  <si>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</si>
  <si>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</si>
  <si>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</si>
  <si>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</si>
  <si>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</si>
  <si>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</si>
  <si>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</si>
  <si>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</si>
  <si>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</si>
  <si>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</si>
  <si>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</si>
  <si>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</si>
  <si>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</si>
  <si>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</si>
  <si>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</si>
  <si>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</si>
  <si>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</si>
  <si>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</si>
  <si>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</si>
  <si>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</si>
  <si>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</si>
  <si>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</si>
  <si>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</si>
  <si>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</si>
  <si>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</si>
  <si>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</si>
  <si>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</si>
  <si>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</si>
  <si>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</si>
  <si>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</si>
  <si>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</si>
  <si>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</si>
  <si>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</si>
  <si>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</si>
  <si>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</si>
  <si>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</si>
  <si>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</si>
  <si>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</si>
  <si>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</si>
  <si>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</si>
  <si>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</si>
  <si>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</si>
  <si>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</si>
  <si>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</si>
  <si>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</si>
  <si>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</si>
  <si>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</si>
  <si>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</si>
  <si>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</si>
  <si>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</si>
  <si>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</si>
  <si>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</si>
  <si>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</si>
  <si>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</si>
  <si>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</si>
  <si>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</si>
  <si>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</si>
  <si>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</si>
  <si>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</si>
  <si>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</si>
  <si>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</si>
  <si>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</si>
  <si>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</si>
  <si>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</si>
  <si>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</si>
  <si>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</si>
  <si>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</si>
  <si>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</si>
  <si>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</si>
  <si>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</si>
  <si>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</si>
  <si>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</si>
  <si>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</si>
  <si>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</si>
  <si>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</si>
  <si>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</si>
  <si>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</si>
  <si>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</si>
  <si>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</si>
  <si>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</si>
  <si>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</si>
  <si>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</si>
  <si>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</si>
  <si>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</si>
  <si>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</si>
  <si>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</si>
  <si>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</si>
  <si>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</si>
  <si>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</si>
  <si>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</si>
  <si>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</si>
  <si>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</si>
  <si>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</si>
  <si>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</si>
  <si>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</si>
  <si>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</si>
  <si>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</si>
  <si>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</si>
  <si>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</si>
  <si>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</si>
  <si>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</si>
  <si>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</si>
  <si>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</si>
  <si>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</si>
  <si>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</si>
  <si>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</si>
  <si>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</si>
  <si>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</si>
  <si>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</si>
  <si>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</si>
  <si>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</si>
  <si>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</si>
  <si>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</si>
  <si>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</si>
  <si>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</si>
  <si>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</si>
  <si>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</si>
  <si>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</si>
  <si>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</si>
  <si>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</si>
  <si>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</si>
  <si>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</si>
  <si>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</si>
  <si>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</si>
  <si>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</si>
  <si>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</si>
  <si>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</si>
  <si>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</si>
  <si>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</si>
  <si>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</si>
  <si>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</si>
  <si>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</si>
  <si>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</si>
  <si>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</si>
  <si>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</si>
  <si>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</si>
  <si>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</si>
  <si>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</si>
  <si>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</si>
  <si>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</si>
  <si>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</si>
  <si>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</si>
  <si>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</si>
  <si>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</si>
  <si>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</si>
  <si>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</si>
  <si>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</si>
  <si>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</si>
  <si>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</si>
  <si>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</si>
  <si>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</si>
  <si>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</si>
  <si>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</si>
  <si>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</si>
  <si>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</si>
  <si>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</si>
  <si>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</si>
  <si>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</si>
  <si>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</si>
  <si>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</si>
  <si>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</si>
  <si>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</si>
  <si>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</si>
  <si>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</si>
  <si>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</si>
  <si>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</si>
  <si>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</si>
  <si>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</si>
  <si>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</si>
  <si>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</si>
  <si>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</si>
  <si>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</si>
  <si>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</si>
  <si>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</si>
  <si>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</si>
  <si>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</si>
  <si>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</si>
  <si>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</si>
  <si>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</si>
  <si>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</si>
  <si>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</si>
  <si>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</si>
  <si>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</si>
  <si>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</si>
  <si>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</si>
  <si>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</si>
  <si>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</si>
  <si>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</si>
  <si>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</si>
  <si>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</si>
  <si>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</si>
  <si>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</si>
  <si>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</si>
  <si>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</si>
  <si>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</si>
  <si>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</si>
  <si>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</si>
  <si>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</si>
  <si>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</si>
  <si>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</si>
  <si>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</si>
  <si>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</si>
  <si>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</si>
  <si>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</si>
  <si>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</si>
  <si>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</si>
  <si>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</si>
  <si>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</si>
  <si>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</si>
  <si>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</si>
  <si>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</si>
  <si>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</si>
  <si>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</si>
  <si>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</si>
  <si>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</si>
  <si>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</si>
  <si>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</si>
  <si>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</si>
  <si>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</si>
  <si>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</si>
  <si>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</si>
  <si>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</si>
  <si>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</si>
  <si>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</si>
  <si>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</si>
  <si>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</si>
  <si>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</si>
  <si>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</si>
  <si>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</si>
  <si>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</si>
  <si>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</si>
  <si>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</si>
  <si>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</si>
  <si>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</si>
  <si>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</si>
  <si>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</si>
  <si>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</si>
  <si>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</si>
  <si>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</si>
  <si>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</si>
  <si>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</si>
  <si>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</si>
  <si>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</si>
  <si>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</si>
  <si>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</si>
  <si>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</si>
  <si>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</si>
  <si>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</si>
  <si>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</si>
  <si>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</si>
  <si>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</si>
  <si>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</si>
  <si>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</si>
  <si>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</si>
  <si>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</si>
  <si>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</si>
  <si>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</si>
  <si>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</si>
  <si>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</si>
  <si>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</si>
  <si>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</si>
  <si>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</si>
  <si>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</si>
  <si>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</si>
  <si>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</si>
  <si>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</si>
  <si>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</si>
  <si>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</si>
  <si>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</si>
  <si>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</si>
  <si>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</si>
  <si>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</si>
  <si>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</si>
  <si>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</si>
  <si>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</si>
  <si>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</si>
  <si>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</si>
  <si>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</si>
  <si>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</si>
  <si>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</si>
  <si>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</si>
  <si>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</si>
  <si>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</si>
  <si>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</si>
  <si>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</si>
  <si>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</si>
  <si>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</si>
  <si>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</si>
  <si>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</si>
  <si>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</si>
  <si>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</si>
  <si>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</si>
  <si>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</si>
  <si>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</si>
  <si>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</si>
  <si>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</si>
  <si>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</si>
  <si>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</si>
  <si>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</si>
  <si>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</si>
  <si>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</si>
  <si>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</si>
  <si>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</si>
  <si>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</si>
  <si>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</si>
  <si>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</si>
  <si>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</si>
  <si>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</si>
  <si>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</si>
  <si>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</si>
  <si>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</si>
  <si>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</si>
  <si>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</si>
  <si>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</si>
  <si>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</si>
  <si>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</si>
  <si>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</si>
  <si>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</si>
  <si>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</si>
  <si>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</si>
  <si>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</si>
  <si>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</si>
  <si>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</si>
  <si>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</si>
  <si>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</si>
  <si>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</si>
  <si>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</si>
  <si>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</si>
  <si>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</si>
  <si>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</si>
  <si>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</si>
  <si>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</si>
  <si>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</si>
  <si>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</si>
  <si>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</si>
  <si>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</si>
  <si>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</si>
  <si>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</si>
  <si>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</si>
  <si>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</si>
  <si>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</si>
  <si>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</si>
  <si>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</si>
  <si>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</si>
  <si>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</si>
  <si>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</si>
  <si>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</si>
  <si>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</si>
  <si>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</si>
  <si>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</si>
  <si>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</si>
  <si>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</si>
  <si>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</si>
  <si>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</si>
  <si>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</si>
  <si>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</si>
  <si>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</si>
  <si>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</si>
  <si>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</si>
  <si>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</si>
  <si>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</si>
  <si>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</si>
  <si>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</si>
  <si>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</si>
  <si>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</si>
  <si>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</si>
  <si>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</si>
  <si>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</si>
  <si>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</si>
  <si>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</si>
  <si>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</si>
  <si>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</si>
  <si>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</si>
  <si>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</si>
  <si>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</si>
  <si>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</si>
  <si>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</si>
  <si>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</si>
  <si>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</si>
  <si>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</si>
  <si>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</si>
  <si>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</si>
  <si>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</si>
  <si>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</si>
  <si>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</si>
  <si>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</si>
  <si>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</si>
  <si>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</si>
  <si>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</si>
  <si>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</si>
  <si>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</si>
  <si>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</si>
  <si>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</si>
  <si>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</si>
  <si>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</si>
  <si>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Jumper Wire : </t>
  </si>
  <si>
    <t>NFA2X-T 3 x 70 + N 50 mm²</t>
  </si>
  <si>
    <t>LVTC 3X70+70</t>
  </si>
  <si>
    <t>MTR</t>
  </si>
  <si>
    <t>CJ6-T</t>
  </si>
  <si>
    <t>B2</t>
  </si>
  <si>
    <t>APP 3P 13,2KVA</t>
  </si>
  <si>
    <t>Daya 13.200 VA</t>
  </si>
  <si>
    <t>-7.139147, 110.924347</t>
  </si>
  <si>
    <t>CJ5-T</t>
  </si>
  <si>
    <t>G312-A 50KVA</t>
  </si>
  <si>
    <t>CM2-11M</t>
  </si>
  <si>
    <t>PD BTS SLAMET 11-13,2KVA</t>
  </si>
  <si>
    <t>DS TAMBIREJO</t>
  </si>
  <si>
    <t>Trafo 3 Fasa 50 KVA 1 Tiang (G312-A)</t>
  </si>
  <si>
    <t>Stainless Steel Strap 20 X 0.7 mm</t>
  </si>
  <si>
    <t>K2-746/24E/17</t>
  </si>
  <si>
    <t>PWI12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</si>
</sst>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58" fillId="0" borderId="0" applyFont="0" applyFill="0" applyBorder="0" applyAlignment="0" applyProtection="0"/>
    <xf numFmtId="41" fontId="170" fillId="0" borderId="0" applyFont="0" applyFill="0" applyBorder="0" applyAlignment="0" applyProtection="0"/>
    <xf numFmtId="0" fontId="21" fillId="0" borderId="0"/>
  </cellStyleXfs>
  <cellXfs count="728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45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7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71" xfId="2670" applyFont="1" applyFill="1" applyBorder="1" applyAlignment="1">
      <alignment horizontal="left" vertical="center"/>
    </xf>
    <xf numFmtId="0" fontId="157" fillId="39" borderId="72" xfId="2670" applyFont="1" applyFill="1" applyBorder="1" applyAlignment="1">
      <alignment horizontal="center" vertical="center"/>
    </xf>
    <xf numFmtId="0" fontId="157" fillId="39" borderId="74" xfId="2670" applyFont="1" applyFill="1" applyBorder="1" applyAlignment="1">
      <alignment horizontal="left" vertical="center"/>
    </xf>
    <xf numFmtId="0" fontId="157" fillId="39" borderId="70" xfId="2670" applyFont="1" applyFill="1" applyBorder="1" applyAlignment="1">
      <alignment horizontal="center" vertical="center"/>
    </xf>
    <xf numFmtId="0" fontId="157" fillId="39" borderId="76" xfId="2670" applyFont="1" applyFill="1" applyBorder="1" applyAlignment="1">
      <alignment horizontal="left" vertical="center"/>
    </xf>
    <xf numFmtId="0" fontId="157" fillId="39" borderId="77" xfId="2670" applyFont="1" applyFill="1" applyBorder="1" applyAlignment="1">
      <alignment horizontal="center" vertical="center"/>
    </xf>
    <xf numFmtId="167" fontId="139" fillId="40" borderId="73" xfId="2672" applyFont="1" applyFill="1" applyBorder="1" applyAlignment="1" applyProtection="1">
      <alignment horizontal="right" vertical="center" wrapText="1"/>
      <protection locked="0"/>
    </xf>
    <xf numFmtId="167" fontId="139" fillId="40" borderId="75" xfId="2672" applyFont="1" applyFill="1" applyBorder="1" applyAlignment="1" applyProtection="1">
      <alignment horizontal="right" vertical="center"/>
      <protection locked="0"/>
    </xf>
    <xf numFmtId="169" fontId="139" fillId="40" borderId="75" xfId="2672" applyNumberFormat="1" applyFont="1" applyFill="1" applyBorder="1" applyAlignment="1" applyProtection="1">
      <alignment horizontal="right" vertical="center"/>
      <protection locked="0"/>
    </xf>
    <xf numFmtId="169" fontId="139" fillId="40" borderId="78" xfId="2672" applyNumberFormat="1" applyFont="1" applyFill="1" applyBorder="1" applyAlignment="1" applyProtection="1">
      <alignment horizontal="right" vertical="center"/>
      <protection locked="0"/>
    </xf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1" xfId="2673" applyFont="1" applyBorder="1" applyAlignment="1">
      <alignment horizontal="center" vertical="center" wrapText="1"/>
    </xf>
    <xf numFmtId="0" fontId="160" fillId="0" borderId="0" xfId="2673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62" fillId="0" borderId="0" xfId="2673" applyFont="1" applyAlignment="1">
      <alignment vertical="center" wrapText="1"/>
    </xf>
    <xf numFmtId="0" fontId="145" fillId="35" borderId="82" xfId="2673" applyFont="1" applyFill="1" applyBorder="1" applyAlignment="1">
      <alignment vertical="center" wrapText="1"/>
    </xf>
    <xf numFmtId="0" fontId="145" fillId="43" borderId="82" xfId="2673" applyFont="1" applyFill="1" applyBorder="1" applyAlignment="1">
      <alignment vertical="center" wrapText="1"/>
    </xf>
    <xf numFmtId="0" fontId="159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2" fontId="167" fillId="0" borderId="0" xfId="2673" applyNumberFormat="1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86" xfId="2673" applyFont="1" applyFill="1" applyBorder="1" applyAlignment="1">
      <alignment vertical="center" wrapText="1"/>
    </xf>
    <xf numFmtId="0" fontId="106" fillId="0" borderId="63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0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47" fillId="0" borderId="21" xfId="1615" applyFont="1" applyBorder="1" applyAlignment="1">
      <alignment horizontal="left" vertical="center" wrapText="1"/>
    </xf>
    <xf numFmtId="0" fontId="153" fillId="0" borderId="20" xfId="1653" applyFont="1" applyBorder="1" applyAlignment="1">
      <alignment horizontal="center" vertical="center"/>
    </xf>
    <xf numFmtId="0" fontId="154" fillId="0" borderId="21" xfId="1615" applyFont="1" applyBorder="1" applyAlignment="1">
      <alignment horizontal="center" vertical="center"/>
    </xf>
    <xf numFmtId="0" fontId="147" fillId="0" borderId="20" xfId="1615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9" fontId="119" fillId="33" borderId="0" xfId="2542" applyFont="1" applyFill="1" applyAlignment="1">
      <alignment horizontal="center"/>
    </xf>
    <xf numFmtId="9" fontId="115" fillId="33" borderId="0" xfId="2542" applyFont="1" applyFill="1" applyBorder="1" applyAlignment="1">
      <alignment horizontal="center" vertical="center"/>
    </xf>
    <xf numFmtId="0" fontId="120" fillId="0" borderId="0" xfId="1451" applyFont="1"/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37" xfId="1451" applyFont="1" applyBorder="1"/>
    <xf numFmtId="0" fontId="120" fillId="0" borderId="28" xfId="1451" applyFont="1" applyBorder="1"/>
    <xf numFmtId="0" fontId="121" fillId="0" borderId="0" xfId="1451" applyFont="1" applyAlignment="1">
      <alignment vertical="center"/>
    </xf>
    <xf numFmtId="0" fontId="172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6" fillId="0" borderId="0" xfId="1451" applyFont="1" applyAlignment="1">
      <alignment vertical="center"/>
    </xf>
    <xf numFmtId="0" fontId="116" fillId="0" borderId="37" xfId="1451" applyFont="1" applyBorder="1" applyAlignment="1">
      <alignment vertical="center"/>
    </xf>
    <xf numFmtId="0" fontId="125" fillId="0" borderId="0" xfId="1451" applyFont="1" applyAlignment="1">
      <alignment horizontal="center"/>
    </xf>
    <xf numFmtId="0" fontId="116" fillId="0" borderId="0" xfId="1451" applyFont="1" applyAlignment="1">
      <alignment horizontal="center" vertical="center"/>
    </xf>
    <xf numFmtId="0" fontId="116" fillId="0" borderId="37" xfId="1451" applyFont="1" applyBorder="1" applyAlignment="1">
      <alignment horizontal="center" vertical="center"/>
    </xf>
    <xf numFmtId="0" fontId="120" fillId="0" borderId="34" xfId="1451" applyFont="1" applyBorder="1"/>
    <xf numFmtId="0" fontId="120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120" fillId="0" borderId="31" xfId="1451" applyFont="1" applyBorder="1"/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127" fillId="0" borderId="21" xfId="1652" applyFont="1" applyBorder="1" applyAlignment="1">
      <alignment horizontal="center" vertical="center"/>
    </xf>
    <xf numFmtId="0" fontId="153" fillId="0" borderId="21" xfId="1652" applyFont="1" applyBorder="1" applyAlignment="1">
      <alignment horizontal="center" vertical="center"/>
    </xf>
    <xf numFmtId="0" fontId="149" fillId="48" borderId="21" xfId="1653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left" vertical="center" wrapText="1"/>
    </xf>
    <xf numFmtId="0" fontId="120" fillId="33" borderId="0" xfId="1451" applyFont="1" applyFill="1" applyAlignment="1">
      <alignment horizontal="center" vertical="center"/>
    </xf>
    <xf numFmtId="0" fontId="120" fillId="33" borderId="0" xfId="1451" applyFont="1" applyFill="1" applyAlignment="1">
      <alignment horizont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5" fillId="33" borderId="0" xfId="2677" applyFont="1" applyFill="1" applyAlignment="1">
      <alignment horizontal="center"/>
    </xf>
    <xf numFmtId="0" fontId="115" fillId="33" borderId="26" xfId="2677" applyFont="1" applyFill="1" applyBorder="1" applyAlignment="1">
      <alignment horizontal="center"/>
    </xf>
    <xf numFmtId="0" fontId="115" fillId="33" borderId="36" xfId="2677" applyFont="1" applyFill="1" applyBorder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quotePrefix="1" applyFont="1" applyFill="1" applyAlignment="1">
      <alignment horizontal="center"/>
    </xf>
    <xf numFmtId="0" fontId="116" fillId="33" borderId="18" xfId="2677" applyFont="1" applyFill="1" applyBorder="1" applyAlignment="1">
      <alignment horizontal="left"/>
    </xf>
    <xf numFmtId="0" fontId="115" fillId="33" borderId="37" xfId="2677" applyFont="1" applyFill="1" applyBorder="1" applyAlignment="1">
      <alignment horizontal="center"/>
    </xf>
    <xf numFmtId="0" fontId="115" fillId="33" borderId="3" xfId="2677" applyFont="1" applyFill="1" applyBorder="1" applyAlignment="1">
      <alignment horizontal="center"/>
    </xf>
    <xf numFmtId="0" fontId="115" fillId="33" borderId="39" xfId="2677" applyFont="1" applyFill="1" applyBorder="1" applyAlignment="1">
      <alignment horizontal="center"/>
    </xf>
    <xf numFmtId="0" fontId="135" fillId="33" borderId="0" xfId="2677" applyFont="1" applyFill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0" fontId="115" fillId="33" borderId="38" xfId="2677" applyFont="1" applyFill="1" applyBorder="1" applyAlignment="1">
      <alignment horizontal="center"/>
    </xf>
    <xf numFmtId="0" fontId="116" fillId="33" borderId="0" xfId="2677" applyFont="1" applyFill="1" applyAlignment="1">
      <alignment horizontal="left"/>
    </xf>
    <xf numFmtId="0" fontId="116" fillId="33" borderId="0" xfId="2677" applyFont="1" applyFill="1" applyAlignment="1">
      <alignment horizontal="center"/>
    </xf>
    <xf numFmtId="0" fontId="92" fillId="33" borderId="40" xfId="2677" applyFont="1" applyFill="1" applyBorder="1" applyAlignment="1">
      <alignment horizontal="center" vertical="center"/>
    </xf>
    <xf numFmtId="0" fontId="92" fillId="33" borderId="47" xfId="2677" applyFont="1" applyFill="1" applyBorder="1" applyAlignment="1">
      <alignment horizontal="center" vertical="center"/>
    </xf>
    <xf numFmtId="0" fontId="115" fillId="33" borderId="3" xfId="2677" applyFont="1" applyFill="1" applyBorder="1" applyAlignment="1">
      <alignment horizontal="center" vertical="center"/>
    </xf>
    <xf numFmtId="0" fontId="115" fillId="33" borderId="39" xfId="2677" applyFont="1" applyFill="1" applyBorder="1" applyAlignment="1">
      <alignment horizontal="center" vertical="center"/>
    </xf>
    <xf numFmtId="0" fontId="92" fillId="33" borderId="102" xfId="2677" applyFont="1" applyFill="1" applyBorder="1" applyAlignment="1">
      <alignment horizontal="left" vertical="center"/>
    </xf>
    <xf numFmtId="0" fontId="92" fillId="33" borderId="40" xfId="2677" applyFont="1" applyFill="1" applyBorder="1" applyAlignment="1">
      <alignment horizontal="left" vertical="center"/>
    </xf>
    <xf numFmtId="0" fontId="92" fillId="33" borderId="59" xfId="2677" applyFont="1" applyFill="1" applyBorder="1" applyAlignment="1">
      <alignment horizontal="left" vertical="center"/>
    </xf>
    <xf numFmtId="0" fontId="92" fillId="33" borderId="60" xfId="2677" applyFont="1" applyFill="1" applyBorder="1" applyAlignment="1">
      <alignment horizontal="left" vertical="center"/>
    </xf>
    <xf numFmtId="0" fontId="118" fillId="33" borderId="0" xfId="2677" applyFont="1" applyFill="1" applyAlignment="1">
      <alignment horizontal="center"/>
    </xf>
    <xf numFmtId="0" fontId="92" fillId="33" borderId="69" xfId="2677" applyFont="1" applyFill="1" applyBorder="1" applyAlignment="1">
      <alignment horizontal="left" vertical="center"/>
    </xf>
    <xf numFmtId="0" fontId="115" fillId="33" borderId="39" xfId="2677" applyFont="1" applyFill="1" applyBorder="1" applyAlignment="1">
      <alignment horizontal="center" vertical="top" wrapText="1"/>
    </xf>
    <xf numFmtId="0" fontId="173" fillId="33" borderId="59" xfId="2677" applyFont="1" applyFill="1" applyBorder="1" applyAlignment="1">
      <alignment horizontal="left" vertical="center"/>
    </xf>
    <xf numFmtId="0" fontId="173" fillId="33" borderId="69" xfId="2677" applyFont="1" applyFill="1" applyBorder="1" applyAlignment="1">
      <alignment horizontal="left" vertical="center"/>
    </xf>
    <xf numFmtId="0" fontId="92" fillId="33" borderId="98" xfId="2677" applyFont="1" applyFill="1" applyBorder="1" applyAlignment="1">
      <alignment horizontal="center" vertical="center"/>
    </xf>
    <xf numFmtId="0" fontId="173" fillId="33" borderId="101" xfId="2677" applyFont="1" applyFill="1" applyBorder="1" applyAlignment="1">
      <alignment horizontal="left" vertical="center"/>
    </xf>
    <xf numFmtId="0" fontId="173" fillId="33" borderId="100" xfId="2677" applyFont="1" applyFill="1" applyBorder="1" applyAlignment="1">
      <alignment horizontal="left" vertical="center"/>
    </xf>
    <xf numFmtId="0" fontId="173" fillId="33" borderId="99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top" wrapText="1"/>
    </xf>
    <xf numFmtId="0" fontId="115" fillId="33" borderId="41" xfId="2677" applyFont="1" applyFill="1" applyBorder="1" applyAlignment="1">
      <alignment horizontal="center" vertical="top" wrapText="1"/>
    </xf>
    <xf numFmtId="0" fontId="115" fillId="33" borderId="3" xfId="2677" applyFont="1" applyFill="1" applyBorder="1" applyAlignment="1">
      <alignment vertical="top" wrapText="1"/>
    </xf>
    <xf numFmtId="0" fontId="115" fillId="33" borderId="39" xfId="2677" applyFont="1" applyFill="1" applyBorder="1" applyAlignment="1">
      <alignment vertical="top" wrapText="1"/>
    </xf>
    <xf numFmtId="0" fontId="119" fillId="33" borderId="95" xfId="2677" applyFont="1" applyFill="1" applyBorder="1" applyAlignment="1">
      <alignment horizontal="center" vertical="top" wrapText="1"/>
    </xf>
    <xf numFmtId="0" fontId="119" fillId="33" borderId="94" xfId="2677" applyFont="1" applyFill="1" applyBorder="1" applyAlignment="1">
      <alignment horizontal="center" vertical="top" wrapText="1"/>
    </xf>
    <xf numFmtId="0" fontId="115" fillId="33" borderId="42" xfId="2677" applyFont="1" applyFill="1" applyBorder="1" applyAlignment="1">
      <alignment horizontal="center"/>
    </xf>
    <xf numFmtId="0" fontId="119" fillId="33" borderId="28" xfId="2677" applyFont="1" applyFill="1" applyBorder="1" applyAlignment="1">
      <alignment horizontal="center"/>
    </xf>
    <xf numFmtId="0" fontId="119" fillId="33" borderId="0" xfId="2677" applyFont="1" applyFill="1" applyAlignment="1">
      <alignment horizontal="center"/>
    </xf>
    <xf numFmtId="20" fontId="115" fillId="33" borderId="39" xfId="2677" applyNumberFormat="1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42" xfId="2677" applyFont="1" applyFill="1" applyBorder="1" applyAlignment="1">
      <alignment horizontal="center" vertical="center" wrapText="1"/>
    </xf>
    <xf numFmtId="0" fontId="115" fillId="33" borderId="0" xfId="2677" applyFont="1" applyFill="1" applyAlignment="1">
      <alignment horizontal="center" vertical="center"/>
    </xf>
    <xf numFmtId="0" fontId="119" fillId="33" borderId="0" xfId="2677" applyFont="1" applyFill="1" applyAlignment="1">
      <alignment horizontal="center" vertical="center"/>
    </xf>
    <xf numFmtId="0" fontId="119" fillId="33" borderId="34" xfId="2677" applyFont="1" applyFill="1" applyBorder="1" applyAlignment="1">
      <alignment horizontal="center"/>
    </xf>
    <xf numFmtId="0" fontId="119" fillId="33" borderId="19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5" fillId="33" borderId="46" xfId="2677" applyFont="1" applyFill="1" applyBorder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44" fillId="0" borderId="21" xfId="0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5" fillId="0" borderId="0" xfId="0" applyFont="1"/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5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0" fillId="42" borderId="79" xfId="2673" applyFont="1" applyFill="1" applyBorder="1" applyAlignment="1">
      <alignment horizontal="center" vertical="center" wrapText="1"/>
    </xf>
    <xf numFmtId="0" fontId="160" fillId="42" borderId="80" xfId="2673" applyFont="1" applyFill="1" applyBorder="1" applyAlignment="1">
      <alignment horizontal="center" vertical="center" wrapText="1"/>
    </xf>
    <xf numFmtId="0" fontId="160" fillId="42" borderId="81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1" xfId="2673" applyNumberFormat="1" applyFont="1" applyFill="1" applyBorder="1" applyAlignment="1">
      <alignment horizontal="center" vertical="center" wrapText="1"/>
    </xf>
    <xf numFmtId="2" fontId="133" fillId="43" borderId="83" xfId="2673" applyNumberFormat="1" applyFont="1" applyFill="1" applyBorder="1" applyAlignment="1">
      <alignment horizontal="center" vertical="center" wrapText="1"/>
    </xf>
    <xf numFmtId="0" fontId="163" fillId="0" borderId="50" xfId="2673" applyFont="1" applyBorder="1" applyAlignment="1">
      <alignment horizontal="center" vertical="center" wrapText="1"/>
    </xf>
    <xf numFmtId="0" fontId="163" fillId="0" borderId="58" xfId="2673" applyFont="1" applyBorder="1" applyAlignment="1">
      <alignment horizontal="center" vertical="center" wrapText="1"/>
    </xf>
    <xf numFmtId="0" fontId="163" fillId="44" borderId="3" xfId="2673" applyFont="1" applyFill="1" applyBorder="1" applyAlignment="1">
      <alignment horizontal="center" vertical="center" wrapText="1"/>
    </xf>
    <xf numFmtId="0" fontId="163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3" xfId="2675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8" fillId="0" borderId="84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85" xfId="2673" applyBorder="1" applyAlignment="1">
      <alignment horizontal="center" vertical="center" wrapText="1"/>
    </xf>
    <xf numFmtId="9" fontId="167" fillId="0" borderId="0" xfId="2675" applyFont="1" applyFill="1" applyBorder="1" applyAlignment="1">
      <alignment horizontal="center" vertical="center" wrapText="1"/>
    </xf>
    <xf numFmtId="0" fontId="164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1" xfId="2673" applyNumberFormat="1" applyFont="1" applyFill="1" applyBorder="1" applyAlignment="1">
      <alignment horizontal="center" vertical="center" wrapText="1"/>
    </xf>
    <xf numFmtId="2" fontId="133" fillId="35" borderId="83" xfId="2673" applyNumberFormat="1" applyFont="1" applyFill="1" applyBorder="1" applyAlignment="1">
      <alignment horizontal="center" vertical="center" wrapText="1"/>
    </xf>
    <xf numFmtId="0" fontId="160" fillId="41" borderId="79" xfId="2673" applyFont="1" applyFill="1" applyBorder="1" applyAlignment="1">
      <alignment horizontal="center" vertical="center" wrapText="1"/>
    </xf>
    <xf numFmtId="0" fontId="160" fillId="41" borderId="80" xfId="2673" applyFont="1" applyFill="1" applyBorder="1" applyAlignment="1">
      <alignment horizontal="center" vertical="center" wrapText="1"/>
    </xf>
    <xf numFmtId="0" fontId="160" fillId="41" borderId="81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3" xfId="2675" applyFont="1" applyFill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0" fontId="9" fillId="34" borderId="67" xfId="2670" applyFill="1" applyBorder="1" applyAlignment="1">
      <alignment horizontal="center" vertical="center"/>
    </xf>
    <xf numFmtId="0" fontId="137" fillId="0" borderId="6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quotePrefix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69" fillId="0" borderId="26" xfId="1614" applyFont="1" applyBorder="1" applyAlignment="1">
      <alignment horizontal="left" vertical="center" wrapText="1"/>
    </xf>
    <xf numFmtId="0" fontId="169" fillId="0" borderId="36" xfId="1614" applyFont="1" applyBorder="1" applyAlignment="1">
      <alignment horizontal="left" vertical="center" wrapText="1"/>
    </xf>
    <xf numFmtId="0" fontId="169" fillId="0" borderId="48" xfId="1614" applyFont="1" applyBorder="1" applyAlignment="1">
      <alignment horizontal="left" vertical="center" wrapText="1"/>
    </xf>
    <xf numFmtId="0" fontId="169" fillId="0" borderId="28" xfId="1614" applyFont="1" applyBorder="1" applyAlignment="1">
      <alignment horizontal="left" vertical="center" wrapText="1"/>
    </xf>
    <xf numFmtId="0" fontId="169" fillId="0" borderId="0" xfId="1614" applyFont="1" applyAlignment="1">
      <alignment horizontal="left" vertical="center" wrapText="1"/>
    </xf>
    <xf numFmtId="0" fontId="169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30" fillId="35" borderId="55" xfId="2677" applyFont="1" applyFill="1" applyBorder="1" applyAlignment="1">
      <alignment horizontal="center" vertical="center"/>
    </xf>
    <xf numFmtId="0" fontId="130" fillId="35" borderId="36" xfId="2677" applyFont="1" applyFill="1" applyBorder="1" applyAlignment="1">
      <alignment horizontal="center" vertical="center"/>
    </xf>
    <xf numFmtId="0" fontId="130" fillId="35" borderId="48" xfId="2677" applyFont="1" applyFill="1" applyBorder="1" applyAlignment="1">
      <alignment horizontal="center" vertical="center"/>
    </xf>
    <xf numFmtId="0" fontId="130" fillId="35" borderId="43" xfId="2677" applyFont="1" applyFill="1" applyBorder="1" applyAlignment="1">
      <alignment horizontal="center" vertical="center"/>
    </xf>
    <xf numFmtId="0" fontId="130" fillId="35" borderId="44" xfId="2677" applyFont="1" applyFill="1" applyBorder="1" applyAlignment="1">
      <alignment horizontal="center" vertical="center"/>
    </xf>
    <xf numFmtId="0" fontId="130" fillId="35" borderId="45" xfId="2677" applyFont="1" applyFill="1" applyBorder="1" applyAlignment="1">
      <alignment horizontal="center" vertical="center"/>
    </xf>
    <xf numFmtId="0" fontId="115" fillId="33" borderId="3" xfId="2677" applyFont="1" applyFill="1" applyBorder="1" applyAlignment="1">
      <alignment horizontal="center"/>
    </xf>
    <xf numFmtId="0" fontId="115" fillId="33" borderId="39" xfId="2677" applyFont="1" applyFill="1" applyBorder="1" applyAlignment="1">
      <alignment horizontal="center"/>
    </xf>
    <xf numFmtId="49" fontId="92" fillId="33" borderId="102" xfId="2677" applyNumberFormat="1" applyFont="1" applyFill="1" applyBorder="1" applyAlignment="1">
      <alignment horizontal="left" vertical="center"/>
    </xf>
    <xf numFmtId="49" fontId="92" fillId="33" borderId="40" xfId="2677" applyNumberFormat="1" applyFont="1" applyFill="1" applyBorder="1" applyAlignment="1">
      <alignment horizontal="left" vertical="center"/>
    </xf>
    <xf numFmtId="49" fontId="174" fillId="33" borderId="102" xfId="2677" applyNumberFormat="1" applyFont="1" applyFill="1" applyBorder="1" applyAlignment="1">
      <alignment horizontal="left" vertical="center"/>
    </xf>
    <xf numFmtId="49" fontId="174" fillId="33" borderId="40" xfId="2677" applyNumberFormat="1" applyFont="1" applyFill="1" applyBorder="1" applyAlignment="1">
      <alignment horizontal="left" vertical="center"/>
    </xf>
    <xf numFmtId="49" fontId="115" fillId="33" borderId="50" xfId="2677" applyNumberFormat="1" applyFont="1" applyFill="1" applyBorder="1" applyAlignment="1">
      <alignment horizontal="left" vertical="center"/>
    </xf>
    <xf numFmtId="49" fontId="115" fillId="33" borderId="41" xfId="2677" applyNumberFormat="1" applyFont="1" applyFill="1" applyBorder="1" applyAlignment="1">
      <alignment horizontal="left" vertical="center"/>
    </xf>
    <xf numFmtId="0" fontId="174" fillId="33" borderId="59" xfId="2677" applyFont="1" applyFill="1" applyBorder="1" applyAlignment="1">
      <alignment horizontal="left" vertical="center"/>
    </xf>
    <xf numFmtId="0" fontId="174" fillId="33" borderId="60" xfId="2677" applyFont="1" applyFill="1" applyBorder="1" applyAlignment="1">
      <alignment horizontal="left" vertical="center"/>
    </xf>
    <xf numFmtId="0" fontId="115" fillId="33" borderId="56" xfId="2677" applyFont="1" applyFill="1" applyBorder="1" applyAlignment="1">
      <alignment horizontal="center"/>
    </xf>
    <xf numFmtId="0" fontId="115" fillId="33" borderId="57" xfId="2677" applyFont="1" applyFill="1" applyBorder="1" applyAlignment="1">
      <alignment horizontal="center"/>
    </xf>
    <xf numFmtId="0" fontId="116" fillId="33" borderId="18" xfId="2677" applyFont="1" applyFill="1" applyBorder="1" applyAlignment="1">
      <alignment horizontal="left"/>
    </xf>
    <xf numFmtId="0" fontId="116" fillId="33" borderId="0" xfId="2677" applyFont="1" applyFill="1" applyAlignment="1">
      <alignment horizontal="left"/>
    </xf>
    <xf numFmtId="0" fontId="116" fillId="33" borderId="37" xfId="2677" applyFont="1" applyFill="1" applyBorder="1" applyAlignment="1">
      <alignment horizontal="left"/>
    </xf>
    <xf numFmtId="0" fontId="131" fillId="33" borderId="50" xfId="2677" applyFont="1" applyFill="1" applyBorder="1" applyAlignment="1">
      <alignment horizontal="center" vertical="center"/>
    </xf>
    <xf numFmtId="0" fontId="131" fillId="33" borderId="7" xfId="2677" applyFont="1" applyFill="1" applyBorder="1" applyAlignment="1">
      <alignment horizontal="center" vertical="center"/>
    </xf>
    <xf numFmtId="0" fontId="131" fillId="33" borderId="41" xfId="2677" applyFont="1" applyFill="1" applyBorder="1" applyAlignment="1">
      <alignment horizontal="center" vertical="center"/>
    </xf>
    <xf numFmtId="0" fontId="116" fillId="33" borderId="50" xfId="2677" applyFont="1" applyFill="1" applyBorder="1" applyAlignment="1">
      <alignment horizontal="center" vertical="center"/>
    </xf>
    <xf numFmtId="0" fontId="116" fillId="33" borderId="7" xfId="2677" applyFont="1" applyFill="1" applyBorder="1" applyAlignment="1">
      <alignment horizontal="center" vertical="center"/>
    </xf>
    <xf numFmtId="0" fontId="116" fillId="33" borderId="58" xfId="2677" applyFont="1" applyFill="1" applyBorder="1" applyAlignment="1">
      <alignment horizontal="center" vertical="center"/>
    </xf>
    <xf numFmtId="0" fontId="92" fillId="33" borderId="59" xfId="2677" applyFont="1" applyFill="1" applyBorder="1" applyAlignment="1">
      <alignment horizontal="left" vertical="center"/>
    </xf>
    <xf numFmtId="0" fontId="92" fillId="33" borderId="60" xfId="2677" applyFont="1" applyFill="1" applyBorder="1" applyAlignment="1">
      <alignment horizontal="left" vertical="center"/>
    </xf>
    <xf numFmtId="0" fontId="92" fillId="33" borderId="102" xfId="2677" applyFont="1" applyFill="1" applyBorder="1" applyAlignment="1">
      <alignment horizontal="left" vertical="center"/>
    </xf>
    <xf numFmtId="0" fontId="92" fillId="33" borderId="40" xfId="2677" applyFont="1" applyFill="1" applyBorder="1" applyAlignment="1">
      <alignment horizontal="left" vertical="center"/>
    </xf>
    <xf numFmtId="49" fontId="115" fillId="33" borderId="50" xfId="2677" applyNumberFormat="1" applyFont="1" applyFill="1" applyBorder="1" applyAlignment="1">
      <alignment vertical="center"/>
    </xf>
    <xf numFmtId="49" fontId="115" fillId="33" borderId="41" xfId="2677" applyNumberFormat="1" applyFont="1" applyFill="1" applyBorder="1" applyAlignment="1">
      <alignment vertical="center"/>
    </xf>
    <xf numFmtId="49" fontId="115" fillId="33" borderId="50" xfId="2677" applyNumberFormat="1" applyFont="1" applyFill="1" applyBorder="1" applyAlignment="1">
      <alignment vertical="top" wrapText="1"/>
    </xf>
    <xf numFmtId="49" fontId="115" fillId="33" borderId="41" xfId="2677" applyNumberFormat="1" applyFont="1" applyFill="1" applyBorder="1" applyAlignment="1">
      <alignment vertical="top" wrapText="1"/>
    </xf>
    <xf numFmtId="0" fontId="115" fillId="33" borderId="7" xfId="2677" applyFont="1" applyFill="1" applyBorder="1" applyAlignment="1">
      <alignment horizontal="center"/>
    </xf>
    <xf numFmtId="0" fontId="115" fillId="33" borderId="41" xfId="2677" applyFont="1" applyFill="1" applyBorder="1" applyAlignment="1">
      <alignment horizontal="center"/>
    </xf>
    <xf numFmtId="15" fontId="115" fillId="33" borderId="3" xfId="2677" applyNumberFormat="1" applyFont="1" applyFill="1" applyBorder="1" applyAlignment="1">
      <alignment horizontal="center"/>
    </xf>
    <xf numFmtId="0" fontId="115" fillId="33" borderId="7" xfId="2677" applyFont="1" applyFill="1" applyBorder="1" applyAlignment="1">
      <alignment vertical="top" wrapText="1"/>
    </xf>
    <xf numFmtId="0" fontId="115" fillId="33" borderId="41" xfId="2677" applyFont="1" applyFill="1" applyBorder="1" applyAlignment="1">
      <alignment vertical="top" wrapText="1"/>
    </xf>
    <xf numFmtId="0" fontId="119" fillId="33" borderId="97" xfId="2677" applyFont="1" applyFill="1" applyBorder="1" applyAlignment="1">
      <alignment horizontal="center" vertical="center" wrapText="1"/>
    </xf>
    <xf numFmtId="0" fontId="119" fillId="33" borderId="96" xfId="2677" applyFont="1" applyFill="1" applyBorder="1" applyAlignment="1">
      <alignment horizontal="center" vertical="center" wrapText="1"/>
    </xf>
    <xf numFmtId="0" fontId="115" fillId="33" borderId="7" xfId="2677" applyFont="1" applyFill="1" applyBorder="1" applyAlignment="1">
      <alignment horizontal="center" vertical="top" wrapText="1"/>
    </xf>
    <xf numFmtId="0" fontId="115" fillId="33" borderId="41" xfId="2677" applyFont="1" applyFill="1" applyBorder="1" applyAlignment="1">
      <alignment horizontal="center" vertical="top" wrapText="1"/>
    </xf>
    <xf numFmtId="0" fontId="116" fillId="33" borderId="38" xfId="2677" applyFont="1" applyFill="1" applyBorder="1" applyAlignment="1">
      <alignment horizontal="left" vertical="top" wrapText="1"/>
    </xf>
    <xf numFmtId="0" fontId="116" fillId="33" borderId="56" xfId="2677" applyFont="1" applyFill="1" applyBorder="1" applyAlignment="1">
      <alignment horizontal="left" vertical="top" wrapText="1"/>
    </xf>
    <xf numFmtId="0" fontId="116" fillId="33" borderId="57" xfId="2677" applyFont="1" applyFill="1" applyBorder="1" applyAlignment="1">
      <alignment horizontal="left" vertical="top" wrapText="1"/>
    </xf>
    <xf numFmtId="0" fontId="116" fillId="33" borderId="43" xfId="2677" applyFont="1" applyFill="1" applyBorder="1" applyAlignment="1">
      <alignment horizontal="left" vertical="top" wrapText="1"/>
    </xf>
    <xf numFmtId="0" fontId="116" fillId="33" borderId="44" xfId="2677" applyFont="1" applyFill="1" applyBorder="1" applyAlignment="1">
      <alignment horizontal="left" vertical="top" wrapText="1"/>
    </xf>
    <xf numFmtId="0" fontId="116" fillId="33" borderId="45" xfId="2677" applyFont="1" applyFill="1" applyBorder="1" applyAlignment="1">
      <alignment horizontal="left" vertical="top" wrapText="1"/>
    </xf>
    <xf numFmtId="0" fontId="115" fillId="33" borderId="50" xfId="2677" applyFont="1" applyFill="1" applyBorder="1" applyAlignment="1">
      <alignment horizontal="center"/>
    </xf>
    <xf numFmtId="0" fontId="115" fillId="33" borderId="87" xfId="2677" applyFont="1" applyFill="1" applyBorder="1" applyAlignment="1">
      <alignment horizontal="center"/>
    </xf>
    <xf numFmtId="0" fontId="115" fillId="33" borderId="62" xfId="2677" applyFont="1" applyFill="1" applyBorder="1" applyAlignment="1">
      <alignment horizontal="center"/>
    </xf>
    <xf numFmtId="0" fontId="115" fillId="33" borderId="63" xfId="2677" applyFont="1" applyFill="1" applyBorder="1" applyAlignment="1">
      <alignment horizontal="center"/>
    </xf>
    <xf numFmtId="0" fontId="115" fillId="33" borderId="64" xfId="2677" applyFont="1" applyFill="1" applyBorder="1" applyAlignment="1">
      <alignment horizontal="center"/>
    </xf>
    <xf numFmtId="0" fontId="115" fillId="33" borderId="56" xfId="2677" applyFont="1" applyFill="1" applyBorder="1" applyAlignment="1">
      <alignment horizontal="center" vertical="center"/>
    </xf>
    <xf numFmtId="0" fontId="115" fillId="33" borderId="57" xfId="2677" applyFont="1" applyFill="1" applyBorder="1" applyAlignment="1">
      <alignment horizontal="center" vertical="center"/>
    </xf>
    <xf numFmtId="0" fontId="120" fillId="33" borderId="0" xfId="2677" applyFont="1" applyFill="1" applyAlignment="1">
      <alignment horizontal="center" vertical="center" wrapText="1"/>
    </xf>
    <xf numFmtId="0" fontId="120" fillId="33" borderId="37" xfId="2677" applyFont="1" applyFill="1" applyBorder="1" applyAlignment="1">
      <alignment horizontal="center" vertical="center" wrapText="1"/>
    </xf>
    <xf numFmtId="0" fontId="120" fillId="33" borderId="44" xfId="2677" applyFont="1" applyFill="1" applyBorder="1" applyAlignment="1">
      <alignment horizontal="center" vertical="center" wrapText="1"/>
    </xf>
    <xf numFmtId="0" fontId="120" fillId="33" borderId="45" xfId="2677" applyFont="1" applyFill="1" applyBorder="1" applyAlignment="1">
      <alignment horizontal="center" vertical="center" wrapText="1"/>
    </xf>
    <xf numFmtId="0" fontId="171" fillId="0" borderId="88" xfId="1451" applyFont="1" applyBorder="1" applyAlignment="1">
      <alignment horizontal="center" vertical="center"/>
    </xf>
    <xf numFmtId="0" fontId="171" fillId="0" borderId="89" xfId="1451" applyFont="1" applyBorder="1" applyAlignment="1">
      <alignment horizontal="center" vertical="center"/>
    </xf>
    <xf numFmtId="0" fontId="171" fillId="0" borderId="90" xfId="1451" applyFont="1" applyBorder="1" applyAlignment="1">
      <alignment horizontal="center" vertical="center"/>
    </xf>
    <xf numFmtId="0" fontId="171" fillId="0" borderId="91" xfId="1451" applyFont="1" applyBorder="1" applyAlignment="1">
      <alignment horizontal="center" vertical="center"/>
    </xf>
    <xf numFmtId="0" fontId="171" fillId="0" borderId="92" xfId="1451" applyFont="1" applyBorder="1" applyAlignment="1">
      <alignment horizontal="center" vertical="center"/>
    </xf>
    <xf numFmtId="0" fontId="171" fillId="0" borderId="93" xfId="1451" applyFont="1" applyBorder="1" applyAlignment="1">
      <alignment horizontal="center" vertical="center"/>
    </xf>
    <xf numFmtId="0" fontId="122" fillId="33" borderId="88" xfId="1451" applyFont="1" applyFill="1" applyBorder="1" applyAlignment="1">
      <alignment horizontal="center" vertical="center"/>
    </xf>
    <xf numFmtId="0" fontId="122" fillId="33" borderId="89" xfId="1451" applyFont="1" applyFill="1" applyBorder="1" applyAlignment="1">
      <alignment horizontal="center" vertical="center"/>
    </xf>
    <xf numFmtId="0" fontId="122" fillId="33" borderId="90" xfId="1451" applyFont="1" applyFill="1" applyBorder="1" applyAlignment="1">
      <alignment horizontal="center" vertical="center"/>
    </xf>
    <xf numFmtId="0" fontId="122" fillId="33" borderId="91" xfId="1451" applyFont="1" applyFill="1" applyBorder="1" applyAlignment="1">
      <alignment horizontal="center" vertical="center"/>
    </xf>
    <xf numFmtId="0" fontId="122" fillId="33" borderId="92" xfId="1451" applyFont="1" applyFill="1" applyBorder="1" applyAlignment="1">
      <alignment horizontal="center" vertical="center"/>
    </xf>
    <xf numFmtId="0" fontId="122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0.26399999999999996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9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9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6431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</xdr:col>
      <xdr:colOff>132260</xdr:colOff>
      <xdr:row>9</xdr:row>
      <xdr:rowOff>22197</xdr:rowOff>
    </xdr:from>
    <xdr:to>
      <xdr:col>19</xdr:col>
      <xdr:colOff>54768</xdr:colOff>
      <xdr:row>10</xdr:row>
      <xdr:rowOff>116682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818060" y="1412847"/>
          <a:ext cx="6018508" cy="24688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 </a:t>
          </a:r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9841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8169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51556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299405</xdr:colOff>
      <xdr:row>7</xdr:row>
      <xdr:rowOff>102078</xdr:rowOff>
    </xdr:from>
    <xdr:to>
      <xdr:col>14</xdr:col>
      <xdr:colOff>62957</xdr:colOff>
      <xdr:row>8</xdr:row>
      <xdr:rowOff>98510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797322" y="1160411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50984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7598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3270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4740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6944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7802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8088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6564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315373</xdr:colOff>
      <xdr:row>35</xdr:row>
      <xdr:rowOff>132327</xdr:rowOff>
    </xdr:from>
    <xdr:to>
      <xdr:col>11</xdr:col>
      <xdr:colOff>5832</xdr:colOff>
      <xdr:row>41</xdr:row>
      <xdr:rowOff>66665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902767" y="5387183"/>
          <a:ext cx="844505" cy="833459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233014</xdr:colOff>
      <xdr:row>37</xdr:row>
      <xdr:rowOff>146791</xdr:rowOff>
    </xdr:from>
    <xdr:to>
      <xdr:col>11</xdr:col>
      <xdr:colOff>17749</xdr:colOff>
      <xdr:row>38</xdr:row>
      <xdr:rowOff>136207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3587931" y="5703041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138325</xdr:colOff>
      <xdr:row>34</xdr:row>
      <xdr:rowOff>131815</xdr:rowOff>
    </xdr:from>
    <xdr:to>
      <xdr:col>10</xdr:col>
      <xdr:colOff>264055</xdr:colOff>
      <xdr:row>37</xdr:row>
      <xdr:rowOff>113506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2350242" y="5232982"/>
          <a:ext cx="1268730" cy="4367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13,2KVA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294482</xdr:colOff>
      <xdr:row>26</xdr:row>
      <xdr:rowOff>6348</xdr:rowOff>
    </xdr:from>
    <xdr:to>
      <xdr:col>14</xdr:col>
      <xdr:colOff>58034</xdr:colOff>
      <xdr:row>27</xdr:row>
      <xdr:rowOff>2782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4792399" y="3922181"/>
          <a:ext cx="144552" cy="144601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312208</xdr:colOff>
      <xdr:row>21</xdr:row>
      <xdr:rowOff>140757</xdr:rowOff>
    </xdr:from>
    <xdr:to>
      <xdr:col>14</xdr:col>
      <xdr:colOff>75760</xdr:colOff>
      <xdr:row>22</xdr:row>
      <xdr:rowOff>108615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17A07547-FAD4-4314-B96C-512EF3F835BF}"/>
            </a:ext>
          </a:extLst>
        </xdr:cNvPr>
        <xdr:cNvGrpSpPr/>
      </xdr:nvGrpSpPr>
      <xdr:grpSpPr>
        <a:xfrm>
          <a:off x="4810125" y="3284007"/>
          <a:ext cx="144552" cy="147775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9113F4F-3791-FD9F-D995-851E850FD7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3">
            <a:extLst>
              <a:ext uri="{FF2B5EF4-FFF2-40B4-BE49-F238E27FC236}">
                <a16:creationId xmlns:a16="http://schemas.microsoft.com/office/drawing/2014/main" id="{3464894A-D359-79B1-3D8F-48A319A9F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">
            <a:extLst>
              <a:ext uri="{FF2B5EF4-FFF2-40B4-BE49-F238E27FC236}">
                <a16:creationId xmlns:a16="http://schemas.microsoft.com/office/drawing/2014/main" id="{2436C38F-E966-CEEA-EDA7-60754D1A89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298450</xdr:colOff>
      <xdr:row>12</xdr:row>
      <xdr:rowOff>124091</xdr:rowOff>
    </xdr:from>
    <xdr:to>
      <xdr:col>14</xdr:col>
      <xdr:colOff>62002</xdr:colOff>
      <xdr:row>13</xdr:row>
      <xdr:rowOff>110999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4796367" y="1923258"/>
          <a:ext cx="144552" cy="145658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310092</xdr:colOff>
      <xdr:row>4</xdr:row>
      <xdr:rowOff>8467</xdr:rowOff>
    </xdr:from>
    <xdr:to>
      <xdr:col>13</xdr:col>
      <xdr:colOff>319619</xdr:colOff>
      <xdr:row>12</xdr:row>
      <xdr:rowOff>145422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>
          <a:stCxn id="203" idx="1"/>
        </xdr:cNvCxnSpPr>
      </xdr:nvCxnSpPr>
      <xdr:spPr>
        <a:xfrm flipH="1" flipV="1">
          <a:off x="4808009" y="622300"/>
          <a:ext cx="9527" cy="13222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269876</xdr:colOff>
      <xdr:row>6</xdr:row>
      <xdr:rowOff>76728</xdr:rowOff>
    </xdr:from>
    <xdr:to>
      <xdr:col>15</xdr:col>
      <xdr:colOff>289286</xdr:colOff>
      <xdr:row>7</xdr:row>
      <xdr:rowOff>118795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4767793" y="986895"/>
          <a:ext cx="781410" cy="1902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95250</xdr:colOff>
      <xdr:row>12</xdr:row>
      <xdr:rowOff>114300</xdr:rowOff>
    </xdr:from>
    <xdr:to>
      <xdr:col>14</xdr:col>
      <xdr:colOff>73818</xdr:colOff>
      <xdr:row>12</xdr:row>
      <xdr:rowOff>133349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/>
      </xdr:nvCxnSpPr>
      <xdr:spPr>
        <a:xfrm flipH="1" flipV="1">
          <a:off x="3448050" y="1962150"/>
          <a:ext cx="1502568" cy="190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24415</xdr:colOff>
      <xdr:row>36</xdr:row>
      <xdr:rowOff>130366</xdr:rowOff>
    </xdr:from>
    <xdr:to>
      <xdr:col>14</xdr:col>
      <xdr:colOff>93554</xdr:colOff>
      <xdr:row>37</xdr:row>
      <xdr:rowOff>104137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 rot="4316967">
          <a:off x="4871641" y="5559557"/>
          <a:ext cx="132521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205581</xdr:colOff>
      <xdr:row>3</xdr:row>
      <xdr:rowOff>25928</xdr:rowOff>
    </xdr:from>
    <xdr:to>
      <xdr:col>13</xdr:col>
      <xdr:colOff>102974</xdr:colOff>
      <xdr:row>10</xdr:row>
      <xdr:rowOff>105834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3179498" y="491595"/>
          <a:ext cx="1421393" cy="111707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9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K2-746/24E/17</a:t>
          </a:r>
        </a:p>
        <a:p>
          <a:pPr algn="ctr"/>
          <a:r>
            <a:rPr lang="en-ID" sz="8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9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G312-A 50KVA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29970</xdr:colOff>
      <xdr:row>11</xdr:row>
      <xdr:rowOff>7336</xdr:rowOff>
    </xdr:from>
    <xdr:to>
      <xdr:col>14</xdr:col>
      <xdr:colOff>99109</xdr:colOff>
      <xdr:row>11</xdr:row>
      <xdr:rowOff>142237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C211ECDF-A5F0-4531-9526-2B78A733F88B}"/>
            </a:ext>
          </a:extLst>
        </xdr:cNvPr>
        <xdr:cNvGrpSpPr/>
      </xdr:nvGrpSpPr>
      <xdr:grpSpPr>
        <a:xfrm rot="4043268">
          <a:off x="4876006" y="1691217"/>
          <a:ext cx="134901" cy="69139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975B1BC0-A456-59B9-E873-814CF5D66F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A99DDAD2-B2FC-C974-A17F-C2CD91B321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7C234CF9-192E-FC12-3FFA-C6684685222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6942902C-CF54-97BD-DCFE-FD233031120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247387</xdr:colOff>
      <xdr:row>9</xdr:row>
      <xdr:rowOff>97895</xdr:rowOff>
    </xdr:from>
    <xdr:to>
      <xdr:col>15</xdr:col>
      <xdr:colOff>266797</xdr:colOff>
      <xdr:row>10</xdr:row>
      <xdr:rowOff>133349</xdr:rowOff>
    </xdr:to>
    <xdr:sp macro="" textlink="">
      <xdr:nvSpPr>
        <xdr:cNvPr id="281" name="TextBox 160">
          <a:extLst>
            <a:ext uri="{FF2B5EF4-FFF2-40B4-BE49-F238E27FC236}">
              <a16:creationId xmlns:a16="http://schemas.microsoft.com/office/drawing/2014/main" id="{765E0DEA-9D2B-4A82-9DD0-4C7593F18558}"/>
            </a:ext>
          </a:extLst>
        </xdr:cNvPr>
        <xdr:cNvSpPr txBox="1"/>
      </xdr:nvSpPr>
      <xdr:spPr>
        <a:xfrm>
          <a:off x="4745304" y="1452562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132292</xdr:colOff>
      <xdr:row>7</xdr:row>
      <xdr:rowOff>127000</xdr:rowOff>
    </xdr:from>
    <xdr:to>
      <xdr:col>14</xdr:col>
      <xdr:colOff>363295</xdr:colOff>
      <xdr:row>8</xdr:row>
      <xdr:rowOff>69315</xdr:rowOff>
    </xdr:to>
    <xdr:grpSp>
      <xdr:nvGrpSpPr>
        <xdr:cNvPr id="220" name="Group 134">
          <a:extLst>
            <a:ext uri="{FF2B5EF4-FFF2-40B4-BE49-F238E27FC236}">
              <a16:creationId xmlns:a16="http://schemas.microsoft.com/office/drawing/2014/main" id="{1E6FFE2F-0F0A-4EAD-A633-0E7DFA05CDAD}"/>
            </a:ext>
          </a:extLst>
        </xdr:cNvPr>
        <xdr:cNvGrpSpPr/>
      </xdr:nvGrpSpPr>
      <xdr:grpSpPr>
        <a:xfrm>
          <a:off x="5011209" y="1185333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21" name="Isosceles Triangle 118">
            <a:extLst>
              <a:ext uri="{FF2B5EF4-FFF2-40B4-BE49-F238E27FC236}">
                <a16:creationId xmlns:a16="http://schemas.microsoft.com/office/drawing/2014/main" id="{26440954-2C7E-AF74-AC7E-466DE01ABFD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19">
            <a:extLst>
              <a:ext uri="{FF2B5EF4-FFF2-40B4-BE49-F238E27FC236}">
                <a16:creationId xmlns:a16="http://schemas.microsoft.com/office/drawing/2014/main" id="{6AD7A03A-298E-3FAD-41F9-203D9FE28B5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7" name="Isosceles Triangle 120">
            <a:extLst>
              <a:ext uri="{FF2B5EF4-FFF2-40B4-BE49-F238E27FC236}">
                <a16:creationId xmlns:a16="http://schemas.microsoft.com/office/drawing/2014/main" id="{00AB3C9B-D7DC-DC76-3810-53E68FC1FA7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17749</xdr:colOff>
      <xdr:row>38</xdr:row>
      <xdr:rowOff>62124</xdr:rowOff>
    </xdr:from>
    <xdr:to>
      <xdr:col>13</xdr:col>
      <xdr:colOff>288925</xdr:colOff>
      <xdr:row>38</xdr:row>
      <xdr:rowOff>106166</xdr:rowOff>
    </xdr:to>
    <xdr:cxnSp macro="">
      <xdr:nvCxnSpPr>
        <xdr:cNvPr id="231" name="Straight Connector 230">
          <a:extLst>
            <a:ext uri="{FF2B5EF4-FFF2-40B4-BE49-F238E27FC236}">
              <a16:creationId xmlns:a16="http://schemas.microsoft.com/office/drawing/2014/main" id="{FB9357A3-08B9-4CCF-9923-9EF7609C9C48}"/>
            </a:ext>
          </a:extLst>
        </xdr:cNvPr>
        <xdr:cNvCxnSpPr>
          <a:stCxn id="271" idx="2"/>
          <a:endCxn id="202" idx="3"/>
        </xdr:cNvCxnSpPr>
      </xdr:nvCxnSpPr>
      <xdr:spPr>
        <a:xfrm flipH="1" flipV="1">
          <a:off x="3753666" y="5777124"/>
          <a:ext cx="1033176" cy="440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314325</xdr:colOff>
      <xdr:row>17</xdr:row>
      <xdr:rowOff>28575</xdr:rowOff>
    </xdr:from>
    <xdr:to>
      <xdr:col>14</xdr:col>
      <xdr:colOff>77748</xdr:colOff>
      <xdr:row>18</xdr:row>
      <xdr:rowOff>31103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C174EDB5-A2AA-4865-9316-466EECD50392}"/>
            </a:ext>
          </a:extLst>
        </xdr:cNvPr>
        <xdr:cNvGrpSpPr/>
      </xdr:nvGrpSpPr>
      <xdr:grpSpPr>
        <a:xfrm>
          <a:off x="4812242" y="2579158"/>
          <a:ext cx="144423" cy="150695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6BEBA9F3-BC5E-34D8-7E40-25ECA89E57A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1F8A86D8-114B-88F9-52AA-1A0E4903B6A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8161B7A1-D2EA-DA2F-7D94-6C07DB63756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349250</xdr:colOff>
      <xdr:row>39</xdr:row>
      <xdr:rowOff>25399</xdr:rowOff>
    </xdr:from>
    <xdr:to>
      <xdr:col>13</xdr:col>
      <xdr:colOff>364067</xdr:colOff>
      <xdr:row>40</xdr:row>
      <xdr:rowOff>74083</xdr:rowOff>
    </xdr:to>
    <xdr:cxnSp macro="">
      <xdr:nvCxnSpPr>
        <xdr:cNvPr id="191" name="Straight Arrow Connector 166">
          <a:extLst>
            <a:ext uri="{FF2B5EF4-FFF2-40B4-BE49-F238E27FC236}">
              <a16:creationId xmlns:a16="http://schemas.microsoft.com/office/drawing/2014/main" id="{8B0A277A-F43E-43BB-90A7-717D761A1F54}"/>
            </a:ext>
          </a:extLst>
        </xdr:cNvPr>
        <xdr:cNvCxnSpPr>
          <a:cxnSpLocks/>
        </xdr:cNvCxnSpPr>
      </xdr:nvCxnSpPr>
      <xdr:spPr>
        <a:xfrm flipH="1">
          <a:off x="4847167" y="5888566"/>
          <a:ext cx="14817" cy="1968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299510</xdr:colOff>
      <xdr:row>13</xdr:row>
      <xdr:rowOff>76729</xdr:rowOff>
    </xdr:from>
    <xdr:to>
      <xdr:col>13</xdr:col>
      <xdr:colOff>311679</xdr:colOff>
      <xdr:row>38</xdr:row>
      <xdr:rowOff>56011</xdr:rowOff>
    </xdr:to>
    <xdr:cxnSp macro="">
      <xdr:nvCxnSpPr>
        <xdr:cNvPr id="194" name="Straight Connector 139">
          <a:extLst>
            <a:ext uri="{FF2B5EF4-FFF2-40B4-BE49-F238E27FC236}">
              <a16:creationId xmlns:a16="http://schemas.microsoft.com/office/drawing/2014/main" id="{6F5836AA-BBF1-4C17-B772-9E0967ABEBBF}"/>
            </a:ext>
          </a:extLst>
        </xdr:cNvPr>
        <xdr:cNvCxnSpPr>
          <a:cxnSpLocks/>
        </xdr:cNvCxnSpPr>
      </xdr:nvCxnSpPr>
      <xdr:spPr bwMode="auto">
        <a:xfrm flipH="1">
          <a:off x="4797427" y="2034646"/>
          <a:ext cx="12169" cy="37363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257650</xdr:colOff>
      <xdr:row>15</xdr:row>
      <xdr:rowOff>97950</xdr:rowOff>
    </xdr:from>
    <xdr:to>
      <xdr:col>13</xdr:col>
      <xdr:colOff>340521</xdr:colOff>
      <xdr:row>16</xdr:row>
      <xdr:rowOff>33605</xdr:rowOff>
    </xdr:to>
    <xdr:grpSp>
      <xdr:nvGrpSpPr>
        <xdr:cNvPr id="204" name="Group 73">
          <a:extLst>
            <a:ext uri="{FF2B5EF4-FFF2-40B4-BE49-F238E27FC236}">
              <a16:creationId xmlns:a16="http://schemas.microsoft.com/office/drawing/2014/main" id="{37135442-5EBE-4A43-BEBF-791014EDBDE6}"/>
            </a:ext>
          </a:extLst>
        </xdr:cNvPr>
        <xdr:cNvGrpSpPr/>
      </xdr:nvGrpSpPr>
      <xdr:grpSpPr>
        <a:xfrm rot="5112040">
          <a:off x="4755092" y="2352675"/>
          <a:ext cx="83822" cy="82871"/>
          <a:chOff x="12175074" y="2285812"/>
          <a:chExt cx="107252" cy="65186"/>
        </a:xfrm>
      </xdr:grpSpPr>
      <xdr:cxnSp macro="">
        <xdr:nvCxnSpPr>
          <xdr:cNvPr id="205" name="Straight Connector 74">
            <a:extLst>
              <a:ext uri="{FF2B5EF4-FFF2-40B4-BE49-F238E27FC236}">
                <a16:creationId xmlns:a16="http://schemas.microsoft.com/office/drawing/2014/main" id="{958C0001-7186-1748-D0CE-B74F49E5DD7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5">
            <a:extLst>
              <a:ext uri="{FF2B5EF4-FFF2-40B4-BE49-F238E27FC236}">
                <a16:creationId xmlns:a16="http://schemas.microsoft.com/office/drawing/2014/main" id="{A4D29736-76C9-7D32-D1F3-AADE437E44C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76">
            <a:extLst>
              <a:ext uri="{FF2B5EF4-FFF2-40B4-BE49-F238E27FC236}">
                <a16:creationId xmlns:a16="http://schemas.microsoft.com/office/drawing/2014/main" id="{DE58A3BC-6554-3018-C27C-CBD10BA38D9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228600</xdr:colOff>
      <xdr:row>13</xdr:row>
      <xdr:rowOff>76200</xdr:rowOff>
    </xdr:from>
    <xdr:to>
      <xdr:col>12</xdr:col>
      <xdr:colOff>312422</xdr:colOff>
      <xdr:row>14</xdr:row>
      <xdr:rowOff>6671</xdr:rowOff>
    </xdr:to>
    <xdr:grpSp>
      <xdr:nvGrpSpPr>
        <xdr:cNvPr id="218" name="Group 73">
          <a:extLst>
            <a:ext uri="{FF2B5EF4-FFF2-40B4-BE49-F238E27FC236}">
              <a16:creationId xmlns:a16="http://schemas.microsoft.com/office/drawing/2014/main" id="{433DB1C4-EC4B-449C-A28E-252C8D1EC919}"/>
            </a:ext>
          </a:extLst>
        </xdr:cNvPr>
        <xdr:cNvGrpSpPr/>
      </xdr:nvGrpSpPr>
      <xdr:grpSpPr>
        <a:xfrm rot="21429191">
          <a:off x="4345517" y="2034117"/>
          <a:ext cx="83822" cy="78637"/>
          <a:chOff x="12175074" y="2285812"/>
          <a:chExt cx="107252" cy="65186"/>
        </a:xfrm>
      </xdr:grpSpPr>
      <xdr:cxnSp macro="">
        <xdr:nvCxnSpPr>
          <xdr:cNvPr id="224" name="Straight Connector 74">
            <a:extLst>
              <a:ext uri="{FF2B5EF4-FFF2-40B4-BE49-F238E27FC236}">
                <a16:creationId xmlns:a16="http://schemas.microsoft.com/office/drawing/2014/main" id="{EEF0B4B5-7D44-6043-C892-A84D81AA1E8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75">
            <a:extLst>
              <a:ext uri="{FF2B5EF4-FFF2-40B4-BE49-F238E27FC236}">
                <a16:creationId xmlns:a16="http://schemas.microsoft.com/office/drawing/2014/main" id="{12CAEF96-A00F-2F40-024D-E2DCC13460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6">
            <a:extLst>
              <a:ext uri="{FF2B5EF4-FFF2-40B4-BE49-F238E27FC236}">
                <a16:creationId xmlns:a16="http://schemas.microsoft.com/office/drawing/2014/main" id="{2E4D1E25-ABF0-96E9-65B2-876574282FF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266117</xdr:colOff>
      <xdr:row>24</xdr:row>
      <xdr:rowOff>24926</xdr:rowOff>
    </xdr:from>
    <xdr:to>
      <xdr:col>13</xdr:col>
      <xdr:colOff>344755</xdr:colOff>
      <xdr:row>24</xdr:row>
      <xdr:rowOff>108748</xdr:rowOff>
    </xdr:to>
    <xdr:grpSp>
      <xdr:nvGrpSpPr>
        <xdr:cNvPr id="229" name="Group 73">
          <a:extLst>
            <a:ext uri="{FF2B5EF4-FFF2-40B4-BE49-F238E27FC236}">
              <a16:creationId xmlns:a16="http://schemas.microsoft.com/office/drawing/2014/main" id="{5F881D7F-601D-4607-83FC-FC68CEFD867A}"/>
            </a:ext>
          </a:extLst>
        </xdr:cNvPr>
        <xdr:cNvGrpSpPr/>
      </xdr:nvGrpSpPr>
      <xdr:grpSpPr>
        <a:xfrm rot="5073196">
          <a:off x="4761442" y="3647018"/>
          <a:ext cx="83822" cy="78638"/>
          <a:chOff x="12175074" y="2285812"/>
          <a:chExt cx="107252" cy="65186"/>
        </a:xfrm>
      </xdr:grpSpPr>
      <xdr:cxnSp macro="">
        <xdr:nvCxnSpPr>
          <xdr:cNvPr id="230" name="Straight Connector 74">
            <a:extLst>
              <a:ext uri="{FF2B5EF4-FFF2-40B4-BE49-F238E27FC236}">
                <a16:creationId xmlns:a16="http://schemas.microsoft.com/office/drawing/2014/main" id="{472B6DE1-CDD1-A830-99AE-DB88488F3BA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5">
            <a:extLst>
              <a:ext uri="{FF2B5EF4-FFF2-40B4-BE49-F238E27FC236}">
                <a16:creationId xmlns:a16="http://schemas.microsoft.com/office/drawing/2014/main" id="{7160D50B-E3BA-FDA9-08BD-491CEFFFF31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6">
            <a:extLst>
              <a:ext uri="{FF2B5EF4-FFF2-40B4-BE49-F238E27FC236}">
                <a16:creationId xmlns:a16="http://schemas.microsoft.com/office/drawing/2014/main" id="{558D08C9-005A-6159-B82E-31D4CC2C43C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267175</xdr:colOff>
      <xdr:row>20</xdr:row>
      <xdr:rowOff>57731</xdr:rowOff>
    </xdr:from>
    <xdr:to>
      <xdr:col>13</xdr:col>
      <xdr:colOff>345813</xdr:colOff>
      <xdr:row>20</xdr:row>
      <xdr:rowOff>141553</xdr:rowOff>
    </xdr:to>
    <xdr:grpSp>
      <xdr:nvGrpSpPr>
        <xdr:cNvPr id="245" name="Group 73">
          <a:extLst>
            <a:ext uri="{FF2B5EF4-FFF2-40B4-BE49-F238E27FC236}">
              <a16:creationId xmlns:a16="http://schemas.microsoft.com/office/drawing/2014/main" id="{BF003D82-7261-4D0C-8BFF-FA05A2B7DB29}"/>
            </a:ext>
          </a:extLst>
        </xdr:cNvPr>
        <xdr:cNvGrpSpPr/>
      </xdr:nvGrpSpPr>
      <xdr:grpSpPr>
        <a:xfrm rot="4343397">
          <a:off x="4762500" y="3055406"/>
          <a:ext cx="83822" cy="78638"/>
          <a:chOff x="12175074" y="2285812"/>
          <a:chExt cx="107252" cy="65186"/>
        </a:xfrm>
      </xdr:grpSpPr>
      <xdr:cxnSp macro="">
        <xdr:nvCxnSpPr>
          <xdr:cNvPr id="246" name="Straight Connector 74">
            <a:extLst>
              <a:ext uri="{FF2B5EF4-FFF2-40B4-BE49-F238E27FC236}">
                <a16:creationId xmlns:a16="http://schemas.microsoft.com/office/drawing/2014/main" id="{E85D689C-1A7B-B104-A1E1-C67A60A551A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75">
            <a:extLst>
              <a:ext uri="{FF2B5EF4-FFF2-40B4-BE49-F238E27FC236}">
                <a16:creationId xmlns:a16="http://schemas.microsoft.com/office/drawing/2014/main" id="{FAF7E950-2D6E-63D3-47AD-907D66D152D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6">
            <a:extLst>
              <a:ext uri="{FF2B5EF4-FFF2-40B4-BE49-F238E27FC236}">
                <a16:creationId xmlns:a16="http://schemas.microsoft.com/office/drawing/2014/main" id="{41BE8F44-88FC-C88C-A20C-7FE1E4FFDDD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41788</xdr:colOff>
      <xdr:row>8</xdr:row>
      <xdr:rowOff>77334</xdr:rowOff>
    </xdr:from>
    <xdr:to>
      <xdr:col>14</xdr:col>
      <xdr:colOff>52477</xdr:colOff>
      <xdr:row>38</xdr:row>
      <xdr:rowOff>106166</xdr:rowOff>
    </xdr:to>
    <xdr:cxnSp macro="">
      <xdr:nvCxnSpPr>
        <xdr:cNvPr id="249" name="Straight Connector 248">
          <a:extLst>
            <a:ext uri="{FF2B5EF4-FFF2-40B4-BE49-F238E27FC236}">
              <a16:creationId xmlns:a16="http://schemas.microsoft.com/office/drawing/2014/main" id="{1794A1A0-D3C4-4D88-B951-EFD56955D53F}"/>
            </a:ext>
          </a:extLst>
        </xdr:cNvPr>
        <xdr:cNvCxnSpPr>
          <a:stCxn id="139" idx="5"/>
          <a:endCxn id="271" idx="6"/>
        </xdr:cNvCxnSpPr>
      </xdr:nvCxnSpPr>
      <xdr:spPr>
        <a:xfrm>
          <a:off x="4920705" y="1283834"/>
          <a:ext cx="10689" cy="453733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15</xdr:row>
      <xdr:rowOff>75142</xdr:rowOff>
    </xdr:from>
    <xdr:to>
      <xdr:col>14</xdr:col>
      <xdr:colOff>74430</xdr:colOff>
      <xdr:row>16</xdr:row>
      <xdr:rowOff>63729</xdr:rowOff>
    </xdr:to>
    <xdr:grpSp>
      <xdr:nvGrpSpPr>
        <xdr:cNvPr id="251" name="Grup 244">
          <a:extLst>
            <a:ext uri="{FF2B5EF4-FFF2-40B4-BE49-F238E27FC236}">
              <a16:creationId xmlns:a16="http://schemas.microsoft.com/office/drawing/2014/main" id="{D5EFF435-7AE4-48AA-A543-6D6EBEDFF4EE}"/>
            </a:ext>
          </a:extLst>
        </xdr:cNvPr>
        <xdr:cNvGrpSpPr/>
      </xdr:nvGrpSpPr>
      <xdr:grpSpPr>
        <a:xfrm rot="5611688">
          <a:off x="4852518" y="2365316"/>
          <a:ext cx="136754" cy="64905"/>
          <a:chOff x="13302191" y="2320613"/>
          <a:chExt cx="139135" cy="57233"/>
        </a:xfrm>
      </xdr:grpSpPr>
      <xdr:cxnSp macro="">
        <xdr:nvCxnSpPr>
          <xdr:cNvPr id="252" name="Straight Connector 81">
            <a:extLst>
              <a:ext uri="{FF2B5EF4-FFF2-40B4-BE49-F238E27FC236}">
                <a16:creationId xmlns:a16="http://schemas.microsoft.com/office/drawing/2014/main" id="{1CFF3F3E-CDB4-7F21-C842-5017328C193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82">
            <a:extLst>
              <a:ext uri="{FF2B5EF4-FFF2-40B4-BE49-F238E27FC236}">
                <a16:creationId xmlns:a16="http://schemas.microsoft.com/office/drawing/2014/main" id="{FAA10E02-5DF5-4BAA-B676-02CA767BFDD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3">
            <a:extLst>
              <a:ext uri="{FF2B5EF4-FFF2-40B4-BE49-F238E27FC236}">
                <a16:creationId xmlns:a16="http://schemas.microsoft.com/office/drawing/2014/main" id="{1CBB288D-8693-D0EE-6A9F-F380CEFFF6A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4">
            <a:extLst>
              <a:ext uri="{FF2B5EF4-FFF2-40B4-BE49-F238E27FC236}">
                <a16:creationId xmlns:a16="http://schemas.microsoft.com/office/drawing/2014/main" id="{C6555B0A-0DCD-5122-78B1-CD30A31765D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140758</xdr:colOff>
      <xdr:row>13</xdr:row>
      <xdr:rowOff>10583</xdr:rowOff>
    </xdr:from>
    <xdr:to>
      <xdr:col>14</xdr:col>
      <xdr:colOff>301877</xdr:colOff>
      <xdr:row>13</xdr:row>
      <xdr:rowOff>95774</xdr:rowOff>
    </xdr:to>
    <xdr:sp macro="" textlink="">
      <xdr:nvSpPr>
        <xdr:cNvPr id="257" name="Isosceles Triangle 120">
          <a:extLst>
            <a:ext uri="{FF2B5EF4-FFF2-40B4-BE49-F238E27FC236}">
              <a16:creationId xmlns:a16="http://schemas.microsoft.com/office/drawing/2014/main" id="{CA726CB0-68EA-470C-BE79-F154A408750C}"/>
            </a:ext>
          </a:extLst>
        </xdr:cNvPr>
        <xdr:cNvSpPr/>
      </xdr:nvSpPr>
      <xdr:spPr>
        <a:xfrm>
          <a:off x="5019675" y="19685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9526</xdr:colOff>
      <xdr:row>11</xdr:row>
      <xdr:rowOff>27516</xdr:rowOff>
    </xdr:from>
    <xdr:to>
      <xdr:col>17</xdr:col>
      <xdr:colOff>116416</xdr:colOff>
      <xdr:row>16</xdr:row>
      <xdr:rowOff>42332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8281415B-8F58-461D-BAF7-8A9DEB643731}"/>
            </a:ext>
          </a:extLst>
        </xdr:cNvPr>
        <xdr:cNvSpPr txBox="1"/>
      </xdr:nvSpPr>
      <xdr:spPr>
        <a:xfrm>
          <a:off x="5269443" y="1678516"/>
          <a:ext cx="868890" cy="76623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310092</xdr:colOff>
      <xdr:row>30</xdr:row>
      <xdr:rowOff>55034</xdr:rowOff>
    </xdr:from>
    <xdr:to>
      <xdr:col>14</xdr:col>
      <xdr:colOff>73644</xdr:colOff>
      <xdr:row>31</xdr:row>
      <xdr:rowOff>51467</xdr:rowOff>
    </xdr:to>
    <xdr:grpSp>
      <xdr:nvGrpSpPr>
        <xdr:cNvPr id="262" name="Group 13">
          <a:extLst>
            <a:ext uri="{FF2B5EF4-FFF2-40B4-BE49-F238E27FC236}">
              <a16:creationId xmlns:a16="http://schemas.microsoft.com/office/drawing/2014/main" id="{66DB7DCB-5D11-4C5C-9955-05BE12B91E31}"/>
            </a:ext>
          </a:extLst>
        </xdr:cNvPr>
        <xdr:cNvGrpSpPr/>
      </xdr:nvGrpSpPr>
      <xdr:grpSpPr>
        <a:xfrm>
          <a:off x="4808009" y="4563534"/>
          <a:ext cx="144552" cy="144600"/>
          <a:chOff x="9937028" y="802652"/>
          <a:chExt cx="83991" cy="77961"/>
        </a:xfrm>
      </xdr:grpSpPr>
      <xdr:sp macro="" textlink="">
        <xdr:nvSpPr>
          <xdr:cNvPr id="263" name="Oval 1">
            <a:extLst>
              <a:ext uri="{FF2B5EF4-FFF2-40B4-BE49-F238E27FC236}">
                <a16:creationId xmlns:a16="http://schemas.microsoft.com/office/drawing/2014/main" id="{314E8B15-6D4E-EB80-0D82-DB4DB9714C7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4" name="Straight Connector 3">
            <a:extLst>
              <a:ext uri="{FF2B5EF4-FFF2-40B4-BE49-F238E27FC236}">
                <a16:creationId xmlns:a16="http://schemas.microsoft.com/office/drawing/2014/main" id="{CC8D49E8-E706-7570-484E-4665B516AF1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7">
            <a:extLst>
              <a:ext uri="{FF2B5EF4-FFF2-40B4-BE49-F238E27FC236}">
                <a16:creationId xmlns:a16="http://schemas.microsoft.com/office/drawing/2014/main" id="{593DFC3B-4F6B-B22F-CAAA-3AB0D1387C2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290513</xdr:colOff>
      <xdr:row>34</xdr:row>
      <xdr:rowOff>130968</xdr:rowOff>
    </xdr:from>
    <xdr:to>
      <xdr:col>14</xdr:col>
      <xdr:colOff>54065</xdr:colOff>
      <xdr:row>35</xdr:row>
      <xdr:rowOff>127401</xdr:rowOff>
    </xdr:to>
    <xdr:grpSp>
      <xdr:nvGrpSpPr>
        <xdr:cNvPr id="266" name="Group 13">
          <a:extLst>
            <a:ext uri="{FF2B5EF4-FFF2-40B4-BE49-F238E27FC236}">
              <a16:creationId xmlns:a16="http://schemas.microsoft.com/office/drawing/2014/main" id="{643CE882-046F-4E3D-8AAA-F5EDF1FC9F70}"/>
            </a:ext>
          </a:extLst>
        </xdr:cNvPr>
        <xdr:cNvGrpSpPr/>
      </xdr:nvGrpSpPr>
      <xdr:grpSpPr>
        <a:xfrm>
          <a:off x="4788430" y="5232135"/>
          <a:ext cx="144552" cy="144599"/>
          <a:chOff x="9937028" y="802652"/>
          <a:chExt cx="83991" cy="77961"/>
        </a:xfrm>
      </xdr:grpSpPr>
      <xdr:sp macro="" textlink="">
        <xdr:nvSpPr>
          <xdr:cNvPr id="267" name="Oval 1">
            <a:extLst>
              <a:ext uri="{FF2B5EF4-FFF2-40B4-BE49-F238E27FC236}">
                <a16:creationId xmlns:a16="http://schemas.microsoft.com/office/drawing/2014/main" id="{34AF95EB-E4F4-2656-91C2-EC610D1F113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8" name="Straight Connector 3">
            <a:extLst>
              <a:ext uri="{FF2B5EF4-FFF2-40B4-BE49-F238E27FC236}">
                <a16:creationId xmlns:a16="http://schemas.microsoft.com/office/drawing/2014/main" id="{03856E8C-FEA4-A22B-F164-92EB6E982B5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7">
            <a:extLst>
              <a:ext uri="{FF2B5EF4-FFF2-40B4-BE49-F238E27FC236}">
                <a16:creationId xmlns:a16="http://schemas.microsoft.com/office/drawing/2014/main" id="{FDF359FB-703F-F031-B5E2-B2B0ED9028B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288925</xdr:colOff>
      <xdr:row>38</xdr:row>
      <xdr:rowOff>33866</xdr:rowOff>
    </xdr:from>
    <xdr:to>
      <xdr:col>14</xdr:col>
      <xdr:colOff>52477</xdr:colOff>
      <xdr:row>39</xdr:row>
      <xdr:rowOff>30299</xdr:rowOff>
    </xdr:to>
    <xdr:grpSp>
      <xdr:nvGrpSpPr>
        <xdr:cNvPr id="270" name="Group 13">
          <a:extLst>
            <a:ext uri="{FF2B5EF4-FFF2-40B4-BE49-F238E27FC236}">
              <a16:creationId xmlns:a16="http://schemas.microsoft.com/office/drawing/2014/main" id="{BEC5AB0D-CFB1-4460-A119-723B26298DCE}"/>
            </a:ext>
          </a:extLst>
        </xdr:cNvPr>
        <xdr:cNvGrpSpPr/>
      </xdr:nvGrpSpPr>
      <xdr:grpSpPr>
        <a:xfrm>
          <a:off x="4786842" y="5748866"/>
          <a:ext cx="144552" cy="144600"/>
          <a:chOff x="9937028" y="802652"/>
          <a:chExt cx="83991" cy="77961"/>
        </a:xfrm>
      </xdr:grpSpPr>
      <xdr:sp macro="" textlink="">
        <xdr:nvSpPr>
          <xdr:cNvPr id="271" name="Oval 1">
            <a:extLst>
              <a:ext uri="{FF2B5EF4-FFF2-40B4-BE49-F238E27FC236}">
                <a16:creationId xmlns:a16="http://schemas.microsoft.com/office/drawing/2014/main" id="{DC2CF1D2-A209-5E8F-4721-5AF7712B62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2" name="Straight Connector 3">
            <a:extLst>
              <a:ext uri="{FF2B5EF4-FFF2-40B4-BE49-F238E27FC236}">
                <a16:creationId xmlns:a16="http://schemas.microsoft.com/office/drawing/2014/main" id="{5DBFE74D-DBBC-4CE6-0D9E-0D5F3842F80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7">
            <a:extLst>
              <a:ext uri="{FF2B5EF4-FFF2-40B4-BE49-F238E27FC236}">
                <a16:creationId xmlns:a16="http://schemas.microsoft.com/office/drawing/2014/main" id="{1422232D-AD5B-1508-3703-5D89F2C89E0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171450</xdr:colOff>
      <xdr:row>12</xdr:row>
      <xdr:rowOff>123825</xdr:rowOff>
    </xdr:from>
    <xdr:to>
      <xdr:col>11</xdr:col>
      <xdr:colOff>316002</xdr:colOff>
      <xdr:row>13</xdr:row>
      <xdr:rowOff>110733</xdr:rowOff>
    </xdr:to>
    <xdr:grpSp>
      <xdr:nvGrpSpPr>
        <xdr:cNvPr id="275" name="Group 13">
          <a:extLst>
            <a:ext uri="{FF2B5EF4-FFF2-40B4-BE49-F238E27FC236}">
              <a16:creationId xmlns:a16="http://schemas.microsoft.com/office/drawing/2014/main" id="{A7D638F4-F359-401F-9FFB-7387678A531C}"/>
            </a:ext>
          </a:extLst>
        </xdr:cNvPr>
        <xdr:cNvGrpSpPr/>
      </xdr:nvGrpSpPr>
      <xdr:grpSpPr>
        <a:xfrm>
          <a:off x="3907367" y="1922992"/>
          <a:ext cx="144552" cy="145658"/>
          <a:chOff x="9937028" y="802652"/>
          <a:chExt cx="83991" cy="77961"/>
        </a:xfrm>
      </xdr:grpSpPr>
      <xdr:sp macro="" textlink="">
        <xdr:nvSpPr>
          <xdr:cNvPr id="276" name="Oval 1">
            <a:extLst>
              <a:ext uri="{FF2B5EF4-FFF2-40B4-BE49-F238E27FC236}">
                <a16:creationId xmlns:a16="http://schemas.microsoft.com/office/drawing/2014/main" id="{9B930320-7544-7853-D160-CB0FC0C7BA7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7" name="Straight Connector 3">
            <a:extLst>
              <a:ext uri="{FF2B5EF4-FFF2-40B4-BE49-F238E27FC236}">
                <a16:creationId xmlns:a16="http://schemas.microsoft.com/office/drawing/2014/main" id="{D14A3632-CDF9-6189-F4CF-C1F88D10753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7">
            <a:extLst>
              <a:ext uri="{FF2B5EF4-FFF2-40B4-BE49-F238E27FC236}">
                <a16:creationId xmlns:a16="http://schemas.microsoft.com/office/drawing/2014/main" id="{7883AEC2-83BC-4EEF-6B05-DE337B1F91D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85725</xdr:colOff>
      <xdr:row>13</xdr:row>
      <xdr:rowOff>95250</xdr:rowOff>
    </xdr:from>
    <xdr:to>
      <xdr:col>13</xdr:col>
      <xdr:colOff>370726</xdr:colOff>
      <xdr:row>13</xdr:row>
      <xdr:rowOff>110999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FCD3B56B-4249-4321-A527-B08DC26F0D44}"/>
            </a:ext>
          </a:extLst>
        </xdr:cNvPr>
        <xdr:cNvCxnSpPr>
          <a:stCxn id="203" idx="4"/>
        </xdr:cNvCxnSpPr>
      </xdr:nvCxnSpPr>
      <xdr:spPr>
        <a:xfrm flipH="1" flipV="1">
          <a:off x="3443288" y="2143125"/>
          <a:ext cx="1428001" cy="157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28</xdr:row>
      <xdr:rowOff>74084</xdr:rowOff>
    </xdr:from>
    <xdr:to>
      <xdr:col>13</xdr:col>
      <xdr:colOff>332638</xdr:colOff>
      <xdr:row>29</xdr:row>
      <xdr:rowOff>9740</xdr:rowOff>
    </xdr:to>
    <xdr:grpSp>
      <xdr:nvGrpSpPr>
        <xdr:cNvPr id="289" name="Group 73">
          <a:extLst>
            <a:ext uri="{FF2B5EF4-FFF2-40B4-BE49-F238E27FC236}">
              <a16:creationId xmlns:a16="http://schemas.microsoft.com/office/drawing/2014/main" id="{7C5092BC-BA2F-48F3-A59E-1810DA7CDDE7}"/>
            </a:ext>
          </a:extLst>
        </xdr:cNvPr>
        <xdr:cNvGrpSpPr/>
      </xdr:nvGrpSpPr>
      <xdr:grpSpPr>
        <a:xfrm rot="5073196">
          <a:off x="4749325" y="4288843"/>
          <a:ext cx="83822" cy="78638"/>
          <a:chOff x="12175074" y="2285812"/>
          <a:chExt cx="107252" cy="65186"/>
        </a:xfrm>
      </xdr:grpSpPr>
      <xdr:cxnSp macro="">
        <xdr:nvCxnSpPr>
          <xdr:cNvPr id="290" name="Straight Connector 74">
            <a:extLst>
              <a:ext uri="{FF2B5EF4-FFF2-40B4-BE49-F238E27FC236}">
                <a16:creationId xmlns:a16="http://schemas.microsoft.com/office/drawing/2014/main" id="{B103A24A-00DD-6A3C-DC89-23849BAD32A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75">
            <a:extLst>
              <a:ext uri="{FF2B5EF4-FFF2-40B4-BE49-F238E27FC236}">
                <a16:creationId xmlns:a16="http://schemas.microsoft.com/office/drawing/2014/main" id="{6F225502-CB0C-686D-8B74-9E23CB97DC4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76">
            <a:extLst>
              <a:ext uri="{FF2B5EF4-FFF2-40B4-BE49-F238E27FC236}">
                <a16:creationId xmlns:a16="http://schemas.microsoft.com/office/drawing/2014/main" id="{B30F110E-7F04-2DAC-279C-70E7644ACF0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275166</xdr:colOff>
      <xdr:row>32</xdr:row>
      <xdr:rowOff>84668</xdr:rowOff>
    </xdr:from>
    <xdr:to>
      <xdr:col>13</xdr:col>
      <xdr:colOff>353804</xdr:colOff>
      <xdr:row>33</xdr:row>
      <xdr:rowOff>20323</xdr:rowOff>
    </xdr:to>
    <xdr:grpSp>
      <xdr:nvGrpSpPr>
        <xdr:cNvPr id="294" name="Group 73">
          <a:extLst>
            <a:ext uri="{FF2B5EF4-FFF2-40B4-BE49-F238E27FC236}">
              <a16:creationId xmlns:a16="http://schemas.microsoft.com/office/drawing/2014/main" id="{60B42485-CA68-4CB6-9EBA-D9C35E187439}"/>
            </a:ext>
          </a:extLst>
        </xdr:cNvPr>
        <xdr:cNvGrpSpPr/>
      </xdr:nvGrpSpPr>
      <xdr:grpSpPr>
        <a:xfrm rot="5073196">
          <a:off x="4770491" y="4892093"/>
          <a:ext cx="83822" cy="78638"/>
          <a:chOff x="12175074" y="2285812"/>
          <a:chExt cx="107252" cy="65186"/>
        </a:xfrm>
      </xdr:grpSpPr>
      <xdr:cxnSp macro="">
        <xdr:nvCxnSpPr>
          <xdr:cNvPr id="295" name="Straight Connector 74">
            <a:extLst>
              <a:ext uri="{FF2B5EF4-FFF2-40B4-BE49-F238E27FC236}">
                <a16:creationId xmlns:a16="http://schemas.microsoft.com/office/drawing/2014/main" id="{ED10989C-8F06-7DF7-0A93-8DADD7106A2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75">
            <a:extLst>
              <a:ext uri="{FF2B5EF4-FFF2-40B4-BE49-F238E27FC236}">
                <a16:creationId xmlns:a16="http://schemas.microsoft.com/office/drawing/2014/main" id="{A9856161-A09B-C3BF-58DC-6DB55B817AD9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76">
            <a:extLst>
              <a:ext uri="{FF2B5EF4-FFF2-40B4-BE49-F238E27FC236}">
                <a16:creationId xmlns:a16="http://schemas.microsoft.com/office/drawing/2014/main" id="{D92A81AE-91AF-7907-DE7D-89112711C10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243417</xdr:colOff>
      <xdr:row>36</xdr:row>
      <xdr:rowOff>137584</xdr:rowOff>
    </xdr:from>
    <xdr:to>
      <xdr:col>13</xdr:col>
      <xdr:colOff>322055</xdr:colOff>
      <xdr:row>37</xdr:row>
      <xdr:rowOff>62656</xdr:rowOff>
    </xdr:to>
    <xdr:grpSp>
      <xdr:nvGrpSpPr>
        <xdr:cNvPr id="298" name="Group 73">
          <a:extLst>
            <a:ext uri="{FF2B5EF4-FFF2-40B4-BE49-F238E27FC236}">
              <a16:creationId xmlns:a16="http://schemas.microsoft.com/office/drawing/2014/main" id="{9BC33B30-BED8-4602-9500-E0E0FA2294A8}"/>
            </a:ext>
          </a:extLst>
        </xdr:cNvPr>
        <xdr:cNvGrpSpPr/>
      </xdr:nvGrpSpPr>
      <xdr:grpSpPr>
        <a:xfrm rot="5073196">
          <a:off x="4738742" y="5537676"/>
          <a:ext cx="83822" cy="78638"/>
          <a:chOff x="12175074" y="2285812"/>
          <a:chExt cx="107252" cy="65186"/>
        </a:xfrm>
      </xdr:grpSpPr>
      <xdr:cxnSp macro="">
        <xdr:nvCxnSpPr>
          <xdr:cNvPr id="299" name="Straight Connector 74">
            <a:extLst>
              <a:ext uri="{FF2B5EF4-FFF2-40B4-BE49-F238E27FC236}">
                <a16:creationId xmlns:a16="http://schemas.microsoft.com/office/drawing/2014/main" id="{BE2FF41E-AA92-4B93-E2F8-73806886018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75">
            <a:extLst>
              <a:ext uri="{FF2B5EF4-FFF2-40B4-BE49-F238E27FC236}">
                <a16:creationId xmlns:a16="http://schemas.microsoft.com/office/drawing/2014/main" id="{78F4AEA4-6F33-A886-97BE-2F97EE0B22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76">
            <a:extLst>
              <a:ext uri="{FF2B5EF4-FFF2-40B4-BE49-F238E27FC236}">
                <a16:creationId xmlns:a16="http://schemas.microsoft.com/office/drawing/2014/main" id="{AC6E5E6C-E852-B97D-685B-7A8ABA88AF0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10584</xdr:colOff>
      <xdr:row>20</xdr:row>
      <xdr:rowOff>10584</xdr:rowOff>
    </xdr:from>
    <xdr:to>
      <xdr:col>14</xdr:col>
      <xdr:colOff>75489</xdr:colOff>
      <xdr:row>20</xdr:row>
      <xdr:rowOff>147338</xdr:rowOff>
    </xdr:to>
    <xdr:grpSp>
      <xdr:nvGrpSpPr>
        <xdr:cNvPr id="307" name="Grup 244">
          <a:extLst>
            <a:ext uri="{FF2B5EF4-FFF2-40B4-BE49-F238E27FC236}">
              <a16:creationId xmlns:a16="http://schemas.microsoft.com/office/drawing/2014/main" id="{9D44143C-755E-4201-9CD3-4D405EB6D98B}"/>
            </a:ext>
          </a:extLst>
        </xdr:cNvPr>
        <xdr:cNvGrpSpPr/>
      </xdr:nvGrpSpPr>
      <xdr:grpSpPr>
        <a:xfrm rot="5611688">
          <a:off x="4853577" y="3041591"/>
          <a:ext cx="136754" cy="64905"/>
          <a:chOff x="13302191" y="2320613"/>
          <a:chExt cx="139135" cy="57233"/>
        </a:xfrm>
      </xdr:grpSpPr>
      <xdr:cxnSp macro="">
        <xdr:nvCxnSpPr>
          <xdr:cNvPr id="308" name="Straight Connector 81">
            <a:extLst>
              <a:ext uri="{FF2B5EF4-FFF2-40B4-BE49-F238E27FC236}">
                <a16:creationId xmlns:a16="http://schemas.microsoft.com/office/drawing/2014/main" id="{B891F436-0D91-772A-6C66-B6E3B992BC0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82">
            <a:extLst>
              <a:ext uri="{FF2B5EF4-FFF2-40B4-BE49-F238E27FC236}">
                <a16:creationId xmlns:a16="http://schemas.microsoft.com/office/drawing/2014/main" id="{F2952AD4-849E-0F84-AE7D-528E5B65411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83">
            <a:extLst>
              <a:ext uri="{FF2B5EF4-FFF2-40B4-BE49-F238E27FC236}">
                <a16:creationId xmlns:a16="http://schemas.microsoft.com/office/drawing/2014/main" id="{84B303CA-32DE-9D76-8FD4-37558EC8C07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84">
            <a:extLst>
              <a:ext uri="{FF2B5EF4-FFF2-40B4-BE49-F238E27FC236}">
                <a16:creationId xmlns:a16="http://schemas.microsoft.com/office/drawing/2014/main" id="{4410EFFC-DF3E-6717-40DA-FAAF3D3DB25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31750</xdr:colOff>
      <xdr:row>24</xdr:row>
      <xdr:rowOff>84666</xdr:rowOff>
    </xdr:from>
    <xdr:to>
      <xdr:col>14</xdr:col>
      <xdr:colOff>96655</xdr:colOff>
      <xdr:row>25</xdr:row>
      <xdr:rowOff>73253</xdr:rowOff>
    </xdr:to>
    <xdr:grpSp>
      <xdr:nvGrpSpPr>
        <xdr:cNvPr id="312" name="Grup 244">
          <a:extLst>
            <a:ext uri="{FF2B5EF4-FFF2-40B4-BE49-F238E27FC236}">
              <a16:creationId xmlns:a16="http://schemas.microsoft.com/office/drawing/2014/main" id="{87E0CDDC-6C38-4E63-908C-2DA0934FD44D}"/>
            </a:ext>
          </a:extLst>
        </xdr:cNvPr>
        <xdr:cNvGrpSpPr/>
      </xdr:nvGrpSpPr>
      <xdr:grpSpPr>
        <a:xfrm rot="5611688">
          <a:off x="4874743" y="3740090"/>
          <a:ext cx="136754" cy="64905"/>
          <a:chOff x="13302191" y="2320613"/>
          <a:chExt cx="139135" cy="57233"/>
        </a:xfrm>
      </xdr:grpSpPr>
      <xdr:cxnSp macro="">
        <xdr:nvCxnSpPr>
          <xdr:cNvPr id="313" name="Straight Connector 81">
            <a:extLst>
              <a:ext uri="{FF2B5EF4-FFF2-40B4-BE49-F238E27FC236}">
                <a16:creationId xmlns:a16="http://schemas.microsoft.com/office/drawing/2014/main" id="{AC32826F-2A70-0A95-1BA7-C2D7E7F4220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82">
            <a:extLst>
              <a:ext uri="{FF2B5EF4-FFF2-40B4-BE49-F238E27FC236}">
                <a16:creationId xmlns:a16="http://schemas.microsoft.com/office/drawing/2014/main" id="{FACBCBEA-C359-581C-9640-FF86DAEEF5A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83">
            <a:extLst>
              <a:ext uri="{FF2B5EF4-FFF2-40B4-BE49-F238E27FC236}">
                <a16:creationId xmlns:a16="http://schemas.microsoft.com/office/drawing/2014/main" id="{0A8FCF2F-AA2B-CE91-118F-5F22193E6D9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84">
            <a:extLst>
              <a:ext uri="{FF2B5EF4-FFF2-40B4-BE49-F238E27FC236}">
                <a16:creationId xmlns:a16="http://schemas.microsoft.com/office/drawing/2014/main" id="{AEDBEF05-BB44-1AEC-1FCA-A4A82184AD2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31749</xdr:colOff>
      <xdr:row>28</xdr:row>
      <xdr:rowOff>52917</xdr:rowOff>
    </xdr:from>
    <xdr:to>
      <xdr:col>14</xdr:col>
      <xdr:colOff>96654</xdr:colOff>
      <xdr:row>29</xdr:row>
      <xdr:rowOff>41505</xdr:rowOff>
    </xdr:to>
    <xdr:grpSp>
      <xdr:nvGrpSpPr>
        <xdr:cNvPr id="317" name="Grup 244">
          <a:extLst>
            <a:ext uri="{FF2B5EF4-FFF2-40B4-BE49-F238E27FC236}">
              <a16:creationId xmlns:a16="http://schemas.microsoft.com/office/drawing/2014/main" id="{E5DF0A20-BF97-4E76-A85F-131365C101A8}"/>
            </a:ext>
          </a:extLst>
        </xdr:cNvPr>
        <xdr:cNvGrpSpPr/>
      </xdr:nvGrpSpPr>
      <xdr:grpSpPr>
        <a:xfrm rot="5611688">
          <a:off x="4874742" y="4301008"/>
          <a:ext cx="136754" cy="64905"/>
          <a:chOff x="13302191" y="2320613"/>
          <a:chExt cx="139135" cy="57233"/>
        </a:xfrm>
      </xdr:grpSpPr>
      <xdr:cxnSp macro="">
        <xdr:nvCxnSpPr>
          <xdr:cNvPr id="318" name="Straight Connector 81">
            <a:extLst>
              <a:ext uri="{FF2B5EF4-FFF2-40B4-BE49-F238E27FC236}">
                <a16:creationId xmlns:a16="http://schemas.microsoft.com/office/drawing/2014/main" id="{34A97D2D-822B-97B3-394D-F10B8756130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82">
            <a:extLst>
              <a:ext uri="{FF2B5EF4-FFF2-40B4-BE49-F238E27FC236}">
                <a16:creationId xmlns:a16="http://schemas.microsoft.com/office/drawing/2014/main" id="{A860F7B9-7894-0A57-6382-1E31CCB2D95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83">
            <a:extLst>
              <a:ext uri="{FF2B5EF4-FFF2-40B4-BE49-F238E27FC236}">
                <a16:creationId xmlns:a16="http://schemas.microsoft.com/office/drawing/2014/main" id="{A7C81FBC-06B0-ACEE-8FB7-56B015181DD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84">
            <a:extLst>
              <a:ext uri="{FF2B5EF4-FFF2-40B4-BE49-F238E27FC236}">
                <a16:creationId xmlns:a16="http://schemas.microsoft.com/office/drawing/2014/main" id="{FC1D8BE7-EFDE-7274-439F-16F979B2CD8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21167</xdr:colOff>
      <xdr:row>32</xdr:row>
      <xdr:rowOff>116417</xdr:rowOff>
    </xdr:from>
    <xdr:to>
      <xdr:col>14</xdr:col>
      <xdr:colOff>86072</xdr:colOff>
      <xdr:row>33</xdr:row>
      <xdr:rowOff>105004</xdr:rowOff>
    </xdr:to>
    <xdr:grpSp>
      <xdr:nvGrpSpPr>
        <xdr:cNvPr id="322" name="Grup 244">
          <a:extLst>
            <a:ext uri="{FF2B5EF4-FFF2-40B4-BE49-F238E27FC236}">
              <a16:creationId xmlns:a16="http://schemas.microsoft.com/office/drawing/2014/main" id="{9837C122-65A2-4DD0-BD58-4753EE65A88B}"/>
            </a:ext>
          </a:extLst>
        </xdr:cNvPr>
        <xdr:cNvGrpSpPr/>
      </xdr:nvGrpSpPr>
      <xdr:grpSpPr>
        <a:xfrm rot="5611688">
          <a:off x="4864160" y="4957174"/>
          <a:ext cx="136754" cy="64905"/>
          <a:chOff x="13302191" y="2320613"/>
          <a:chExt cx="139135" cy="57233"/>
        </a:xfrm>
      </xdr:grpSpPr>
      <xdr:cxnSp macro="">
        <xdr:nvCxnSpPr>
          <xdr:cNvPr id="323" name="Straight Connector 81">
            <a:extLst>
              <a:ext uri="{FF2B5EF4-FFF2-40B4-BE49-F238E27FC236}">
                <a16:creationId xmlns:a16="http://schemas.microsoft.com/office/drawing/2014/main" id="{112D9C40-1781-6FF1-DF06-313194F853D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82">
            <a:extLst>
              <a:ext uri="{FF2B5EF4-FFF2-40B4-BE49-F238E27FC236}">
                <a16:creationId xmlns:a16="http://schemas.microsoft.com/office/drawing/2014/main" id="{9DAD601D-1E63-BBA6-3E0F-C2BC67AD52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83">
            <a:extLst>
              <a:ext uri="{FF2B5EF4-FFF2-40B4-BE49-F238E27FC236}">
                <a16:creationId xmlns:a16="http://schemas.microsoft.com/office/drawing/2014/main" id="{9AA4D611-8AAF-631F-26E4-EBD04776ED3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84">
            <a:extLst>
              <a:ext uri="{FF2B5EF4-FFF2-40B4-BE49-F238E27FC236}">
                <a16:creationId xmlns:a16="http://schemas.microsoft.com/office/drawing/2014/main" id="{FF4FF36E-14C9-D7BD-03E8-B5BD69C3B16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63500</xdr:colOff>
      <xdr:row>38</xdr:row>
      <xdr:rowOff>42333</xdr:rowOff>
    </xdr:from>
    <xdr:to>
      <xdr:col>12</xdr:col>
      <xdr:colOff>128405</xdr:colOff>
      <xdr:row>39</xdr:row>
      <xdr:rowOff>30920</xdr:rowOff>
    </xdr:to>
    <xdr:grpSp>
      <xdr:nvGrpSpPr>
        <xdr:cNvPr id="329" name="Grup 244">
          <a:extLst>
            <a:ext uri="{FF2B5EF4-FFF2-40B4-BE49-F238E27FC236}">
              <a16:creationId xmlns:a16="http://schemas.microsoft.com/office/drawing/2014/main" id="{0F530A6B-B24D-4F17-9681-5D05B2954718}"/>
            </a:ext>
          </a:extLst>
        </xdr:cNvPr>
        <xdr:cNvGrpSpPr/>
      </xdr:nvGrpSpPr>
      <xdr:grpSpPr>
        <a:xfrm rot="5611688">
          <a:off x="4144493" y="5793257"/>
          <a:ext cx="136754" cy="64905"/>
          <a:chOff x="13302191" y="2320613"/>
          <a:chExt cx="139135" cy="57233"/>
        </a:xfrm>
      </xdr:grpSpPr>
      <xdr:cxnSp macro="">
        <xdr:nvCxnSpPr>
          <xdr:cNvPr id="330" name="Straight Connector 81">
            <a:extLst>
              <a:ext uri="{FF2B5EF4-FFF2-40B4-BE49-F238E27FC236}">
                <a16:creationId xmlns:a16="http://schemas.microsoft.com/office/drawing/2014/main" id="{5C3C8801-1E46-1975-9F3B-68136D7EFF4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82">
            <a:extLst>
              <a:ext uri="{FF2B5EF4-FFF2-40B4-BE49-F238E27FC236}">
                <a16:creationId xmlns:a16="http://schemas.microsoft.com/office/drawing/2014/main" id="{0C59E8BB-A9FC-F837-E595-0D6999AD69E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83">
            <a:extLst>
              <a:ext uri="{FF2B5EF4-FFF2-40B4-BE49-F238E27FC236}">
                <a16:creationId xmlns:a16="http://schemas.microsoft.com/office/drawing/2014/main" id="{F30CC4FB-E2D1-E926-070C-4CC03387812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84">
            <a:extLst>
              <a:ext uri="{FF2B5EF4-FFF2-40B4-BE49-F238E27FC236}">
                <a16:creationId xmlns:a16="http://schemas.microsoft.com/office/drawing/2014/main" id="{A0FD743E-C5DB-B2C8-2E49-92D27D1648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127000</xdr:colOff>
      <xdr:row>16</xdr:row>
      <xdr:rowOff>31750</xdr:rowOff>
    </xdr:from>
    <xdr:to>
      <xdr:col>13</xdr:col>
      <xdr:colOff>233890</xdr:colOff>
      <xdr:row>19</xdr:row>
      <xdr:rowOff>74084</xdr:rowOff>
    </xdr:to>
    <xdr:sp macro="" textlink="">
      <xdr:nvSpPr>
        <xdr:cNvPr id="2" name="TextBox 157">
          <a:extLst>
            <a:ext uri="{FF2B5EF4-FFF2-40B4-BE49-F238E27FC236}">
              <a16:creationId xmlns:a16="http://schemas.microsoft.com/office/drawing/2014/main" id="{DCB0708C-E8FD-478B-8E23-6FE288203C8B}"/>
            </a:ext>
          </a:extLst>
        </xdr:cNvPr>
        <xdr:cNvSpPr txBox="1"/>
      </xdr:nvSpPr>
      <xdr:spPr>
        <a:xfrm>
          <a:off x="3862917" y="2434167"/>
          <a:ext cx="868890" cy="486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158750</xdr:colOff>
      <xdr:row>20</xdr:row>
      <xdr:rowOff>127000</xdr:rowOff>
    </xdr:from>
    <xdr:to>
      <xdr:col>16</xdr:col>
      <xdr:colOff>265640</xdr:colOff>
      <xdr:row>23</xdr:row>
      <xdr:rowOff>137584</xdr:rowOff>
    </xdr:to>
    <xdr:sp macro="" textlink="">
      <xdr:nvSpPr>
        <xdr:cNvPr id="190" name="TextBox 157">
          <a:extLst>
            <a:ext uri="{FF2B5EF4-FFF2-40B4-BE49-F238E27FC236}">
              <a16:creationId xmlns:a16="http://schemas.microsoft.com/office/drawing/2014/main" id="{7452FFED-D67A-48DA-9208-D7AC7098D275}"/>
            </a:ext>
          </a:extLst>
        </xdr:cNvPr>
        <xdr:cNvSpPr txBox="1"/>
      </xdr:nvSpPr>
      <xdr:spPr>
        <a:xfrm>
          <a:off x="5037667" y="3122083"/>
          <a:ext cx="868890" cy="486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148167</xdr:colOff>
      <xdr:row>25</xdr:row>
      <xdr:rowOff>52917</xdr:rowOff>
    </xdr:from>
    <xdr:to>
      <xdr:col>16</xdr:col>
      <xdr:colOff>255057</xdr:colOff>
      <xdr:row>28</xdr:row>
      <xdr:rowOff>95251</xdr:rowOff>
    </xdr:to>
    <xdr:sp macro="" textlink="">
      <xdr:nvSpPr>
        <xdr:cNvPr id="192" name="TextBox 157">
          <a:extLst>
            <a:ext uri="{FF2B5EF4-FFF2-40B4-BE49-F238E27FC236}">
              <a16:creationId xmlns:a16="http://schemas.microsoft.com/office/drawing/2014/main" id="{89BE6C92-D45B-433A-AF6E-699467C0D2FE}"/>
            </a:ext>
          </a:extLst>
        </xdr:cNvPr>
        <xdr:cNvSpPr txBox="1"/>
      </xdr:nvSpPr>
      <xdr:spPr>
        <a:xfrm>
          <a:off x="5027084" y="3820584"/>
          <a:ext cx="868890" cy="486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127000</xdr:colOff>
      <xdr:row>29</xdr:row>
      <xdr:rowOff>74083</xdr:rowOff>
    </xdr:from>
    <xdr:to>
      <xdr:col>16</xdr:col>
      <xdr:colOff>233890</xdr:colOff>
      <xdr:row>32</xdr:row>
      <xdr:rowOff>116417</xdr:rowOff>
    </xdr:to>
    <xdr:sp macro="" textlink="">
      <xdr:nvSpPr>
        <xdr:cNvPr id="193" name="TextBox 157">
          <a:extLst>
            <a:ext uri="{FF2B5EF4-FFF2-40B4-BE49-F238E27FC236}">
              <a16:creationId xmlns:a16="http://schemas.microsoft.com/office/drawing/2014/main" id="{5B87225C-F660-4851-8A5D-B68ADE18E9EC}"/>
            </a:ext>
          </a:extLst>
        </xdr:cNvPr>
        <xdr:cNvSpPr txBox="1"/>
      </xdr:nvSpPr>
      <xdr:spPr>
        <a:xfrm>
          <a:off x="5005917" y="4434416"/>
          <a:ext cx="868890" cy="486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148166</xdr:colOff>
      <xdr:row>33</xdr:row>
      <xdr:rowOff>74083</xdr:rowOff>
    </xdr:from>
    <xdr:to>
      <xdr:col>16</xdr:col>
      <xdr:colOff>255056</xdr:colOff>
      <xdr:row>36</xdr:row>
      <xdr:rowOff>116417</xdr:rowOff>
    </xdr:to>
    <xdr:sp macro="" textlink="">
      <xdr:nvSpPr>
        <xdr:cNvPr id="195" name="TextBox 157">
          <a:extLst>
            <a:ext uri="{FF2B5EF4-FFF2-40B4-BE49-F238E27FC236}">
              <a16:creationId xmlns:a16="http://schemas.microsoft.com/office/drawing/2014/main" id="{0CCB14E6-1996-49AC-981C-732D39EA180E}"/>
            </a:ext>
          </a:extLst>
        </xdr:cNvPr>
        <xdr:cNvSpPr txBox="1"/>
      </xdr:nvSpPr>
      <xdr:spPr>
        <a:xfrm>
          <a:off x="5027083" y="5027083"/>
          <a:ext cx="868890" cy="4868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201083</xdr:colOff>
      <xdr:row>37</xdr:row>
      <xdr:rowOff>74082</xdr:rowOff>
    </xdr:from>
    <xdr:to>
      <xdr:col>16</xdr:col>
      <xdr:colOff>307973</xdr:colOff>
      <xdr:row>41</xdr:row>
      <xdr:rowOff>126999</xdr:rowOff>
    </xdr:to>
    <xdr:sp macro="" textlink="">
      <xdr:nvSpPr>
        <xdr:cNvPr id="196" name="TextBox 157">
          <a:extLst>
            <a:ext uri="{FF2B5EF4-FFF2-40B4-BE49-F238E27FC236}">
              <a16:creationId xmlns:a16="http://schemas.microsoft.com/office/drawing/2014/main" id="{88E31364-D18E-4916-A5A8-7731AFB9D7C4}"/>
            </a:ext>
          </a:extLst>
        </xdr:cNvPr>
        <xdr:cNvSpPr txBox="1"/>
      </xdr:nvSpPr>
      <xdr:spPr>
        <a:xfrm>
          <a:off x="5080000" y="5630332"/>
          <a:ext cx="868890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ctr"/>
          <a:r>
            <a:rPr lang="en-US" sz="80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232834</xdr:colOff>
      <xdr:row>15</xdr:row>
      <xdr:rowOff>0</xdr:rowOff>
    </xdr:from>
    <xdr:to>
      <xdr:col>15</xdr:col>
      <xdr:colOff>252244</xdr:colOff>
      <xdr:row>16</xdr:row>
      <xdr:rowOff>35453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3BA82FB9-92AA-461A-9AF1-2C6B775ED6B5}"/>
            </a:ext>
          </a:extLst>
        </xdr:cNvPr>
        <xdr:cNvSpPr txBox="1"/>
      </xdr:nvSpPr>
      <xdr:spPr>
        <a:xfrm>
          <a:off x="4730751" y="2254250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211667</xdr:colOff>
      <xdr:row>18</xdr:row>
      <xdr:rowOff>127000</xdr:rowOff>
    </xdr:from>
    <xdr:to>
      <xdr:col>15</xdr:col>
      <xdr:colOff>231077</xdr:colOff>
      <xdr:row>20</xdr:row>
      <xdr:rowOff>14287</xdr:rowOff>
    </xdr:to>
    <xdr:sp macro="" textlink="">
      <xdr:nvSpPr>
        <xdr:cNvPr id="217" name="TextBox 160">
          <a:extLst>
            <a:ext uri="{FF2B5EF4-FFF2-40B4-BE49-F238E27FC236}">
              <a16:creationId xmlns:a16="http://schemas.microsoft.com/office/drawing/2014/main" id="{B95B10B5-6AA9-45A1-BFD9-E05A3ED76441}"/>
            </a:ext>
          </a:extLst>
        </xdr:cNvPr>
        <xdr:cNvSpPr txBox="1"/>
      </xdr:nvSpPr>
      <xdr:spPr>
        <a:xfrm>
          <a:off x="4709584" y="2825750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296334</xdr:colOff>
      <xdr:row>24</xdr:row>
      <xdr:rowOff>0</xdr:rowOff>
    </xdr:from>
    <xdr:to>
      <xdr:col>15</xdr:col>
      <xdr:colOff>315744</xdr:colOff>
      <xdr:row>25</xdr:row>
      <xdr:rowOff>35453</xdr:rowOff>
    </xdr:to>
    <xdr:sp macro="" textlink="">
      <xdr:nvSpPr>
        <xdr:cNvPr id="250" name="TextBox 160">
          <a:extLst>
            <a:ext uri="{FF2B5EF4-FFF2-40B4-BE49-F238E27FC236}">
              <a16:creationId xmlns:a16="http://schemas.microsoft.com/office/drawing/2014/main" id="{EB99F6AD-A471-4869-AB9B-4FE1DB78F7D1}"/>
            </a:ext>
          </a:extLst>
        </xdr:cNvPr>
        <xdr:cNvSpPr txBox="1"/>
      </xdr:nvSpPr>
      <xdr:spPr>
        <a:xfrm>
          <a:off x="4794251" y="3619500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264583</xdr:colOff>
      <xdr:row>28</xdr:row>
      <xdr:rowOff>42332</xdr:rowOff>
    </xdr:from>
    <xdr:to>
      <xdr:col>15</xdr:col>
      <xdr:colOff>283993</xdr:colOff>
      <xdr:row>29</xdr:row>
      <xdr:rowOff>77786</xdr:rowOff>
    </xdr:to>
    <xdr:sp macro="" textlink="">
      <xdr:nvSpPr>
        <xdr:cNvPr id="260" name="TextBox 160">
          <a:extLst>
            <a:ext uri="{FF2B5EF4-FFF2-40B4-BE49-F238E27FC236}">
              <a16:creationId xmlns:a16="http://schemas.microsoft.com/office/drawing/2014/main" id="{4BB262B3-8171-4031-90F3-7D1B42762562}"/>
            </a:ext>
          </a:extLst>
        </xdr:cNvPr>
        <xdr:cNvSpPr txBox="1"/>
      </xdr:nvSpPr>
      <xdr:spPr>
        <a:xfrm>
          <a:off x="4762500" y="4254499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338666</xdr:colOff>
      <xdr:row>32</xdr:row>
      <xdr:rowOff>63501</xdr:rowOff>
    </xdr:from>
    <xdr:to>
      <xdr:col>15</xdr:col>
      <xdr:colOff>358076</xdr:colOff>
      <xdr:row>33</xdr:row>
      <xdr:rowOff>98954</xdr:rowOff>
    </xdr:to>
    <xdr:sp macro="" textlink="">
      <xdr:nvSpPr>
        <xdr:cNvPr id="261" name="TextBox 160">
          <a:extLst>
            <a:ext uri="{FF2B5EF4-FFF2-40B4-BE49-F238E27FC236}">
              <a16:creationId xmlns:a16="http://schemas.microsoft.com/office/drawing/2014/main" id="{F423F5E2-4ABF-4E64-9822-C6D94768FA8F}"/>
            </a:ext>
          </a:extLst>
        </xdr:cNvPr>
        <xdr:cNvSpPr txBox="1"/>
      </xdr:nvSpPr>
      <xdr:spPr>
        <a:xfrm>
          <a:off x="4836583" y="4868334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264584</xdr:colOff>
      <xdr:row>36</xdr:row>
      <xdr:rowOff>84666</xdr:rowOff>
    </xdr:from>
    <xdr:to>
      <xdr:col>15</xdr:col>
      <xdr:colOff>283994</xdr:colOff>
      <xdr:row>37</xdr:row>
      <xdr:rowOff>109536</xdr:rowOff>
    </xdr:to>
    <xdr:sp macro="" textlink="">
      <xdr:nvSpPr>
        <xdr:cNvPr id="274" name="TextBox 160">
          <a:extLst>
            <a:ext uri="{FF2B5EF4-FFF2-40B4-BE49-F238E27FC236}">
              <a16:creationId xmlns:a16="http://schemas.microsoft.com/office/drawing/2014/main" id="{499A547D-9EF4-4405-9194-45396F613327}"/>
            </a:ext>
          </a:extLst>
        </xdr:cNvPr>
        <xdr:cNvSpPr txBox="1"/>
      </xdr:nvSpPr>
      <xdr:spPr>
        <a:xfrm>
          <a:off x="4762501" y="5482166"/>
          <a:ext cx="781410" cy="183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0</xdr:colOff>
      <xdr:row>54</xdr:row>
      <xdr:rowOff>101329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4DEDCC-536D-7FBD-E82E-DB4C1001A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611756" cy="80455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7</xdr:row>
      <xdr:rowOff>0</xdr:rowOff>
    </xdr:from>
    <xdr:to>
      <xdr:col>28</xdr:col>
      <xdr:colOff>221512</xdr:colOff>
      <xdr:row>59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2EBFE0-5809-4061-E21E-0D29DB0C6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063256"/>
          <a:ext cx="14619768" cy="80630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NRCPTK01"/>
      <sheetName val="Bank Data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4" t="s">
        <v>1133</v>
      </c>
      <c r="C4" s="534"/>
      <c r="D4" s="534"/>
      <c r="E4" s="534"/>
      <c r="F4" s="534"/>
      <c r="G4" s="534"/>
      <c r="H4" s="53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5" t="s">
        <v>0</v>
      </c>
      <c r="C7" s="535" t="s">
        <v>1</v>
      </c>
      <c r="D7" s="536" t="s">
        <v>42</v>
      </c>
      <c r="E7" s="536" t="s">
        <v>43</v>
      </c>
      <c r="F7" s="536" t="s">
        <v>1134</v>
      </c>
      <c r="G7" s="537" t="s">
        <v>41</v>
      </c>
      <c r="H7" s="533" t="s">
        <v>1042</v>
      </c>
      <c r="I7" s="533" t="s">
        <v>1136</v>
      </c>
      <c r="J7" s="533" t="s">
        <v>1026</v>
      </c>
      <c r="K7" s="527" t="s">
        <v>1024</v>
      </c>
      <c r="L7" s="528"/>
    </row>
    <row r="8" spans="1:12" ht="15" customHeight="1">
      <c r="B8" s="535"/>
      <c r="C8" s="535"/>
      <c r="D8" s="536"/>
      <c r="E8" s="536"/>
      <c r="F8" s="536"/>
      <c r="G8" s="537"/>
      <c r="H8" s="533"/>
      <c r="I8" s="533"/>
      <c r="J8" s="533"/>
      <c r="K8" s="529"/>
      <c r="L8" s="530"/>
    </row>
    <row r="9" spans="1:12" ht="15" customHeight="1">
      <c r="B9" s="535"/>
      <c r="C9" s="535"/>
      <c r="D9" s="536"/>
      <c r="E9" s="536"/>
      <c r="F9" s="536"/>
      <c r="G9" s="537"/>
      <c r="H9" s="533"/>
      <c r="I9" s="533"/>
      <c r="J9" s="533"/>
      <c r="K9" s="531"/>
      <c r="L9" s="53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13.2 kVA MCCB 20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360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45</v>
      </c>
      <c r="G19" s="41">
        <f ca="1">IF(ISERROR(OFFSET('HARGA SATUAN'!$I$6,MATCH(C19,'HARGA SATUAN'!$C$7:$C$1495,0),0)),"",OFFSET('HARGA SATUAN'!$I$6,MATCH(C19,'HARGA SATUAN'!$C$7:$C$1495,0),0))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SUMIFS(RAB!$F$14:$F$108,RAB!$C$14:$C$108,C714)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SUMIFS(RAB!$F$14:$F$108,RAB!$C$14:$C$108,C715)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SUMIFS(RAB!$F$14:$F$108,RAB!$C$14:$C$108,C716)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SUMIFS(RAB!$F$14:$F$108,RAB!$C$14:$C$108,C717)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SUMIFS(RAB!$F$14:$F$108,RAB!$C$14:$C$108,C718)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SUMIFS(RAB!$F$14:$F$108,RAB!$C$14:$C$108,C719)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SUMIFS(RAB!$F$14:$F$108,RAB!$C$14:$C$108,C720)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SUMIFS(RAB!$F$14:$F$108,RAB!$C$14:$C$108,C721)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SUMIFS(RAB!$F$14:$F$108,RAB!$C$14:$C$108,C722)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SUMIFS(RAB!$F$14:$F$108,RAB!$C$14:$C$108,C723)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SUMIFS(RAB!$F$14:$F$108,RAB!$C$14:$C$108,C724)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SUMIFS(RAB!$F$14:$F$108,RAB!$C$14:$C$108,C725)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SUMIFS(RAB!$F$14:$F$108,RAB!$C$14:$C$108,C726)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SUMIFS(RAB!$F$14:$F$108,RAB!$C$14:$C$108,C727)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SUMIFS(RAB!$F$14:$F$108,RAB!$C$14:$C$108,C728)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SUMIFS(RAB!$F$14:$F$108,RAB!$C$14:$C$108,C729)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SUMIFS(RAB!$F$14:$F$108,RAB!$C$14:$C$108,C730)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SUMIFS(RAB!$F$14:$F$108,RAB!$C$14:$C$108,C731)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SUMIFS(RAB!$F$14:$F$108,RAB!$C$14:$C$108,C732)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SUMIFS(RAB!$F$14:$F$108,RAB!$C$14:$C$108,C733)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SUMIFS(RAB!$F$14:$F$108,RAB!$C$14:$C$108,C734)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SUMIFS(RAB!$F$14:$F$108,RAB!$C$14:$C$108,C735)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SUMIFS(RAB!$F$14:$F$108,RAB!$C$14:$C$108,C736)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SUMIFS(RAB!$F$14:$F$108,RAB!$C$14:$C$108,C737)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SUMIFS(RAB!$F$14:$F$108,RAB!$C$14:$C$108,C738)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SUMIFS(RAB!$F$14:$F$108,RAB!$C$14:$C$108,C739)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SUMIFS(RAB!$F$14:$F$108,RAB!$C$14:$C$108,C740)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SUMIFS(RAB!$F$14:$F$108,RAB!$C$14:$C$108,C741)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SUMIFS(RAB!$F$14:$F$108,RAB!$C$14:$C$108,C742)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SUMIFS(RAB!$F$14:$F$108,RAB!$C$14:$C$108,C743)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SUMIFS(RAB!$F$14:$F$108,RAB!$C$14:$C$108,C744)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SUMIFS(RAB!$F$14:$F$108,RAB!$C$14:$C$108,C745)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SUMIFS(RAB!$F$14:$F$108,RAB!$C$14:$C$108,C746)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SUMIFS(RAB!$F$14:$F$108,RAB!$C$14:$C$108,C747)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SUMIFS(RAB!$F$14:$F$108,RAB!$C$14:$C$108,C748)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SUMIFS(RAB!$F$14:$F$108,RAB!$C$14:$C$108,C749)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SUMIFS(RAB!$F$14:$F$108,RAB!$C$14:$C$108,C750)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SUMIFS(RAB!$F$14:$F$108,RAB!$C$14:$C$108,C751)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SUMIFS(RAB!$F$14:$F$108,RAB!$C$14:$C$108,C752)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SUMIFS(RAB!$F$14:$F$108,RAB!$C$14:$C$108,C753)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SUMIFS(RAB!$F$14:$F$108,RAB!$C$14:$C$108,C754)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SUMIFS(RAB!$F$14:$F$108,RAB!$C$14:$C$108,C755)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SUMIFS(RAB!$F$14:$F$108,RAB!$C$14:$C$108,C756)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SUMIFS(RAB!$F$14:$F$108,RAB!$C$14:$C$108,C757)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SUMIFS(RAB!$F$14:$F$108,RAB!$C$14:$C$108,C758)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SUMIFS(RAB!$F$14:$F$108,RAB!$C$14:$C$108,C759)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SUMIFS(RAB!$F$14:$F$108,RAB!$C$14:$C$108,C760)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SUMIFS(RAB!$F$14:$F$108,RAB!$C$14:$C$108,C761)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SUMIFS(RAB!$F$14:$F$108,RAB!$C$14:$C$108,C762)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SUMIFS(RAB!$F$14:$F$108,RAB!$C$14:$C$108,C763)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SUMIFS(RAB!$F$14:$F$108,RAB!$C$14:$C$108,C764)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SUMIFS(RAB!$F$14:$F$108,RAB!$C$14:$C$108,C765)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SUMIFS(RAB!$F$14:$F$108,RAB!$C$14:$C$108,C766)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SUMIFS(RAB!$F$14:$F$108,RAB!$C$14:$C$108,C767)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SUMIFS(RAB!$F$14:$F$108,RAB!$C$14:$C$108,C768)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SUMIFS(RAB!$F$14:$F$108,RAB!$C$14:$C$108,C769)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SUMIFS(RAB!$F$14:$F$108,RAB!$C$14:$C$108,C770)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SUMIFS(RAB!$F$14:$F$108,RAB!$C$14:$C$108,C771)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SUMIFS(RAB!$F$14:$F$108,RAB!$C$14:$C$108,C772)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SUMIFS(RAB!$F$14:$F$108,RAB!$C$14:$C$108,C773)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SUMIFS(RAB!$F$14:$F$108,RAB!$C$14:$C$108,C774)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SUMIFS(RAB!$F$14:$F$108,RAB!$C$14:$C$108,C775)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SUMIFS(RAB!$F$14:$F$108,RAB!$C$14:$C$108,C776)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SUMIFS(RAB!$F$14:$F$108,RAB!$C$14:$C$108,C777)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SUMIFS(RAB!$F$14:$F$108,RAB!$C$14:$C$108,C778)</f>
        <v>1</v>
      </c>
      <c r="E778" s="26">
        <f t="shared" ca="1" si="33"/>
        <v>1</v>
      </c>
      <c r="F778" s="26">
        <f ca="1">IF(D778=0,0,SUM($E$713:E778))</f>
        <v>2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SUMIFS(RAB!$F$14:$F$108,RAB!$C$14:$C$108,C779)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SUMIFS(RAB!$F$14:$F$108,RAB!$C$14:$C$108,C780)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SUMIFS(RAB!$F$14:$F$108,RAB!$C$14:$C$108,C781)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SUMIFS(RAB!$F$14:$F$108,RAB!$C$14:$C$108,C782)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SUMIFS(RAB!$F$14:$F$108,RAB!$C$14:$C$108,C783)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SUMIFS(RAB!$F$14:$F$108,RAB!$C$14:$C$108,C784)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SUMIFS(RAB!$F$14:$F$108,RAB!$C$14:$C$108,C785)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SUMIFS(RAB!$F$14:$F$108,RAB!$C$14:$C$108,C786)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SUMIFS(RAB!$F$14:$F$108,RAB!$C$14:$C$108,C787)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SUMIFS(RAB!$F$14:$F$108,RAB!$C$14:$C$108,C788)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SUMIFS(RAB!$F$14:$F$108,RAB!$C$14:$C$108,C789)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SUMIFS(RAB!$F$14:$F$108,RAB!$C$14:$C$108,C790)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SUMIFS(RAB!$F$14:$F$108,RAB!$C$14:$C$108,C791)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SUMIFS(RAB!$F$14:$F$108,RAB!$C$14:$C$108,C792)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SUMIFS(RAB!$F$14:$F$108,RAB!$C$14:$C$108,C793)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SUMIFS(RAB!$F$14:$F$108,RAB!$C$14:$C$108,C794)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SUMIFS(RAB!$F$14:$F$108,RAB!$C$14:$C$108,C795)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SUMIFS(RAB!$F$14:$F$108,RAB!$C$14:$C$108,C796)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SUMIFS(RAB!$F$14:$F$108,RAB!$C$14:$C$108,C797)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SUMIFS(RAB!$F$14:$F$108,RAB!$C$14:$C$108,C798)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SUMIFS(RAB!$F$14:$F$108,RAB!$C$14:$C$108,C799)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SUMIFS(RAB!$F$14:$F$108,RAB!$C$14:$C$108,C800)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SUMIFS(RAB!$F$14:$F$108,RAB!$C$14:$C$108,C801)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SUMIFS(RAB!$F$14:$F$108,RAB!$C$14:$C$108,C802)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SUMIFS(RAB!$F$14:$F$108,RAB!$C$14:$C$108,C803)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SUMIFS(RAB!$F$14:$F$108,RAB!$C$14:$C$108,C804)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SUMIFS(RAB!$F$14:$F$108,RAB!$C$14:$C$108,C805)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SUMIFS(RAB!$F$14:$F$108,RAB!$C$14:$C$108,C806)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SUMIFS(RAB!$F$14:$F$108,RAB!$C$14:$C$108,C807)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SUMIFS(RAB!$F$14:$F$108,RAB!$C$14:$C$108,C808)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SUMIFS(RAB!$F$14:$F$108,RAB!$C$14:$C$108,C809)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SUMIFS(RAB!$F$14:$F$108,RAB!$C$14:$C$108,C810)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SUMIFS(RAB!$F$14:$F$108,RAB!$C$14:$C$108,C811)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SUMIFS(RAB!$F$14:$F$108,RAB!$C$14:$C$108,C812)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SUMIFS(RAB!$F$14:$F$108,RAB!$C$14:$C$108,C813)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SUMIFS(RAB!$F$14:$F$108,RAB!$C$14:$C$108,C814)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SUMIFS(RAB!$F$14:$F$108,RAB!$C$14:$C$108,C815)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SUMIFS(RAB!$F$14:$F$108,RAB!$C$14:$C$108,C816)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SUMIFS(RAB!$F$14:$F$108,RAB!$C$14:$C$108,C817)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SUMIFS(RAB!$F$14:$F$108,RAB!$C$14:$C$108,C818)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SUMIFS(RAB!$F$14:$F$108,RAB!$C$14:$C$108,C819)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SUMIFS(RAB!$F$14:$F$108,RAB!$C$14:$C$108,C820)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SUMIFS(RAB!$F$14:$F$108,RAB!$C$14:$C$108,C821)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SUMIFS(RAB!$F$14:$F$108,RAB!$C$14:$C$108,C822)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SUMIFS(RAB!$F$14:$F$108,RAB!$C$14:$C$108,C823)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SUMIFS(RAB!$F$14:$F$108,RAB!$C$14:$C$108,C824)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SUMIFS(RAB!$F$14:$F$108,RAB!$C$14:$C$108,C825)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SUMIFS(RAB!$F$14:$F$108,RAB!$C$14:$C$108,C826)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SUMIFS(RAB!$F$14:$F$108,RAB!$C$14:$C$108,C827)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SUMIFS(RAB!$F$14:$F$108,RAB!$C$14:$C$108,C828)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SUMIFS(RAB!$F$14:$F$108,RAB!$C$14:$C$108,C829)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SUMIFS(RAB!$F$14:$F$108,RAB!$C$14:$C$108,C830)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SUMIFS(RAB!$F$14:$F$108,RAB!$C$14:$C$108,C831)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SUMIFS(RAB!$F$14:$F$108,RAB!$C$14:$C$108,C832)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SUMIFS(RAB!$F$14:$F$108,RAB!$C$14:$C$108,C833)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SUMIFS(RAB!$F$14:$F$108,RAB!$C$14:$C$108,C834)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SUMIFS(RAB!$F$14:$F$108,RAB!$C$14:$C$108,C835)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SUMIFS(RAB!$F$14:$F$108,RAB!$C$14:$C$108,C836)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SUMIFS(RAB!$F$14:$F$108,RAB!$C$14:$C$108,C837)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SUMIFS(RAB!$F$14:$F$108,RAB!$C$14:$C$108,C838)</f>
        <v>360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SUMIFS(RAB!$F$14:$F$108,RAB!$C$14:$C$108,C839)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SUMIFS(RAB!$F$14:$F$108,RAB!$C$14:$C$108,C840)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SUMIFS(RAB!$F$14:$F$108,RAB!$C$14:$C$108,C841)</f>
        <v>45</v>
      </c>
      <c r="E841" s="26">
        <f t="shared" ca="1" si="34"/>
        <v>1</v>
      </c>
      <c r="F841" s="26">
        <f ca="1">IF(D841=0,0,SUM($E$713:E841))</f>
        <v>8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SUMIFS(RAB!$F$14:$F$108,RAB!$C$14:$C$108,C842)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SUMIFS(RAB!$F$14:$F$108,RAB!$C$14:$C$108,C843)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SUMIFS(RAB!$F$14:$F$108,RAB!$C$14:$C$108,C844)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SUMIFS(RAB!$F$14:$F$108,RAB!$C$14:$C$108,C845)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SUMIFS(RAB!$F$14:$F$108,RAB!$C$14:$C$108,C846)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SUMIFS(RAB!$F$14:$F$108,RAB!$C$14:$C$108,C847)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SUMIFS(RAB!$F$14:$F$108,RAB!$C$14:$C$108,C848)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SUMIFS(RAB!$F$14:$F$108,RAB!$C$14:$C$108,C849)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SUMIFS(RAB!$F$14:$F$108,RAB!$C$14:$C$108,C850)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SUMIFS(RAB!$F$14:$F$108,RAB!$C$14:$C$108,C851)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SUMIFS(RAB!$F$14:$F$108,RAB!$C$14:$C$108,C852)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SUMIFS(RAB!$F$14:$F$108,RAB!$C$14:$C$108,C853)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SUMIFS(RAB!$F$14:$F$108,RAB!$C$14:$C$108,C854)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SUMIFS(RAB!$F$14:$F$108,RAB!$C$14:$C$108,C855)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SUMIFS(RAB!$F$14:$F$108,RAB!$C$14:$C$108,C856)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SUMIFS(RAB!$F$14:$F$108,RAB!$C$14:$C$108,C857)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SUMIFS(RAB!$F$14:$F$108,RAB!$C$14:$C$108,C858)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SUMIFS(RAB!$F$14:$F$108,RAB!$C$14:$C$108,C859)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SUMIFS(RAB!$F$14:$F$108,RAB!$C$14:$C$108,C860)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SUMIFS(RAB!$F$14:$F$108,RAB!$C$14:$C$108,C861)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SUMIFS(RAB!$F$14:$F$108,RAB!$C$14:$C$108,C862)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SUMIFS(RAB!$F$14:$F$108,RAB!$C$14:$C$108,C863)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SUMIFS(RAB!$F$14:$F$108,RAB!$C$14:$C$108,C864)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SUMIFS(RAB!$F$14:$F$108,RAB!$C$14:$C$108,C865)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SUMIFS(RAB!$F$14:$F$108,RAB!$C$14:$C$108,C866)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SUMIFS(RAB!$F$14:$F$108,RAB!$C$14:$C$108,C867)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SUMIFS(RAB!$F$14:$F$108,RAB!$C$14:$C$108,C868)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SUMIFS(RAB!$F$14:$F$108,RAB!$C$14:$C$108,C869)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SUMIFS(RAB!$F$14:$F$108,RAB!$C$14:$C$108,C870)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SUMIFS(RAB!$F$14:$F$108,RAB!$C$14:$C$108,C871)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SUMIFS(RAB!$F$14:$F$108,RAB!$C$14:$C$108,C872)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SUMIFS(RAB!$F$14:$F$108,RAB!$C$14:$C$108,C873)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SUMIFS(RAB!$F$14:$F$108,RAB!$C$14:$C$108,C874)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SUMIFS(RAB!$F$14:$F$108,RAB!$C$14:$C$108,C875)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SUMIFS(RAB!$F$14:$F$108,RAB!$C$14:$C$108,C876)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SUMIFS(RAB!$F$14:$F$108,RAB!$C$14:$C$108,C877)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SUMIFS(RAB!$F$14:$F$108,RAB!$C$14:$C$108,C878)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SUMIFS(RAB!$F$14:$F$108,RAB!$C$14:$C$108,C879)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SUMIFS(RAB!$F$14:$F$108,RAB!$C$14:$C$108,C880)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SUMIFS(RAB!$F$14:$F$108,RAB!$C$14:$C$108,C881)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SUMIFS(RAB!$F$14:$F$108,RAB!$C$14:$C$108,C882)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SUMIFS(RAB!$F$14:$F$108,RAB!$C$14:$C$108,C883)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SUMIFS(RAB!$F$14:$F$108,RAB!$C$14:$C$108,C884)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SUMIFS(RAB!$F$14:$F$108,RAB!$C$14:$C$108,C885)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SUMIFS(RAB!$F$14:$F$108,RAB!$C$14:$C$108,C886)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SUMIFS(RAB!$F$14:$F$108,RAB!$C$14:$C$108,C887)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SUMIFS(RAB!$F$14:$F$108,RAB!$C$14:$C$108,C888)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SUMIFS(RAB!$F$14:$F$108,RAB!$C$14:$C$108,C889)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SUMIFS(RAB!$F$14:$F$108,RAB!$C$14:$C$108,C890)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SUMIFS(RAB!$F$14:$F$108,RAB!$C$14:$C$108,C891)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SUMIFS(RAB!$F$14:$F$108,RAB!$C$14:$C$108,C892)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SUMIFS(RAB!$F$14:$F$108,RAB!$C$14:$C$108,C893)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SUMIFS(RAB!$F$14:$F$108,RAB!$C$14:$C$108,C894)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SUMIFS(RAB!$F$14:$F$108,RAB!$C$14:$C$108,C895)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SUMIFS(RAB!$F$14:$F$108,RAB!$C$14:$C$108,C896)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SUMIFS(RAB!$F$14:$F$108,RAB!$C$14:$C$108,C897)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SUMIFS(RAB!$F$14:$F$108,RAB!$C$14:$C$108,C898)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SUMIFS(RAB!$F$14:$F$108,RAB!$C$14:$C$108,C899)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SUMIFS(RAB!$F$14:$F$108,RAB!$C$14:$C$108,C900)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SUMIFS(RAB!$F$14:$F$108,RAB!$C$14:$C$108,C901)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SUMIFS(RAB!$F$14:$F$108,RAB!$C$14:$C$108,C902)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SUMIFS(RAB!$F$14:$F$108,RAB!$C$14:$C$108,C903)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SUMIFS(RAB!$F$14:$F$108,RAB!$C$14:$C$108,C904)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SUMIFS(RAB!$F$14:$F$108,RAB!$C$14:$C$108,C905)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SUMIFS(RAB!$F$14:$F$108,RAB!$C$14:$C$108,C906)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SUMIFS(RAB!$F$14:$F$108,RAB!$C$14:$C$108,C907)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SUMIFS(RAB!$F$14:$F$108,RAB!$C$14:$C$108,C908)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SUMIFS(RAB!$F$14:$F$108,RAB!$C$14:$C$108,C909)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SUMIFS(RAB!$F$14:$F$108,RAB!$C$14:$C$108,C910)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SUMIFS(RAB!$F$14:$F$108,RAB!$C$14:$C$108,C911)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SUMIFS(RAB!$F$14:$F$108,RAB!$C$14:$C$108,C912)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SUMIFS(RAB!$F$14:$F$108,RAB!$C$14:$C$108,C913)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SUMIFS(RAB!$F$14:$F$108,RAB!$C$14:$C$108,C914)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SUMIFS(RAB!$F$14:$F$108,RAB!$C$14:$C$108,C915)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SUMIFS(RAB!$F$14:$F$108,RAB!$C$14:$C$108,C916)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SUMIFS(RAB!$F$14:$F$108,RAB!$C$14:$C$108,C917)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SUMIFS(RAB!$F$14:$F$108,RAB!$C$14:$C$108,C918)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SUMIFS(RAB!$F$14:$F$108,RAB!$C$14:$C$108,C919)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SUMIFS(RAB!$F$14:$F$108,RAB!$C$14:$C$108,C920)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SUMIFS(RAB!$F$14:$F$108,RAB!$C$14:$C$108,C921)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SUMIFS(RAB!$F$14:$F$108,RAB!$C$14:$C$108,C922)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SUMIFS(RAB!$F$14:$F$108,RAB!$C$14:$C$108,C923)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SUMIFS(RAB!$F$14:$F$108,RAB!$C$14:$C$108,C924)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SUMIFS(RAB!$F$14:$F$108,RAB!$C$14:$C$108,C925)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SUMIFS(RAB!$F$14:$F$108,RAB!$C$14:$C$108,C926)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SUMIFS(RAB!$F$14:$F$108,RAB!$C$14:$C$108,C927)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SUMIFS(RAB!$F$14:$F$108,RAB!$C$14:$C$108,C928)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SUMIFS(RAB!$F$14:$F$108,RAB!$C$14:$C$108,C929)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SUMIFS(RAB!$F$14:$F$108,RAB!$C$14:$C$108,C930)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SUMIFS(RAB!$F$14:$F$108,RAB!$C$14:$C$108,C931)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SUMIFS(RAB!$F$14:$F$108,RAB!$C$14:$C$108,C932)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SUMIFS(RAB!$F$14:$F$108,RAB!$C$14:$C$108,C933)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SUMIFS(RAB!$F$14:$F$108,RAB!$C$14:$C$108,C934)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SUMIFS(RAB!$F$14:$F$108,RAB!$C$14:$C$108,C935)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SUMIFS(RAB!$F$14:$F$108,RAB!$C$14:$C$108,C936)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SUMIFS(RAB!$F$14:$F$108,RAB!$C$14:$C$108,C937)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SUMIFS(RAB!$F$14:$F$108,RAB!$C$14:$C$108,C938)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SUMIFS(RAB!$F$14:$F$108,RAB!$C$14:$C$108,C939)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SUMIFS(RAB!$F$14:$F$108,RAB!$C$14:$C$108,C940)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SUMIFS(RAB!$F$14:$F$108,RAB!$C$14:$C$108,C941)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SUMIFS(RAB!$F$14:$F$108,RAB!$C$14:$C$108,C942)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SUMIFS(RAB!$F$14:$F$108,RAB!$C$14:$C$108,C943)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SUMIFS(RAB!$F$14:$F$108,RAB!$C$14:$C$108,C944)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SUMIFS(RAB!$F$14:$F$108,RAB!$C$14:$C$108,C945)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SUMIFS(RAB!$F$14:$F$108,RAB!$C$14:$C$108,C946)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SUMIFS(RAB!$F$14:$F$108,RAB!$C$14:$C$108,C947)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SUMIFS(RAB!$F$14:$F$108,RAB!$C$14:$C$108,C948)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SUMIFS(RAB!$F$14:$F$108,RAB!$C$14:$C$108,C949)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SUMIFS(RAB!$F$14:$F$108,RAB!$C$14:$C$108,C950)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SUMIFS(RAB!$F$14:$F$108,RAB!$C$14:$C$108,C951)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SUMIFS(RAB!$F$14:$F$108,RAB!$C$14:$C$108,C952)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SUMIFS(RAB!$F$14:$F$108,RAB!$C$14:$C$108,C953)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SUMIFS(RAB!$F$14:$F$108,RAB!$C$14:$C$108,C954)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SUMIFS(RAB!$F$14:$F$108,RAB!$C$14:$C$108,C955)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SUMIFS(RAB!$F$14:$F$108,RAB!$C$14:$C$108,C956)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SUMIFS(RAB!$F$14:$F$108,RAB!$C$14:$C$108,C957)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SUMIFS(RAB!$F$14:$F$108,RAB!$C$14:$C$108,C958)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SUMIFS(RAB!$F$14:$F$108,RAB!$C$14:$C$108,C959)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SUMIFS(RAB!$F$14:$F$108,RAB!$C$14:$C$108,C960)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SUMIFS(RAB!$F$14:$F$108,RAB!$C$14:$C$108,C961)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SUMIFS(RAB!$F$14:$F$108,RAB!$C$14:$C$108,C962)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SUMIFS(RAB!$F$14:$F$108,RAB!$C$14:$C$108,C963)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SUMIFS(RAB!$F$14:$F$108,RAB!$C$14:$C$108,C964)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SUMIFS(RAB!$F$14:$F$108,RAB!$C$14:$C$108,C965)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SUMIFS(RAB!$F$14:$F$108,RAB!$C$14:$C$108,C966)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SUMIFS(RAB!$F$14:$F$108,RAB!$C$14:$C$108,C967)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SUMIFS(RAB!$F$14:$F$108,RAB!$C$14:$C$108,C968)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SUMIFS(RAB!$F$14:$F$108,RAB!$C$14:$C$108,C969)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SUMIFS(RAB!$F$14:$F$108,RAB!$C$14:$C$108,C970)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SUMIFS(RAB!$F$14:$F$108,RAB!$C$14:$C$108,C971)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SUMIFS(RAB!$F$14:$F$108,RAB!$C$14:$C$108,C972)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SUMIFS(RAB!$F$14:$F$108,RAB!$C$14:$C$108,C973)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SUMIFS(RAB!$F$14:$F$108,RAB!$C$14:$C$108,C974)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SUMIFS(RAB!$F$14:$F$108,RAB!$C$14:$C$108,C975)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SUMIFS(RAB!$F$14:$F$108,RAB!$C$14:$C$108,C976)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SUMIFS(RAB!$F$14:$F$108,RAB!$C$14:$C$108,C977)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SUMIFS(RAB!$F$14:$F$108,RAB!$C$14:$C$108,C978)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SUMIFS(RAB!$F$14:$F$108,RAB!$C$14:$C$108,C979)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SUMIFS(RAB!$F$14:$F$108,RAB!$C$14:$C$108,C980)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SUMIFS(RAB!$F$14:$F$108,RAB!$C$14:$C$108,C981)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SUMIFS(RAB!$F$14:$F$108,RAB!$C$14:$C$108,C982)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SUMIFS(RAB!$F$14:$F$108,RAB!$C$14:$C$108,C983)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SUMIFS(RAB!$F$14:$F$108,RAB!$C$14:$C$108,C984)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SUMIFS(RAB!$F$14:$F$108,RAB!$C$14:$C$108,C985)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SUMIFS(RAB!$F$14:$F$108,RAB!$C$14:$C$108,C986)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SUMIFS(RAB!$F$14:$F$108,RAB!$C$14:$C$108,C987)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SUMIFS(RAB!$F$14:$F$108,RAB!$C$14:$C$108,C988)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SUMIFS(RAB!$F$14:$F$108,RAB!$C$14:$C$108,C989)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SUMIFS(RAB!$F$14:$F$108,RAB!$C$14:$C$108,C990)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SUMIFS(RAB!$F$14:$F$108,RAB!$C$14:$C$108,C991)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SUMIFS(RAB!$F$14:$F$108,RAB!$C$14:$C$108,C992)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SUMIFS(RAB!$F$14:$F$108,RAB!$C$14:$C$108,C993)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SUMIFS(RAB!$F$14:$F$108,RAB!$C$14:$C$108,C994)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SUMIFS(RAB!$F$14:$F$108,RAB!$C$14:$C$108,C995)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SUMIFS(RAB!$F$14:$F$108,RAB!$C$14:$C$108,C996)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SUMIFS(RAB!$F$14:$F$108,RAB!$C$14:$C$108,C997)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SUMIFS(RAB!$F$14:$F$108,RAB!$C$14:$C$108,C998)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SUMIFS(RAB!$F$14:$F$108,RAB!$C$14:$C$108,C999)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SUMIFS(RAB!$F$14:$F$108,RAB!$C$14:$C$108,C1000)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SUMIFS(RAB!$F$14:$F$108,RAB!$C$14:$C$108,C1001)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SUMIFS(RAB!$F$14:$F$108,RAB!$C$14:$C$108,C1002)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SUMIFS(RAB!$F$14:$F$108,RAB!$C$14:$C$108,C1003)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SUMIFS(RAB!$F$14:$F$108,RAB!$C$14:$C$108,C1004)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SUMIFS(RAB!$F$14:$F$108,RAB!$C$14:$C$108,C1005)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SUMIFS(RAB!$F$14:$F$108,RAB!$C$14:$C$108,C1006)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SUMIFS(RAB!$F$14:$F$108,RAB!$C$14:$C$108,C1007)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SUMIFS(RAB!$F$14:$F$108,RAB!$C$14:$C$108,C1008)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SUMIFS(RAB!$F$14:$F$108,RAB!$C$14:$C$108,C1009)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SUMIFS(RAB!$F$14:$F$108,RAB!$C$14:$C$108,C1010)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SUMIFS(RAB!$F$14:$F$108,RAB!$C$14:$C$108,C1011)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SUMIFS(RAB!$F$14:$F$108,RAB!$C$14:$C$108,C1012)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SUMIFS(RAB!$F$14:$F$108,RAB!$C$14:$C$108,C1013)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SUMIFS(RAB!$F$14:$F$108,RAB!$C$14:$C$108,C1014)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SUMIFS(RAB!$F$14:$F$108,RAB!$C$14:$C$108,C1015)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SUMIFS(RAB!$F$14:$F$108,RAB!$C$14:$C$108,C1016)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SUMIFS(RAB!$F$14:$F$108,RAB!$C$14:$C$108,C1017)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SUMIFS(RAB!$F$14:$F$108,RAB!$C$14:$C$108,C1018)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SUMIFS(RAB!$F$14:$F$108,RAB!$C$14:$C$108,C1019)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SUMIFS(RAB!$F$14:$F$108,RAB!$C$14:$C$108,C1020)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SUMIFS(RAB!$F$14:$F$108,RAB!$C$14:$C$108,C1021)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SUMIFS(RAB!$F$14:$F$108,RAB!$C$14:$C$108,C1022)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SUMIFS(RAB!$F$14:$F$108,RAB!$C$14:$C$108,C1023)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SUMIFS(RAB!$F$14:$F$108,RAB!$C$14:$C$108,C1024)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SUMIFS(RAB!$F$14:$F$108,RAB!$C$14:$C$108,C1025)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SUMIFS(RAB!$F$14:$F$108,RAB!$C$14:$C$108,C1026)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SUMIFS(RAB!$F$14:$F$108,RAB!$C$14:$C$108,C1027)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SUMIFS(RAB!$F$14:$F$108,RAB!$C$14:$C$108,C1028)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SUMIFS(RAB!$F$14:$F$108,RAB!$C$14:$C$108,C1029)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SUMIFS(RAB!$F$14:$F$108,RAB!$C$14:$C$108,C1030)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SUMIFS(RAB!$F$14:$F$108,RAB!$C$14:$C$108,C1031)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SUMIFS(RAB!$F$14:$F$108,RAB!$C$14:$C$108,C1032)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SUMIFS(RAB!$F$14:$F$108,RAB!$C$14:$C$108,C1033)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SUMIFS(RAB!$F$14:$F$108,RAB!$C$14:$C$108,C1034)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SUMIFS(RAB!$F$14:$F$108,RAB!$C$14:$C$108,C1035)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SUMIFS(RAB!$F$14:$F$108,RAB!$C$14:$C$108,C1036)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SUMIFS(RAB!$F$14:$F$108,RAB!$C$14:$C$108,C1037)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SUMIFS(RAB!$F$14:$F$108,RAB!$C$14:$C$108,C1038)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SUMIFS(RAB!$F$14:$F$108,RAB!$C$14:$C$108,C1039)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SUMIFS(RAB!$F$14:$F$108,RAB!$C$14:$C$108,C1040)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SUMIFS(RAB!$F$14:$F$108,RAB!$C$14:$C$108,C1041)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SUMIFS(RAB!$F$14:$F$108,RAB!$C$14:$C$108,C1042)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SUMIFS(RAB!$F$14:$F$108,RAB!$C$14:$C$108,C1043)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SUMIFS(RAB!$F$14:$F$108,RAB!$C$14:$C$108,C1044)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SUMIFS(RAB!$F$14:$F$108,RAB!$C$14:$C$108,C1045)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SUMIFS(RAB!$F$14:$F$108,RAB!$C$14:$C$108,C1046)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SUMIFS(RAB!$F$14:$F$108,RAB!$C$14:$C$108,C1047)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SUMIFS(RAB!$F$14:$F$108,RAB!$C$14:$C$108,C1048)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SUMIFS(RAB!$F$14:$F$108,RAB!$C$14:$C$108,C1049)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SUMIFS(RAB!$F$14:$F$108,RAB!$C$14:$C$108,C1050)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SUMIFS(RAB!$F$14:$F$108,RAB!$C$14:$C$108,C1051)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SUMIFS(RAB!$F$14:$F$108,RAB!$C$14:$C$108,C1052)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SUMIFS(RAB!$F$14:$F$108,RAB!$C$14:$C$108,C1053)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SUMIFS(RAB!$F$14:$F$108,RAB!$C$14:$C$108,C1054)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SUMIFS(RAB!$F$14:$F$108,RAB!$C$14:$C$108,C1055)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SUMIFS(RAB!$F$14:$F$108,RAB!$C$14:$C$108,C1056)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SUMIFS(RAB!$F$14:$F$108,RAB!$C$14:$C$108,C1057)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SUMIFS(RAB!$F$14:$F$108,RAB!$C$14:$C$108,C1058)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SUMIFS(RAB!$F$14:$F$108,RAB!$C$14:$C$108,C1059)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SUMIFS(RAB!$F$14:$F$108,RAB!$C$14:$C$108,C1060)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SUMIFS(RAB!$F$14:$F$108,RAB!$C$14:$C$108,C1061)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SUMIFS(RAB!$F$14:$F$108,RAB!$C$14:$C$108,C1062)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SUMIFS(RAB!$F$14:$F$108,RAB!$C$14:$C$108,C1063)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SUMIFS(RAB!$F$14:$F$108,RAB!$C$14:$C$108,C1064)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SUMIFS(RAB!$F$14:$F$108,RAB!$C$14:$C$108,C1065)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SUMIFS(RAB!$F$14:$F$108,RAB!$C$14:$C$108,C1066)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SUMIFS(RAB!$F$14:$F$108,RAB!$C$14:$C$108,C1067)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SUMIFS(RAB!$F$14:$F$108,RAB!$C$14:$C$108,C1068)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SUMIFS(RAB!$F$14:$F$108,RAB!$C$14:$C$108,C1069)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SUMIFS(RAB!$F$14:$F$108,RAB!$C$14:$C$108,C1070)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SUMIFS(RAB!$F$14:$F$108,RAB!$C$14:$C$108,C1071)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SUMIFS(RAB!$F$14:$F$108,RAB!$C$14:$C$108,C1072)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SUMIFS(RAB!$F$14:$F$108,RAB!$C$14:$C$108,C1073)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SUMIFS(RAB!$F$14:$F$108,RAB!$C$14:$C$108,C1074)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SUMIFS(RAB!$F$14:$F$108,RAB!$C$14:$C$108,C1075)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SUMIFS(RAB!$F$14:$F$108,RAB!$C$14:$C$108,C1076)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SUMIFS(RAB!$F$14:$F$108,RAB!$C$14:$C$108,C1077)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SUMIFS(RAB!$F$14:$F$108,RAB!$C$14:$C$108,C1078)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SUMIFS(RAB!$F$14:$F$108,RAB!$C$14:$C$108,C1079)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SUMIFS(RAB!$F$14:$F$108,RAB!$C$14:$C$108,C1080)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SUMIFS(RAB!$F$14:$F$108,RAB!$C$14:$C$108,C1081)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SUMIFS(RAB!$F$14:$F$108,RAB!$C$14:$C$108,C1082)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SUMIFS(RAB!$F$14:$F$108,RAB!$C$14:$C$108,C1083)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SUMIFS(RAB!$F$14:$F$108,RAB!$C$14:$C$108,C1084)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SUMIFS(RAB!$F$14:$F$108,RAB!$C$14:$C$108,C1085)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SUMIFS(RAB!$F$14:$F$108,RAB!$C$14:$C$108,C1086)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SUMIFS(RAB!$F$14:$F$108,RAB!$C$14:$C$108,C1087)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SUMIFS(RAB!$F$14:$F$108,RAB!$C$14:$C$108,C1088)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SUMIFS(RAB!$F$14:$F$108,RAB!$C$14:$C$108,C1089)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SUMIFS(RAB!$F$14:$F$108,RAB!$C$14:$C$108,C1090)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SUMIFS(RAB!$F$14:$F$108,RAB!$C$14:$C$108,C1091)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SUMIFS(RAB!$F$14:$F$108,RAB!$C$14:$C$108,C1092)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SUMIFS(RAB!$F$14:$F$108,RAB!$C$14:$C$108,C1093)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SUMIFS(RAB!$F$14:$F$108,RAB!$C$14:$C$108,C1094)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SUMIFS(RAB!$F$14:$F$108,RAB!$C$14:$C$108,C1095)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SUMIFS(RAB!$F$14:$F$108,RAB!$C$14:$C$108,C1096)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SUMIFS(RAB!$F$14:$F$108,RAB!$C$14:$C$108,C1097)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SUMIFS(RAB!$F$14:$F$108,RAB!$C$14:$C$108,C1098)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SUMIFS(RAB!$F$14:$F$108,RAB!$C$14:$C$108,C1099)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SUMIFS(RAB!$F$14:$F$108,RAB!$C$14:$C$108,C1100)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SUMIFS(RAB!$F$14:$F$108,RAB!$C$14:$C$108,C1101)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SUMIFS(RAB!$F$14:$F$108,RAB!$C$14:$C$108,C1102)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SUMIFS(RAB!$F$14:$F$108,RAB!$C$14:$C$108,C1103)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SUMIFS(RAB!$F$14:$F$108,RAB!$C$14:$C$108,C1104)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SUMIFS(RAB!$F$14:$F$108,RAB!$C$14:$C$108,C1105)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SUMIFS(RAB!$F$14:$F$108,RAB!$C$14:$C$108,C1106)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SUMIFS(RAB!$F$14:$F$108,RAB!$C$14:$C$108,C1107)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SUMIFS(RAB!$F$14:$F$108,RAB!$C$14:$C$108,C1108)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SUMIFS(RAB!$F$14:$F$108,RAB!$C$14:$C$108,C1109)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SUMIFS(RAB!$F$14:$F$108,RAB!$C$14:$C$108,C1110)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SUMIFS(RAB!$F$14:$F$108,RAB!$C$14:$C$108,C1111)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SUMIFS(RAB!$F$14:$F$108,RAB!$C$14:$C$108,C1112)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SUMIFS(RAB!$F$14:$F$108,RAB!$C$14:$C$108,C1113)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SUMIFS(RAB!$F$14:$F$108,RAB!$C$14:$C$108,C1114)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SUMIFS(RAB!$F$14:$F$108,RAB!$C$14:$C$108,C1115)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SUMIFS(RAB!$F$14:$F$108,RAB!$C$14:$C$108,C1116)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SUMIFS(RAB!$F$14:$F$108,RAB!$C$14:$C$108,C1117)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SUMIFS(RAB!$F$14:$F$108,RAB!$C$14:$C$108,C1118)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SUMIFS(RAB!$F$14:$F$108,RAB!$C$14:$C$108,C1119)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SUMIFS(RAB!$F$14:$F$108,RAB!$C$14:$C$108,C1120)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SUMIFS(RAB!$F$14:$F$108,RAB!$C$14:$C$108,C1121)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SUMIFS(RAB!$F$14:$F$108,RAB!$C$14:$C$108,C1122)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SUMIFS(RAB!$F$14:$F$108,RAB!$C$14:$C$108,C1123)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SUMIFS(RAB!$F$14:$F$108,RAB!$C$14:$C$108,C1124)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SUMIFS(RAB!$F$14:$F$108,RAB!$C$14:$C$108,C1125)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SUMIFS(RAB!$F$14:$F$108,RAB!$C$14:$C$108,C1126)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SUMIFS(RAB!$F$14:$F$108,RAB!$C$14:$C$108,C1127)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SUMIFS(RAB!$F$14:$F$108,RAB!$C$14:$C$108,C1128)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SUMIFS(RAB!$F$14:$F$108,RAB!$C$14:$C$108,C1129)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SUMIFS(RAB!$F$14:$F$108,RAB!$C$14:$C$108,C1130)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SUMIFS(RAB!$F$14:$F$108,RAB!$C$14:$C$108,C1131)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SUMIFS(RAB!$F$14:$F$108,RAB!$C$14:$C$108,C1132)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SUMIFS(RAB!$F$14:$F$108,RAB!$C$14:$C$108,C1133)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SUMIFS(RAB!$F$14:$F$108,RAB!$C$14:$C$108,C1134)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SUMIFS(RAB!$F$14:$F$108,RAB!$C$14:$C$108,C1135)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SUMIFS(RAB!$F$14:$F$108,RAB!$C$14:$C$108,C1136)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SUMIFS(RAB!$F$14:$F$108,RAB!$C$14:$C$108,C1137)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SUMIFS(RAB!$F$14:$F$108,RAB!$C$14:$C$108,C1138)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SUMIFS(RAB!$F$14:$F$108,RAB!$C$14:$C$108,C1139)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SUMIFS(RAB!$F$14:$F$108,RAB!$C$14:$C$108,C1140)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SUMIFS(RAB!$F$14:$F$108,RAB!$C$14:$C$108,C1141)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SUMIFS(RAB!$F$14:$F$108,RAB!$C$14:$C$108,C1142)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SUMIFS(RAB!$F$14:$F$108,RAB!$C$14:$C$108,C1143)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SUMIFS(RAB!$F$14:$F$108,RAB!$C$14:$C$108,C1144)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SUMIFS(RAB!$F$14:$F$108,RAB!$C$14:$C$108,C1145)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SUMIFS(RAB!$F$14:$F$108,RAB!$C$14:$C$108,C1146)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SUMIFS(RAB!$F$14:$F$108,RAB!$C$14:$C$108,C1147)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SUMIFS(RAB!$F$14:$F$108,RAB!$C$14:$C$108,C1148)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SUMIFS(RAB!$F$14:$F$108,RAB!$C$14:$C$108,C1149)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SUMIFS(RAB!$F$14:$F$108,RAB!$C$14:$C$108,C1150)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SUMIFS(RAB!$F$14:$F$108,RAB!$C$14:$C$108,C1151)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SUMIFS(RAB!$F$14:$F$108,RAB!$C$14:$C$108,C1152)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SUMIFS(RAB!$F$14:$F$108,RAB!$C$14:$C$108,C1153)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SUMIFS(RAB!$F$14:$F$108,RAB!$C$14:$C$108,C1154)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SUMIFS(RAB!$F$14:$F$108,RAB!$C$14:$C$108,C1155)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SUMIFS(RAB!$F$14:$F$108,RAB!$C$14:$C$108,C1156)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SUMIFS(RAB!$F$14:$F$108,RAB!$C$14:$C$108,C1157)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SUMIFS(RAB!$F$14:$F$108,RAB!$C$14:$C$108,C1158)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SUMIFS(RAB!$F$14:$F$108,RAB!$C$14:$C$108,C1159)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SUMIFS(RAB!$F$14:$F$108,RAB!$C$14:$C$108,C1160)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SUMIFS(RAB!$F$14:$F$108,RAB!$C$14:$C$108,C1161)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SUMIFS(RAB!$F$14:$F$108,RAB!$C$14:$C$108,C1162)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SUMIFS(RAB!$F$14:$F$108,RAB!$C$14:$C$108,C1163)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SUMIFS(RAB!$F$14:$F$108,RAB!$C$14:$C$108,C1164)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SUMIFS(RAB!$F$14:$F$108,RAB!$C$14:$C$108,C1165)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SUMIFS(RAB!$F$14:$F$108,RAB!$C$14:$C$108,C1166)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SUMIFS(RAB!$F$14:$F$108,RAB!$C$14:$C$108,C1167)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SUMIFS(RAB!$F$14:$F$108,RAB!$C$14:$C$108,C1168)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SUMIFS(RAB!$F$14:$F$108,RAB!$C$14:$C$108,C1169)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SUMIFS(RAB!$F$14:$F$108,RAB!$C$14:$C$108,C1170)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SUMIFS(RAB!$F$14:$F$108,RAB!$C$14:$C$108,C1171)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SUMIFS(RAB!$F$14:$F$108,RAB!$C$14:$C$108,C1172)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SUMIFS(RAB!$F$14:$F$108,RAB!$C$14:$C$108,C1173)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SUMIFS(RAB!$F$14:$F$108,RAB!$C$14:$C$108,C1174)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SUMIFS(RAB!$F$14:$F$108,RAB!$C$14:$C$108,C1175)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SUMIFS(RAB!$F$14:$F$108,RAB!$C$14:$C$108,C1176)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SUMIFS(RAB!$F$14:$F$108,RAB!$C$14:$C$108,C1177)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SUMIFS(RAB!$F$14:$F$108,RAB!$C$14:$C$108,C1178)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SUMIFS(RAB!$F$14:$F$108,RAB!$C$14:$C$108,C1179)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SUMIFS(RAB!$F$14:$F$108,RAB!$C$14:$C$108,C1180)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SUMIFS(RAB!$F$14:$F$108,RAB!$C$14:$C$108,C1181)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SUMIFS(RAB!$F$14:$F$108,RAB!$C$14:$C$108,C1182)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SUMIFS(RAB!$F$14:$F$108,RAB!$C$14:$C$108,C1183)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SUMIFS(RAB!$F$14:$F$108,RAB!$C$14:$C$108,C1184)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SUMIFS(RAB!$F$14:$F$108,RAB!$C$14:$C$108,C1185)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SUMIFS(RAB!$F$14:$F$108,RAB!$C$14:$C$108,C1186)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SUMIFS(RAB!$F$14:$F$108,RAB!$C$14:$C$108,C1187)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SUMIFS(RAB!$F$14:$F$108,RAB!$C$14:$C$108,C1188)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SUMIFS(RAB!$F$14:$F$108,RAB!$C$14:$C$108,C1189)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SUMIFS(RAB!$F$14:$F$108,RAB!$C$14:$C$108,C1190)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SUMIFS(RAB!$F$14:$F$108,RAB!$C$14:$C$108,C1191)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SUMIFS(RAB!$F$14:$F$108,RAB!$C$14:$C$108,C1192)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SUMIFS(RAB!$F$14:$F$108,RAB!$C$14:$C$108,C1193)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SUMIFS(RAB!$F$14:$F$108,RAB!$C$14:$C$108,C1194)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SUMIFS(RAB!$F$14:$F$108,RAB!$C$14:$C$108,C1195)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SUMIFS(RAB!$F$14:$F$108,RAB!$C$14:$C$108,C1196)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SUMIFS(RAB!$F$14:$F$108,RAB!$C$14:$C$108,C1197)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SUMIFS(RAB!$F$14:$F$108,RAB!$C$14:$C$108,C1198)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SUMIFS(RAB!$F$14:$F$108,RAB!$C$14:$C$108,C1199)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SUMIFS(RAB!$F$14:$F$108,RAB!$C$14:$C$108,C1200)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SUMIFS(RAB!$F$14:$F$108,RAB!$C$14:$C$108,C1201)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SUMIFS(RAB!$F$14:$F$108,RAB!$C$14:$C$108,C1202)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SUMIFS(RAB!$F$14:$F$108,RAB!$C$14:$C$108,C1203)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SUMIFS(RAB!$F$14:$F$108,RAB!$C$14:$C$108,C1204)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SUMIFS(RAB!$F$14:$F$108,RAB!$C$14:$C$108,C1205)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SUMIFS(RAB!$F$14:$F$108,RAB!$C$14:$C$108,C1206)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SUMIFS(RAB!$F$14:$F$108,RAB!$C$14:$C$108,C1207)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SUMIFS(RAB!$F$14:$F$108,RAB!$C$14:$C$108,C1208)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SUMIFS(RAB!$F$14:$F$108,RAB!$C$14:$C$108,C1209)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SUMIFS(RAB!$F$14:$F$108,RAB!$C$14:$C$108,C1210)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SUMIFS(RAB!$F$14:$F$108,RAB!$C$14:$C$108,C1211)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SUMIFS(RAB!$F$14:$F$108,RAB!$C$14:$C$108,C1212)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SUMIFS(RAB!$F$14:$F$108,RAB!$C$14:$C$108,C1213)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SUMIFS(RAB!$F$14:$F$108,RAB!$C$14:$C$108,C1214)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SUMIFS(RAB!$F$14:$F$108,RAB!$C$14:$C$108,C1215)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SUMIFS(RAB!$F$14:$F$108,RAB!$C$14:$C$108,C1216)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SUMIFS(RAB!$F$14:$F$108,RAB!$C$14:$C$108,C1217)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SUMIFS(RAB!$F$14:$F$108,RAB!$C$14:$C$108,C1218)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SUMIFS(RAB!$F$14:$F$108,RAB!$C$14:$C$108,C1219)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SUMIFS(RAB!$F$14:$F$108,RAB!$C$14:$C$108,C1220)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SUMIFS(RAB!$F$14:$F$108,RAB!$C$14:$C$108,C1221)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SUMIFS(RAB!$F$14:$F$108,RAB!$C$14:$C$108,C1222)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SUMIFS(RAB!$F$14:$F$108,RAB!$C$14:$C$108,C1223)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SUMIFS(RAB!$F$14:$F$108,RAB!$C$14:$C$108,C1224)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SUMIFS(RAB!$F$14:$F$108,RAB!$C$14:$C$108,C1225)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SUMIFS(RAB!$F$14:$F$108,RAB!$C$14:$C$108,C1226)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SUMIFS(RAB!$F$14:$F$108,RAB!$C$14:$C$108,C1227)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SUMIFS(RAB!$F$14:$F$108,RAB!$C$14:$C$108,C1228)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SUMIFS(RAB!$F$14:$F$108,RAB!$C$14:$C$108,C1229)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SUMIFS(RAB!$F$14:$F$108,RAB!$C$14:$C$108,C1230)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SUMIFS(RAB!$F$14:$F$108,RAB!$C$14:$C$108,C1231)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SUMIFS(RAB!$F$14:$F$108,RAB!$C$14:$C$108,C1232)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SUMIFS(RAB!$F$14:$F$108,RAB!$C$14:$C$108,C1233)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SUMIFS(RAB!$F$14:$F$108,RAB!$C$14:$C$108,C1234)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SUMIFS(RAB!$F$14:$F$108,RAB!$C$14:$C$108,C1235)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SUMIFS(RAB!$F$14:$F$108,RAB!$C$14:$C$108,C1236)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SUMIFS(RAB!$F$14:$F$108,RAB!$C$14:$C$108,C1237)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SUMIFS(RAB!$F$14:$F$108,RAB!$C$14:$C$108,C1238)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SUMIFS(RAB!$F$14:$F$108,RAB!$C$14:$C$108,C1239)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SUMIFS(RAB!$F$14:$F$108,RAB!$C$14:$C$108,C1240)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SUMIFS(RAB!$F$14:$F$108,RAB!$C$14:$C$108,C1241)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SUMIFS(RAB!$F$14:$F$108,RAB!$C$14:$C$108,C1242)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SUMIFS(RAB!$F$14:$F$108,RAB!$C$14:$C$108,C1243)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SUMIFS(RAB!$F$14:$F$108,RAB!$C$14:$C$108,C1244)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SUMIFS(RAB!$F$14:$F$108,RAB!$C$14:$C$108,C1245)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SUMIFS(RAB!$F$14:$F$108,RAB!$C$14:$C$108,C1246)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SUMIFS(RAB!$F$14:$F$108,RAB!$C$14:$C$108,C1247)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SUMIFS(RAB!$F$14:$F$108,RAB!$C$14:$C$108,C1248)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SUMIFS(RAB!$F$14:$F$108,RAB!$C$14:$C$108,C1249)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SUMIFS(RAB!$F$14:$F$108,RAB!$C$14:$C$108,C1250)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SUMIFS(RAB!$F$14:$F$108,RAB!$C$14:$C$108,C1251)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SUMIFS(RAB!$F$14:$F$108,RAB!$C$14:$C$108,C1252)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SUMIFS(RAB!$F$14:$F$108,RAB!$C$14:$C$108,C1253)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SUMIFS(RAB!$F$14:$F$108,RAB!$C$14:$C$108,C1254)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SUMIFS(RAB!$F$14:$F$108,RAB!$C$14:$C$108,C1255)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SUMIFS(RAB!$F$14:$F$108,RAB!$C$14:$C$108,C1256)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SUMIFS(RAB!$F$14:$F$108,RAB!$C$14:$C$108,C1257)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SUMIFS(RAB!$F$14:$F$108,RAB!$C$14:$C$108,C1258)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SUMIFS(RAB!$F$14:$F$108,RAB!$C$14:$C$108,C1259)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SUMIFS(RAB!$F$14:$F$108,RAB!$C$14:$C$108,C1260)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SUMIFS(RAB!$F$14:$F$108,RAB!$C$14:$C$108,C1261)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SUMIFS(RAB!$F$14:$F$108,RAB!$C$14:$C$108,C1262)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SUMIFS(RAB!$F$14:$F$108,RAB!$C$14:$C$108,C1263)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SUMIFS(RAB!$F$14:$F$108,RAB!$C$14:$C$108,C1264)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SUMIFS(RAB!$F$14:$F$108,RAB!$C$14:$C$108,C1265)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SUMIFS(RAB!$F$14:$F$108,RAB!$C$14:$C$108,C1266)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SUMIFS(RAB!$F$14:$F$108,RAB!$C$14:$C$108,C1267)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SUMIFS(RAB!$F$14:$F$108,RAB!$C$14:$C$108,C1268)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SUMIFS(RAB!$F$14:$F$108,RAB!$C$14:$C$108,C1269)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SUMIFS(RAB!$F$14:$F$108,RAB!$C$14:$C$108,C1270)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SUMIFS(RAB!$F$14:$F$108,RAB!$C$14:$C$108,C1271)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SUMIFS(RAB!$F$14:$F$108,RAB!$C$14:$C$108,C1272)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SUMIFS(RAB!$F$14:$F$108,RAB!$C$14:$C$108,C1273)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SUMIFS(RAB!$F$14:$F$108,RAB!$C$14:$C$108,C1274)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SUMIFS(RAB!$F$14:$F$108,RAB!$C$14:$C$108,C1275)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SUMIFS(RAB!$F$14:$F$108,RAB!$C$14:$C$108,C1276)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SUMIFS(RAB!$F$14:$F$108,RAB!$C$14:$C$108,C1277)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SUMIFS(RAB!$F$14:$F$108,RAB!$C$14:$C$108,C1278)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SUMIFS(RAB!$F$14:$F$108,RAB!$C$14:$C$108,C1279)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SUMIFS(RAB!$F$14:$F$108,RAB!$C$14:$C$108,C1280)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SUMIFS(RAB!$F$14:$F$108,RAB!$C$14:$C$108,C1281)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SUMIFS(RAB!$F$14:$F$108,RAB!$C$14:$C$108,C1282)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SUMIFS(RAB!$F$14:$F$108,RAB!$C$14:$C$108,C1283)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SUMIFS(RAB!$F$14:$F$108,RAB!$C$14:$C$108,C1284)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SUMIFS(RAB!$F$14:$F$108,RAB!$C$14:$C$108,C1285)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SUMIFS(RAB!$F$14:$F$108,RAB!$C$14:$C$108,C1286)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SUMIFS(RAB!$F$14:$F$108,RAB!$C$14:$C$108,C1287)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SUMIFS(RAB!$F$14:$F$108,RAB!$C$14:$C$108,C1288)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SUMIFS(RAB!$F$14:$F$108,RAB!$C$14:$C$108,C1289)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SUMIFS(RAB!$F$14:$F$108,RAB!$C$14:$C$108,C1290)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SUMIFS(RAB!$F$14:$F$108,RAB!$C$14:$C$108,C1291)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SUMIFS(RAB!$F$14:$F$108,RAB!$C$14:$C$108,C1292)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SUMIFS(RAB!$F$14:$F$108,RAB!$C$14:$C$108,C1293)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SUMIFS(RAB!$F$14:$F$108,RAB!$C$14:$C$108,C1294)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SUMIFS(RAB!$F$14:$F$108,RAB!$C$14:$C$108,C1295)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SUMIFS(RAB!$F$14:$F$108,RAB!$C$14:$C$108,C1296)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SUMIFS(RAB!$F$14:$F$108,RAB!$C$14:$C$108,C1297)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SUMIFS(RAB!$F$14:$F$108,RAB!$C$14:$C$108,C1298)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SUMIFS(RAB!$F$14:$F$108,RAB!$C$14:$C$108,C1299)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SUMIFS(RAB!$F$14:$F$108,RAB!$C$14:$C$108,C1300)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SUMIFS(RAB!$F$14:$F$108,RAB!$C$14:$C$108,C1301)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SUMIFS(RAB!$F$14:$F$108,RAB!$C$14:$C$108,C1302)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SUMIFS(RAB!$F$14:$F$108,RAB!$C$14:$C$108,C1303)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SUMIFS(RAB!$F$14:$F$108,RAB!$C$14:$C$108,C1304)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SUMIFS(RAB!$F$14:$F$108,RAB!$C$14:$C$108,C1305)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SUMIFS(RAB!$F$14:$F$108,RAB!$C$14:$C$108,C1306)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SUMIFS(RAB!$F$14:$F$108,RAB!$C$14:$C$108,C1307)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SUMIFS(RAB!$F$14:$F$108,RAB!$C$14:$C$108,C1308)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SUMIFS(RAB!$F$14:$F$108,RAB!$C$14:$C$108,C1309)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SUMIFS(RAB!$F$14:$F$108,RAB!$C$14:$C$108,C1310)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SUMIFS(RAB!$F$14:$F$108,RAB!$C$14:$C$108,C1311)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SUMIFS(RAB!$F$14:$F$108,RAB!$C$14:$C$108,C1312)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SUMIFS(RAB!$F$14:$F$108,RAB!$C$14:$C$108,C1313)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SUMIFS(RAB!$F$14:$F$108,RAB!$C$14:$C$108,C1314)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SUMIFS(RAB!$F$14:$F$108,RAB!$C$14:$C$108,C1315)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SUMIFS(RAB!$F$14:$F$108,RAB!$C$14:$C$108,C1316)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SUMIFS(RAB!$F$14:$F$108,RAB!$C$14:$C$108,C1317)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SUMIFS(RAB!$F$14:$F$108,RAB!$C$14:$C$108,C1318)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SUMIFS(RAB!$F$14:$F$108,RAB!$C$14:$C$108,C1319)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SUMIFS(RAB!$F$14:$F$108,RAB!$C$14:$C$108,C1320)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1127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PD BTS SLAMET 11-13,2KVA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TAMBIREJO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3" t="s">
        <v>1008</v>
      </c>
      <c r="D38" s="563"/>
      <c r="E38" s="563"/>
      <c r="F38" s="56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64" t="s">
        <v>462</v>
      </c>
      <c r="D39" s="564"/>
      <c r="E39" s="564"/>
      <c r="F39" s="56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5" t="s">
        <v>463</v>
      </c>
      <c r="D40" s="555"/>
      <c r="E40" s="555"/>
      <c r="F40" s="55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6" t="e">
        <f ca="1">"Terbilang : ( "&amp;L42&amp;" Rupiah )"</f>
        <v>#NAME?</v>
      </c>
      <c r="C41" s="557"/>
      <c r="D41" s="557"/>
      <c r="E41" s="557"/>
      <c r="F41" s="557"/>
      <c r="G41" s="557"/>
      <c r="H41" s="557"/>
      <c r="I41" s="557"/>
      <c r="J41" s="557"/>
      <c r="K41" s="558"/>
      <c r="L41" s="44"/>
      <c r="R41" s="58"/>
      <c r="S41" s="58"/>
      <c r="T41" s="58"/>
    </row>
    <row r="42" spans="1:20" s="36" customFormat="1">
      <c r="A42" s="30"/>
      <c r="B42" s="559"/>
      <c r="C42" s="560"/>
      <c r="D42" s="560"/>
      <c r="E42" s="560"/>
      <c r="F42" s="560"/>
      <c r="G42" s="560"/>
      <c r="H42" s="560"/>
      <c r="I42" s="560"/>
      <c r="J42" s="560"/>
      <c r="K42" s="56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0"/>
      <c r="I45" s="550"/>
      <c r="J45" s="551"/>
      <c r="K45" s="55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0"/>
      <c r="I46" s="550"/>
      <c r="J46" s="551"/>
      <c r="K46" s="55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0"/>
      <c r="I47" s="550"/>
      <c r="J47" s="551"/>
      <c r="K47" s="55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0"/>
      <c r="I52" s="550"/>
      <c r="J52" s="551"/>
      <c r="K52" s="55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SUMIFS(RAB!$F$14:$F$108,RAB!$C$14:$C$108,'REKAP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SUMIFS(RAB!$F$14:$F$108,RAB!$C$14:$C$108,'REKAP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SUMIFS(RAB!$F$14:$F$108,RAB!$C$14:$C$108,'REKAP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SUMIFS(RAB!$F$14:$F$108,RAB!$C$14:$C$108,'REKAP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SUMIFS(RAB!$F$14:$F$108,RAB!$C$14:$C$108,'REKAP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SUMIFS(RAB!$F$14:$F$108,RAB!$C$14:$C$108,'REKAP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SUMIFS(RAB!$F$14:$F$108,RAB!$C$14:$C$108,'REKAP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SUMIFS(RAB!$F$14:$F$108,RAB!$C$14:$C$108,'REKAP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SUMIFS(RAB!$F$14:$F$108,RAB!$C$14:$C$108,'REKAP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SUMIFS(RAB!$F$14:$F$108,RAB!$C$14:$C$108,'REKAP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SUMIFS(RAB!$F$14:$F$108,RAB!$C$14:$C$108,'REKAP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SUMIFS(RAB!$F$14:$F$108,RAB!$C$14:$C$108,'REKAP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SUMIFS(RAB!$F$14:$F$108,RAB!$C$14:$C$108,'REKAP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SUMIFS(RAB!$F$14:$F$108,RAB!$C$14:$C$108,'REKAP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SUMIFS(RAB!$F$14:$F$108,RAB!$C$14:$C$108,'REKAP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SUMIFS(RAB!$F$14:$F$108,RAB!$C$14:$C$108,'REKAP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SUMIFS(RAB!$F$14:$F$108,RAB!$C$14:$C$108,'REKAP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SUMIFS(RAB!$F$14:$F$108,RAB!$C$14:$C$108,'REKAP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SUMIFS(RAB!$F$14:$F$108,RAB!$C$14:$C$108,'REKAP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SUMIFS(RAB!$F$14:$F$108,RAB!$C$14:$C$108,'REKAP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E21" sqref="E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1034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PD BTS SLAMET 11-13,2KVA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TAMBIREJO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13.2 kVA MCCB 20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360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19620000</v>
      </c>
      <c r="I22" s="42">
        <f t="shared" ca="1" si="2"/>
        <v>0</v>
      </c>
      <c r="J22" s="42">
        <f t="shared" ca="1" si="3"/>
        <v>0</v>
      </c>
      <c r="K22" s="43">
        <f t="shared" ca="1" si="0"/>
        <v>19620000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45</v>
      </c>
      <c r="G23" s="41">
        <f ca="1">IF(ISERROR(OFFSET('HARGA SATUAN'!$I$6,MATCH(C23,'HARGA SATUAN'!$C$7:$C$1495,0),0)),"",OFFSET('HARGA SATUAN'!$I$6,MATCH(C23,'HARGA SATUAN'!$C$7:$C$1495,0),0))</f>
        <v>13500</v>
      </c>
      <c r="H23" s="42">
        <f t="shared" ca="1" si="1"/>
        <v>607500</v>
      </c>
      <c r="I23" s="42">
        <f t="shared" ca="1" si="2"/>
        <v>0</v>
      </c>
      <c r="J23" s="42">
        <f t="shared" ca="1" si="3"/>
        <v>0</v>
      </c>
      <c r="K23" s="43">
        <f t="shared" ca="1" si="0"/>
        <v>607500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3" t="s">
        <v>1008</v>
      </c>
      <c r="D168" s="563"/>
      <c r="E168" s="563"/>
      <c r="F168" s="563"/>
      <c r="G168" s="77" t="s">
        <v>9</v>
      </c>
      <c r="H168" s="55">
        <f ca="1">SUM(H14:H167)</f>
        <v>72827250</v>
      </c>
      <c r="I168" s="55">
        <f ca="1">SUM(I14:I167)</f>
        <v>0</v>
      </c>
      <c r="J168" s="55">
        <f ca="1">SUM(J14:J167)</f>
        <v>0</v>
      </c>
      <c r="K168" s="55">
        <f ca="1">SUM(K14:K167)</f>
        <v>72827250</v>
      </c>
      <c r="L168" s="44"/>
      <c r="R168" s="99"/>
      <c r="S168" s="99"/>
      <c r="T168" s="99"/>
    </row>
    <row r="169" spans="1:20" s="36" customFormat="1">
      <c r="A169" s="30"/>
      <c r="B169" s="56"/>
      <c r="C169" s="564" t="s">
        <v>462</v>
      </c>
      <c r="D169" s="564"/>
      <c r="E169" s="564"/>
      <c r="F169" s="564"/>
      <c r="G169" s="59" t="s">
        <v>9</v>
      </c>
      <c r="H169" s="60">
        <f ca="1">H168*0.1</f>
        <v>7282725</v>
      </c>
      <c r="I169" s="60">
        <f ca="1">I168*0.1</f>
        <v>0</v>
      </c>
      <c r="J169" s="60">
        <f ca="1">J168*0.1</f>
        <v>0</v>
      </c>
      <c r="K169" s="60">
        <f ca="1">K168*0.1</f>
        <v>7282725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5" t="s">
        <v>463</v>
      </c>
      <c r="D170" s="555"/>
      <c r="E170" s="555"/>
      <c r="F170" s="555"/>
      <c r="G170" s="61" t="s">
        <v>9</v>
      </c>
      <c r="H170" s="78">
        <f ca="1">SUM(H168:H169)</f>
        <v>80109975</v>
      </c>
      <c r="I170" s="78">
        <f ca="1">SUM(I168:I169)</f>
        <v>0</v>
      </c>
      <c r="J170" s="61">
        <f ca="1">SUM(J168:J169)</f>
        <v>0</v>
      </c>
      <c r="K170" s="61">
        <f ca="1">SUM(K168:K169)</f>
        <v>80109975</v>
      </c>
      <c r="L170" s="44"/>
      <c r="R170" s="99"/>
      <c r="S170" s="99"/>
      <c r="T170" s="99"/>
    </row>
    <row r="171" spans="1:20" s="36" customFormat="1">
      <c r="A171" s="30"/>
      <c r="B171" s="556" t="e">
        <f ca="1">"Terbilang : ( "&amp;L172&amp;" Rupiah )"</f>
        <v>#NAME?</v>
      </c>
      <c r="C171" s="557"/>
      <c r="D171" s="557"/>
      <c r="E171" s="557"/>
      <c r="F171" s="557"/>
      <c r="G171" s="557"/>
      <c r="H171" s="557"/>
      <c r="I171" s="557"/>
      <c r="J171" s="557"/>
      <c r="K171" s="558"/>
      <c r="L171" s="44"/>
      <c r="R171" s="58"/>
      <c r="S171" s="58"/>
      <c r="T171" s="58"/>
    </row>
    <row r="172" spans="1:20" s="36" customFormat="1">
      <c r="A172" s="30"/>
      <c r="B172" s="559"/>
      <c r="C172" s="560"/>
      <c r="D172" s="560"/>
      <c r="E172" s="560"/>
      <c r="F172" s="560"/>
      <c r="G172" s="560"/>
      <c r="H172" s="560"/>
      <c r="I172" s="560"/>
      <c r="J172" s="560"/>
      <c r="K172" s="56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0"/>
      <c r="I175" s="550"/>
      <c r="J175" s="551"/>
      <c r="K175" s="55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0"/>
      <c r="I176" s="550"/>
      <c r="J176" s="551"/>
      <c r="K176" s="55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0"/>
      <c r="I177" s="550"/>
      <c r="J177" s="551"/>
      <c r="K177" s="55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0"/>
      <c r="I182" s="550"/>
      <c r="J182" s="551"/>
      <c r="K182" s="55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SUMIFS(RAB!$F$14:$F$108,RAB!$C$14:$C$108,C224)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SUMIFS(RAB!$F$14:$F$108,RAB!$C$14:$C$108,C225)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SUMIFS(RAB!$F$14:$F$108,RAB!$C$14:$C$108,C226)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SUMIFS(RAB!$F$14:$F$108,RAB!$C$14:$C$108,C227)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SUMIFS(RAB!$F$14:$F$108,RAB!$C$14:$C$108,C228)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SUMIFS(RAB!$F$14:$F$108,RAB!$C$14:$C$108,C229)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SUMIFS(RAB!$F$14:$F$108,RAB!$C$14:$C$108,C230)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SUMIFS(RAB!$F$14:$F$108,RAB!$C$14:$C$108,C231)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SUMIFS(RAB!$F$14:$F$108,RAB!$C$14:$C$108,C232)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SUMIFS(RAB!$F$14:$F$108,RAB!$C$14:$C$108,C233)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SUMIFS(RAB!$F$14:$F$108,RAB!$C$14:$C$108,C234)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SUMIFS(RAB!$F$14:$F$108,RAB!$C$14:$C$108,C235)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SUMIFS(RAB!$F$14:$F$108,RAB!$C$14:$C$108,C236)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SUMIFS(RAB!$F$14:$F$108,RAB!$C$14:$C$108,C237)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SUMIFS(RAB!$F$14:$F$108,RAB!$C$14:$C$108,C238)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SUMIFS(RAB!$F$14:$F$108,RAB!$C$14:$C$108,C239)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SUMIFS(RAB!$F$14:$F$108,RAB!$C$14:$C$108,C240)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SUMIFS(RAB!$F$14:$F$108,RAB!$C$14:$C$108,C241)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SUMIFS(RAB!$F$14:$F$108,RAB!$C$14:$C$108,C242)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SUMIFS(RAB!$F$14:$F$108,RAB!$C$14:$C$108,C243)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SUMIFS(RAB!$F$14:$F$108,RAB!$C$14:$C$108,C244)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SUMIFS(RAB!$F$14:$F$108,RAB!$C$14:$C$108,C245)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SUMIFS(RAB!$F$14:$F$108,RAB!$C$14:$C$108,C246)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SUMIFS(RAB!$F$14:$F$108,RAB!$C$14:$C$108,C247)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SUMIFS(RAB!$F$14:$F$108,RAB!$C$14:$C$108,C248)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SUMIFS(RAB!$F$14:$F$108,RAB!$C$14:$C$108,C249)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SUMIFS(RAB!$F$14:$F$108,RAB!$C$14:$C$108,C250)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SUMIFS(RAB!$F$14:$F$108,RAB!$C$14:$C$108,C251)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SUMIFS(RAB!$F$14:$F$108,RAB!$C$14:$C$108,C252)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SUMIFS(RAB!$F$14:$F$108,RAB!$C$14:$C$108,C253)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SUMIFS(RAB!$F$14:$F$108,RAB!$C$14:$C$108,C254)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SUMIFS(RAB!$F$14:$F$108,RAB!$C$14:$C$108,C255)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SUMIFS(RAB!$F$14:$F$108,RAB!$C$14:$C$108,C256)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SUMIFS(RAB!$F$14:$F$108,RAB!$C$14:$C$108,C257)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SUMIFS(RAB!$F$14:$F$108,RAB!$C$14:$C$108,C258)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SUMIFS(RAB!$F$14:$F$108,RAB!$C$14:$C$108,C259)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SUMIFS(RAB!$F$14:$F$108,RAB!$C$14:$C$108,C260)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SUMIFS(RAB!$F$14:$F$108,RAB!$C$14:$C$108,C261)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SUMIFS(RAB!$F$14:$F$108,RAB!$C$14:$C$108,C262)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SUMIFS(RAB!$F$14:$F$108,RAB!$C$14:$C$108,C263)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SUMIFS(RAB!$F$14:$F$108,RAB!$C$14:$C$108,C264)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SUMIFS(RAB!$F$14:$F$108,RAB!$C$14:$C$108,C265)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SUMIFS(RAB!$F$14:$F$108,RAB!$C$14:$C$108,C266)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SUMIFS(RAB!$F$14:$F$108,RAB!$C$14:$C$108,C267)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SUMIFS(RAB!$F$14:$F$108,RAB!$C$14:$C$108,C268)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SUMIFS(RAB!$F$14:$F$108,RAB!$C$14:$C$108,C269)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SUMIFS(RAB!$F$14:$F$108,RAB!$C$14:$C$108,C270)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SUMIFS(RAB!$F$14:$F$108,RAB!$C$14:$C$108,C271)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SUMIFS(RAB!$F$14:$F$108,RAB!$C$14:$C$108,C272)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SUMIFS(RAB!$F$14:$F$108,RAB!$C$14:$C$108,C273)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SUMIFS(RAB!$F$14:$F$108,RAB!$C$14:$C$108,C274)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SUMIFS(RAB!$F$14:$F$108,RAB!$C$14:$C$108,C275)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SUMIFS(RAB!$F$14:$F$108,RAB!$C$14:$C$108,C276)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SUMIFS(RAB!$F$14:$F$108,RAB!$C$14:$C$108,C277)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SUMIFS(RAB!$F$14:$F$108,RAB!$C$14:$C$108,C278)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SUMIFS(RAB!$F$14:$F$108,RAB!$C$14:$C$108,C279)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SUMIFS(RAB!$F$14:$F$108,RAB!$C$14:$C$108,C280)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SUMIFS(RAB!$F$14:$F$108,RAB!$C$14:$C$108,C281)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SUMIFS(RAB!$F$14:$F$108,RAB!$C$14:$C$108,C282)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SUMIFS(RAB!$F$14:$F$108,RAB!$C$14:$C$108,C283)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SUMIFS(RAB!$F$14:$F$108,RAB!$C$14:$C$108,C284)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SUMIFS(RAB!$F$14:$F$108,RAB!$C$14:$C$108,C285)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SUMIFS(RAB!$F$14:$F$108,RAB!$C$14:$C$108,C286)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SUMIFS(RAB!$F$14:$F$108,RAB!$C$14:$C$108,C287)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SUMIFS(RAB!$F$14:$F$108,RAB!$C$14:$C$108,C288)</f>
        <v>1</v>
      </c>
      <c r="E288" s="24">
        <f t="shared" ca="1" si="21"/>
        <v>1</v>
      </c>
      <c r="F288" s="24">
        <f ca="1">IF(D288=0,0,SUM($E$223:E288))</f>
        <v>2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SUMIFS(RAB!$F$14:$F$108,RAB!$C$14:$C$108,C289)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SUMIFS(RAB!$F$14:$F$108,RAB!$C$14:$C$108,C290)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SUMIFS(RAB!$F$14:$F$108,RAB!$C$14:$C$108,C291)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SUMIFS(RAB!$F$14:$F$108,RAB!$C$14:$C$108,C292)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SUMIFS(RAB!$F$14:$F$108,RAB!$C$14:$C$108,C293)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SUMIFS(RAB!$F$14:$F$108,RAB!$C$14:$C$108,C294)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SUMIFS(RAB!$F$14:$F$108,RAB!$C$14:$C$108,C295)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SUMIFS(RAB!$F$14:$F$108,RAB!$C$14:$C$108,C296)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SUMIFS(RAB!$F$14:$F$108,RAB!$C$14:$C$108,C297)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SUMIFS(RAB!$F$14:$F$108,RAB!$C$14:$C$108,C298)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SUMIFS(RAB!$F$14:$F$108,RAB!$C$14:$C$108,C299)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SUMIFS(RAB!$F$14:$F$108,RAB!$C$14:$C$108,C300)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SUMIFS(RAB!$F$14:$F$108,RAB!$C$14:$C$108,C301)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SUMIFS(RAB!$F$14:$F$108,RAB!$C$14:$C$108,C302)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SUMIFS(RAB!$F$14:$F$108,RAB!$C$14:$C$108,C303)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SUMIFS(RAB!$F$14:$F$108,RAB!$C$14:$C$108,C304)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SUMIFS(RAB!$F$14:$F$108,RAB!$C$14:$C$108,C305)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SUMIFS(RAB!$F$14:$F$108,RAB!$C$14:$C$108,C306)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SUMIFS(RAB!$F$14:$F$108,RAB!$C$14:$C$108,C307)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SUMIFS(RAB!$F$14:$F$108,RAB!$C$14:$C$108,C308)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SUMIFS(RAB!$F$14:$F$108,RAB!$C$14:$C$108,C309)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SUMIFS(RAB!$F$14:$F$108,RAB!$C$14:$C$108,C310)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SUMIFS(RAB!$F$14:$F$108,RAB!$C$14:$C$108,C311)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SUMIFS(RAB!$F$14:$F$108,RAB!$C$14:$C$108,C312)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SUMIFS(RAB!$F$14:$F$108,RAB!$C$14:$C$108,C313)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SUMIFS(RAB!$F$14:$F$108,RAB!$C$14:$C$108,C314)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SUMIFS(RAB!$F$14:$F$108,RAB!$C$14:$C$108,C315)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SUMIFS(RAB!$F$14:$F$108,RAB!$C$14:$C$108,C316)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SUMIFS(RAB!$F$14:$F$108,RAB!$C$14:$C$108,C317)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SUMIFS(RAB!$F$14:$F$108,RAB!$C$14:$C$108,C318)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SUMIFS(RAB!$F$14:$F$108,RAB!$C$14:$C$108,C319)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SUMIFS(RAB!$F$14:$F$108,RAB!$C$14:$C$108,C320)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SUMIFS(RAB!$F$14:$F$108,RAB!$C$14:$C$108,C321)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SUMIFS(RAB!$F$14:$F$108,RAB!$C$14:$C$108,C322)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SUMIFS(RAB!$F$14:$F$108,RAB!$C$14:$C$108,C323)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SUMIFS(RAB!$F$14:$F$108,RAB!$C$14:$C$108,C324)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SUMIFS(RAB!$F$14:$F$108,RAB!$C$14:$C$108,C325)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SUMIFS(RAB!$F$14:$F$108,RAB!$C$14:$C$108,C326)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SUMIFS(RAB!$F$14:$F$108,RAB!$C$14:$C$108,C327)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SUMIFS(RAB!$F$14:$F$108,RAB!$C$14:$C$108,C328)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SUMIFS(RAB!$F$14:$F$108,RAB!$C$14:$C$108,C329)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SUMIFS(RAB!$F$14:$F$108,RAB!$C$14:$C$108,C330)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SUMIFS(RAB!$F$14:$F$108,RAB!$C$14:$C$108,C331)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SUMIFS(RAB!$F$14:$F$108,RAB!$C$14:$C$108,C332)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SUMIFS(RAB!$F$14:$F$108,RAB!$C$14:$C$108,C333)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SUMIFS(RAB!$F$14:$F$108,RAB!$C$14:$C$108,C334)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SUMIFS(RAB!$F$14:$F$108,RAB!$C$14:$C$108,C335)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SUMIFS(RAB!$F$14:$F$108,RAB!$C$14:$C$108,C336)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SUMIFS(RAB!$F$14:$F$108,RAB!$C$14:$C$108,C337)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SUMIFS(RAB!$F$14:$F$108,RAB!$C$14:$C$108,C338)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SUMIFS(RAB!$F$14:$F$108,RAB!$C$14:$C$108,C339)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SUMIFS(RAB!$F$14:$F$108,RAB!$C$14:$C$108,C340)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SUMIFS(RAB!$F$14:$F$108,RAB!$C$14:$C$108,C341)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SUMIFS(RAB!$F$14:$F$108,RAB!$C$14:$C$108,C342)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SUMIFS(RAB!$F$14:$F$108,RAB!$C$14:$C$108,C343)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SUMIFS(RAB!$F$14:$F$108,RAB!$C$14:$C$108,C344)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SUMIFS(RAB!$F$14:$F$108,RAB!$C$14:$C$108,C345)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SUMIFS(RAB!$F$14:$F$108,RAB!$C$14:$C$108,C346)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SUMIFS(RAB!$F$14:$F$108,RAB!$C$14:$C$108,C347)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SUMIFS(RAB!$F$14:$F$108,RAB!$C$14:$C$108,C348)</f>
        <v>360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SUMIFS(RAB!$F$14:$F$108,RAB!$C$14:$C$108,C349)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SUMIFS(RAB!$F$14:$F$108,RAB!$C$14:$C$108,C350)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SUMIFS(RAB!$F$14:$F$108,RAB!$C$14:$C$108,C351)</f>
        <v>45</v>
      </c>
      <c r="E351" s="24">
        <f t="shared" ca="1" si="22"/>
        <v>1</v>
      </c>
      <c r="F351" s="24">
        <f ca="1">IF(D351=0,0,SUM($E$223:E351))</f>
        <v>8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SUMIFS(RAB!$F$14:$F$108,RAB!$C$14:$C$108,C352)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SUMIFS(RAB!$F$14:$F$108,RAB!$C$14:$C$108,C353)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SUMIFS(RAB!$F$14:$F$108,RAB!$C$14:$C$108,C354)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SUMIFS(RAB!$F$14:$F$108,RAB!$C$14:$C$108,C355)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SUMIFS(RAB!$F$14:$F$108,RAB!$C$14:$C$108,C356)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SUMIFS(RAB!$F$14:$F$108,RAB!$C$14:$C$108,C357)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SUMIFS(RAB!$F$14:$F$108,RAB!$C$14:$C$108,C358)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SUMIFS(RAB!$F$14:$F$108,RAB!$C$14:$C$108,C359)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SUMIFS(RAB!$F$14:$F$108,RAB!$C$14:$C$108,C360)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SUMIFS(RAB!$F$14:$F$108,RAB!$C$14:$C$108,C361)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SUMIFS(RAB!$F$14:$F$108,RAB!$C$14:$C$108,C362)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SUMIFS(RAB!$F$14:$F$108,RAB!$C$14:$C$108,C363)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SUMIFS(RAB!$F$14:$F$108,RAB!$C$14:$C$108,C364)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SUMIFS(RAB!$F$14:$F$108,RAB!$C$14:$C$108,C365)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SUMIFS(RAB!$F$14:$F$108,RAB!$C$14:$C$108,C366)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SUMIFS(RAB!$F$14:$F$108,RAB!$C$14:$C$108,C367)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SUMIFS(RAB!$F$14:$F$108,RAB!$C$14:$C$108,C368)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SUMIFS(RAB!$F$14:$F$108,RAB!$C$14:$C$108,C369)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SUMIFS(RAB!$F$14:$F$108,RAB!$C$14:$C$108,C370)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SUMIFS(RAB!$F$14:$F$108,RAB!$C$14:$C$108,C371)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SUMIFS(RAB!$F$14:$F$108,RAB!$C$14:$C$108,C372)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SUMIFS(RAB!$F$14:$F$108,RAB!$C$14:$C$108,C373)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2" sqref="C144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6" t="s">
        <v>41</v>
      </c>
      <c r="C2" s="56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7" t="s">
        <v>23</v>
      </c>
      <c r="C4" s="568" t="s">
        <v>1012</v>
      </c>
      <c r="D4" s="568" t="s">
        <v>42</v>
      </c>
      <c r="E4" s="567" t="s">
        <v>43</v>
      </c>
      <c r="F4" s="108" t="s">
        <v>1599</v>
      </c>
      <c r="G4" s="108" t="s">
        <v>1598</v>
      </c>
      <c r="H4" s="56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7"/>
      <c r="C5" s="568"/>
      <c r="D5" s="568"/>
      <c r="E5" s="567"/>
      <c r="F5" s="93"/>
      <c r="G5" s="93"/>
      <c r="H5" s="56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O27"/>
  <sheetViews>
    <sheetView topLeftCell="A7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5" s="194" customFormat="1" ht="18.75" customHeight="1">
      <c r="B2" s="600" t="s">
        <v>1453</v>
      </c>
      <c r="C2" s="600"/>
      <c r="D2" s="600"/>
      <c r="E2" s="600"/>
      <c r="I2" s="195"/>
    </row>
    <row r="3" spans="1:15" s="194" customFormat="1" ht="13.5" customHeight="1" thickBot="1">
      <c r="B3" s="225"/>
      <c r="C3" s="225"/>
      <c r="D3" s="225"/>
      <c r="E3" s="225"/>
      <c r="I3" s="195"/>
    </row>
    <row r="4" spans="1:15" s="194" customFormat="1" ht="29.25" customHeight="1">
      <c r="A4" s="198"/>
      <c r="B4" s="605" t="s">
        <v>1528</v>
      </c>
      <c r="C4" s="606"/>
      <c r="D4" s="606"/>
      <c r="E4" s="607"/>
      <c r="F4" s="372"/>
      <c r="G4" s="372"/>
      <c r="H4" s="373"/>
      <c r="I4" s="569" t="s">
        <v>1529</v>
      </c>
      <c r="J4" s="570"/>
      <c r="K4" s="570"/>
      <c r="L4" s="571"/>
    </row>
    <row r="5" spans="1:15" ht="34.5" customHeight="1">
      <c r="A5" s="193"/>
      <c r="B5" s="375" t="s">
        <v>1378</v>
      </c>
      <c r="C5" s="224" t="s">
        <v>9</v>
      </c>
      <c r="D5" s="601" t="str">
        <f>DATA!D14</f>
        <v>PD BTS SLAMET 11-13,2KVA</v>
      </c>
      <c r="E5" s="602"/>
      <c r="F5" s="197"/>
      <c r="G5" s="197"/>
      <c r="I5" s="376" t="s">
        <v>1378</v>
      </c>
      <c r="J5" s="224" t="s">
        <v>9</v>
      </c>
      <c r="K5" s="572" t="str">
        <f>D5</f>
        <v>PD BTS SLAMET 11-13,2KVA</v>
      </c>
      <c r="L5" s="573"/>
    </row>
    <row r="6" spans="1:15" ht="31.5" customHeight="1">
      <c r="A6" s="193"/>
      <c r="B6" s="375" t="s">
        <v>1525</v>
      </c>
      <c r="C6" s="224" t="s">
        <v>9</v>
      </c>
      <c r="D6" s="610">
        <f>DATA!D17*1000</f>
        <v>11000</v>
      </c>
      <c r="E6" s="611"/>
      <c r="F6" s="197"/>
      <c r="G6" s="197"/>
      <c r="I6" s="376" t="s">
        <v>1526</v>
      </c>
      <c r="J6" s="224" t="s">
        <v>9</v>
      </c>
      <c r="K6" s="574">
        <f>DATA!D20*1000</f>
        <v>13200</v>
      </c>
      <c r="L6" s="575"/>
    </row>
    <row r="7" spans="1:15" ht="30.75" customHeight="1">
      <c r="A7" s="193"/>
      <c r="B7" s="375" t="s">
        <v>1440</v>
      </c>
      <c r="C7" s="224" t="s">
        <v>9</v>
      </c>
      <c r="D7" s="608">
        <f>DATA!D18</f>
        <v>1</v>
      </c>
      <c r="E7" s="609"/>
      <c r="F7" s="374" t="s">
        <v>1452</v>
      </c>
      <c r="I7" s="376" t="s">
        <v>1440</v>
      </c>
      <c r="J7" s="224" t="s">
        <v>9</v>
      </c>
      <c r="K7" s="576">
        <f>DATA!D21</f>
        <v>3</v>
      </c>
      <c r="L7" s="577"/>
    </row>
    <row r="8" spans="1:15" ht="51" customHeight="1">
      <c r="A8" s="193"/>
      <c r="B8" s="375" t="s">
        <v>1441</v>
      </c>
      <c r="C8" s="224" t="s">
        <v>9</v>
      </c>
      <c r="D8" s="608">
        <f>DATA!D19</f>
        <v>220</v>
      </c>
      <c r="E8" s="609"/>
      <c r="F8" s="374" t="s">
        <v>1452</v>
      </c>
      <c r="G8" s="369">
        <v>220</v>
      </c>
      <c r="I8" s="376" t="s">
        <v>1441</v>
      </c>
      <c r="J8" s="224" t="s">
        <v>9</v>
      </c>
      <c r="K8" s="576">
        <f>DATA!D22</f>
        <v>380</v>
      </c>
      <c r="L8" s="577"/>
    </row>
    <row r="9" spans="1:15" ht="30" customHeight="1" thickBot="1">
      <c r="A9" s="193"/>
      <c r="B9" s="381" t="s">
        <v>1537</v>
      </c>
      <c r="C9" s="371" t="s">
        <v>9</v>
      </c>
      <c r="D9" s="603">
        <f>IF(D7=1,D6/(380/3^0.5),(D6/(380*3^0.5)))</f>
        <v>50.138312850678027</v>
      </c>
      <c r="E9" s="604"/>
      <c r="F9" s="196"/>
      <c r="G9" s="370">
        <v>380</v>
      </c>
      <c r="I9" s="382" t="s">
        <v>1537</v>
      </c>
      <c r="J9" s="371" t="s">
        <v>9</v>
      </c>
      <c r="K9" s="580">
        <f>IF(K7=1,K6/(380/3^0.5),(K6/(380*3^0.5)))</f>
        <v>20.055325140271211</v>
      </c>
      <c r="L9" s="581"/>
    </row>
    <row r="10" spans="1:15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5" ht="16.5" thickBot="1">
      <c r="B11" s="377" t="s">
        <v>1538</v>
      </c>
      <c r="I11" s="377" t="s">
        <v>1532</v>
      </c>
    </row>
    <row r="12" spans="1:15" ht="34.5" customHeight="1">
      <c r="A12" s="193"/>
      <c r="B12" s="405" t="s">
        <v>1530</v>
      </c>
      <c r="C12" s="399" t="s">
        <v>9</v>
      </c>
      <c r="D12" s="612"/>
      <c r="E12" s="613"/>
      <c r="F12" s="197"/>
      <c r="G12" s="197"/>
      <c r="I12" s="398" t="s">
        <v>1530</v>
      </c>
      <c r="J12" s="399" t="s">
        <v>9</v>
      </c>
      <c r="K12" s="612" t="s">
        <v>1641</v>
      </c>
      <c r="L12" s="613"/>
      <c r="O12" s="519"/>
    </row>
    <row r="13" spans="1:15" ht="31.5" customHeight="1">
      <c r="A13" s="193"/>
      <c r="B13" s="406" t="s">
        <v>1379</v>
      </c>
      <c r="C13" s="386" t="s">
        <v>9</v>
      </c>
      <c r="D13" s="578"/>
      <c r="E13" s="579"/>
      <c r="F13" s="197"/>
      <c r="G13" s="197"/>
      <c r="I13" s="400" t="s">
        <v>1379</v>
      </c>
      <c r="J13" s="386" t="s">
        <v>9</v>
      </c>
      <c r="K13" s="578" t="s">
        <v>1642</v>
      </c>
      <c r="L13" s="579"/>
    </row>
    <row r="14" spans="1:15" ht="30.75" customHeight="1">
      <c r="A14" s="193"/>
      <c r="B14" s="406" t="s">
        <v>1531</v>
      </c>
      <c r="C14" s="386" t="s">
        <v>9</v>
      </c>
      <c r="D14" s="582"/>
      <c r="E14" s="583"/>
      <c r="F14" s="374" t="s">
        <v>1452</v>
      </c>
      <c r="G14" s="378">
        <v>50</v>
      </c>
      <c r="I14" s="400" t="s">
        <v>1531</v>
      </c>
      <c r="J14" s="386" t="s">
        <v>9</v>
      </c>
      <c r="K14" s="584">
        <v>50</v>
      </c>
      <c r="L14" s="585"/>
    </row>
    <row r="15" spans="1:15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5" ht="44.25" customHeight="1">
      <c r="A16" s="193"/>
      <c r="B16" s="406" t="s">
        <v>1541</v>
      </c>
      <c r="C16" s="386"/>
      <c r="D16" s="586"/>
      <c r="E16" s="587"/>
      <c r="F16" s="374"/>
      <c r="G16" s="378">
        <v>160</v>
      </c>
      <c r="I16" s="400" t="s">
        <v>1533</v>
      </c>
      <c r="J16" s="386" t="s">
        <v>9</v>
      </c>
      <c r="K16" s="590">
        <f>K9</f>
        <v>20.055325140271211</v>
      </c>
      <c r="L16" s="591"/>
    </row>
    <row r="17" spans="1:12" ht="34.5" customHeight="1">
      <c r="A17" s="193"/>
      <c r="B17" s="406" t="s">
        <v>1534</v>
      </c>
      <c r="C17" s="386" t="s">
        <v>9</v>
      </c>
      <c r="D17" s="588">
        <f>IF(D15=1,D14/(20/3^0.5),(D14/(20*3^0.5)))</f>
        <v>0</v>
      </c>
      <c r="E17" s="589"/>
      <c r="F17" s="374" t="s">
        <v>1452</v>
      </c>
      <c r="G17" s="379">
        <v>200</v>
      </c>
      <c r="I17" s="400" t="s">
        <v>1534</v>
      </c>
      <c r="J17" s="386" t="s">
        <v>9</v>
      </c>
      <c r="K17" s="594">
        <f>IF(K15=1,K14/(20/3^0.5),(K14/(20*3^0.5)))</f>
        <v>1.4433756729740645</v>
      </c>
      <c r="L17" s="595"/>
    </row>
    <row r="18" spans="1:12" ht="34.5" customHeight="1">
      <c r="A18" s="193"/>
      <c r="B18" s="406" t="s">
        <v>1535</v>
      </c>
      <c r="C18" s="386" t="s">
        <v>9</v>
      </c>
      <c r="D18" s="588">
        <f>IF(D15=1,D14/(380/3^0.5),(D14/(380*3^0.5)))*1000</f>
        <v>0</v>
      </c>
      <c r="E18" s="589"/>
      <c r="F18" s="374" t="s">
        <v>1452</v>
      </c>
      <c r="G18" s="379">
        <v>250</v>
      </c>
      <c r="I18" s="400" t="s">
        <v>1535</v>
      </c>
      <c r="J18" s="386" t="s">
        <v>9</v>
      </c>
      <c r="K18" s="594">
        <f>IF(K15=1,K14/(380/3^0.5),(K14/(380*3^0.5)))*1000</f>
        <v>75.96714068284551</v>
      </c>
      <c r="L18" s="595"/>
    </row>
    <row r="19" spans="1:12" ht="30" customHeight="1">
      <c r="A19" s="193"/>
      <c r="B19" s="407" t="s">
        <v>1527</v>
      </c>
      <c r="C19" s="385" t="s">
        <v>9</v>
      </c>
      <c r="D19" s="588">
        <f>IF(D15=1,D14/(380/3^0.5),(D14/(380*3^0.5)))</f>
        <v>0</v>
      </c>
      <c r="E19" s="589"/>
      <c r="F19" s="196"/>
      <c r="G19" s="370"/>
      <c r="I19" s="402" t="s">
        <v>1527</v>
      </c>
      <c r="J19" s="385" t="s">
        <v>9</v>
      </c>
      <c r="K19" s="594">
        <f>IF(K15=1,K14/(380/3^0.5),(K14/(380*3^0.5)))</f>
        <v>7.5967140682845505E-2</v>
      </c>
      <c r="L19" s="595"/>
    </row>
    <row r="20" spans="1:12" ht="30" customHeight="1" thickBot="1">
      <c r="A20" s="193"/>
      <c r="B20" s="408" t="s">
        <v>1536</v>
      </c>
      <c r="C20" s="404" t="s">
        <v>9</v>
      </c>
      <c r="D20" s="614" t="e">
        <f>D16/D18</f>
        <v>#DIV/0!</v>
      </c>
      <c r="E20" s="615"/>
      <c r="F20" s="196"/>
      <c r="G20" s="370"/>
      <c r="I20" s="403" t="s">
        <v>1527</v>
      </c>
      <c r="J20" s="404" t="s">
        <v>9</v>
      </c>
      <c r="K20" s="592">
        <f>K16/K18</f>
        <v>0.26399999999999996</v>
      </c>
      <c r="L20" s="593"/>
    </row>
    <row r="21" spans="1:12" ht="9.75" customHeight="1">
      <c r="A21" s="193"/>
      <c r="B21" s="393" t="s">
        <v>1536</v>
      </c>
      <c r="C21" s="394" t="s">
        <v>9</v>
      </c>
      <c r="D21" s="599">
        <v>1</v>
      </c>
      <c r="E21" s="599"/>
      <c r="F21" s="395"/>
      <c r="G21" s="396"/>
      <c r="H21" s="397"/>
      <c r="I21" s="393" t="s">
        <v>1527</v>
      </c>
      <c r="J21" s="394" t="s">
        <v>9</v>
      </c>
      <c r="K21" s="599">
        <v>1</v>
      </c>
      <c r="L21" s="59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6"/>
      <c r="C24" s="597"/>
      <c r="D24" s="597"/>
      <c r="E24" s="598"/>
      <c r="I24" s="596"/>
      <c r="J24" s="597"/>
      <c r="K24" s="597"/>
      <c r="L24" s="598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I12" sqref="I12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6"/>
      <c r="C1" s="616"/>
      <c r="D1" s="61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2.1999999999999993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2131799.9999999991</v>
      </c>
    </row>
    <row r="10" spans="2:11" ht="20.100000000000001" customHeight="1">
      <c r="B10" s="238" t="s">
        <v>1445</v>
      </c>
      <c r="C10" s="239" t="s">
        <v>9</v>
      </c>
      <c r="D10" s="245">
        <f ca="1">RAB!K114</f>
        <v>96635097.753749996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1932701.9550749999</v>
      </c>
    </row>
    <row r="12" spans="2:11" ht="9" customHeight="1">
      <c r="B12" s="617"/>
      <c r="C12" s="617"/>
      <c r="D12" s="61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BTS SLAMET 11-13,2KVA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1630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13.2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4" t="s">
        <v>1356</v>
      </c>
      <c r="C3" s="624"/>
      <c r="D3" s="624"/>
      <c r="E3" s="624"/>
      <c r="F3" s="252" t="str">
        <f>DATA!D14</f>
        <v>PD BTS SLAMET 11-13,2KVA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8" t="s">
        <v>1348</v>
      </c>
      <c r="C5" s="618" t="s">
        <v>1357</v>
      </c>
      <c r="D5" s="623" t="s">
        <v>1358</v>
      </c>
      <c r="E5" s="623" t="s">
        <v>1359</v>
      </c>
      <c r="F5" s="618" t="s">
        <v>1360</v>
      </c>
      <c r="G5" s="618"/>
      <c r="H5" s="618"/>
      <c r="I5" s="618"/>
      <c r="J5" s="618"/>
      <c r="K5" s="618" t="s">
        <v>1361</v>
      </c>
      <c r="L5" s="618"/>
      <c r="M5" s="254"/>
      <c r="N5" s="621" t="s">
        <v>1362</v>
      </c>
      <c r="O5" s="623" t="s">
        <v>1363</v>
      </c>
      <c r="P5" s="623" t="s">
        <v>1364</v>
      </c>
      <c r="Q5" s="623" t="s">
        <v>1365</v>
      </c>
      <c r="R5" s="255"/>
      <c r="S5" s="256"/>
      <c r="T5" s="619" t="s">
        <v>1366</v>
      </c>
      <c r="U5" s="257"/>
    </row>
    <row r="6" spans="1:21" ht="20.100000000000001" customHeight="1">
      <c r="B6" s="618"/>
      <c r="C6" s="618"/>
      <c r="D6" s="618"/>
      <c r="E6" s="61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2"/>
      <c r="O6" s="618"/>
      <c r="P6" s="618"/>
      <c r="Q6" s="618"/>
      <c r="R6" s="255"/>
      <c r="S6" s="256"/>
      <c r="T6" s="618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351.99999999999989</v>
      </c>
      <c r="D7" s="263">
        <f>C7*4/24</f>
        <v>58.66666666666665</v>
      </c>
      <c r="E7" s="263">
        <f>C7-D7</f>
        <v>293.33333333333326</v>
      </c>
      <c r="F7" s="264">
        <f ca="1">DATA!D10/1000000</f>
        <v>96.635097753750003</v>
      </c>
      <c r="G7" s="265">
        <f ca="1">DATA!$D$11/1000000</f>
        <v>1.932701955075</v>
      </c>
      <c r="H7" s="265">
        <f>C7*DATA!$D$5/1000000</f>
        <v>0.38161201615207746</v>
      </c>
      <c r="I7" s="265">
        <f>(C7*DATA!$D$5*DATA!$D$7)/1000000</f>
        <v>8.5862703634217441E-3</v>
      </c>
      <c r="J7" s="263">
        <f ca="1">SUM(F7:I7)</f>
        <v>98.957997995340506</v>
      </c>
      <c r="K7" s="266">
        <f>DATA!D9/1000000</f>
        <v>2.1317999999999993</v>
      </c>
      <c r="L7" s="263">
        <f>((D7*DATA!$D$23)/1000000)+((E7*DATA!$D$24)/1000000)</f>
        <v>0.50853439999999983</v>
      </c>
      <c r="M7" s="263">
        <f>K7+L7</f>
        <v>2.6403343999999991</v>
      </c>
      <c r="N7" s="263">
        <f ca="1">M7-J7</f>
        <v>-96.317663595340505</v>
      </c>
      <c r="O7" s="261">
        <v>1</v>
      </c>
      <c r="P7" s="263">
        <f ca="1">O7*N7</f>
        <v>-96.317663595340505</v>
      </c>
      <c r="Q7" s="263">
        <f ca="1">P7</f>
        <v>-96.317663595340505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1055.9999999999995</v>
      </c>
      <c r="D8" s="263">
        <f>C8*4/24</f>
        <v>175.99999999999991</v>
      </c>
      <c r="E8" s="263">
        <f t="shared" ref="E8:E32" si="0">C8-D8</f>
        <v>879.99999999999966</v>
      </c>
      <c r="F8" s="261"/>
      <c r="G8" s="265">
        <f ca="1">DATA!$D$11/1000000</f>
        <v>1.932701955075</v>
      </c>
      <c r="H8" s="265">
        <f>C8*DATA!$D$5/1000000</f>
        <v>1.1448360484562323</v>
      </c>
      <c r="I8" s="265">
        <f>(C8*DATA!$D$5*DATA!$D$7)/1000000</f>
        <v>2.5758811090265225E-2</v>
      </c>
      <c r="J8" s="263">
        <f t="shared" ref="J8:J32" ca="1" si="1">SUM(F8:I8)</f>
        <v>3.1032968146214976</v>
      </c>
      <c r="K8" s="268"/>
      <c r="L8" s="263">
        <f>((D8*DATA!$D$23)/1000000)+((E8*DATA!$D$24)/1000000)</f>
        <v>1.5256031999999995</v>
      </c>
      <c r="M8" s="263">
        <f t="shared" ref="M8:M32" si="2">K8+L8</f>
        <v>1.5256031999999995</v>
      </c>
      <c r="N8" s="263">
        <f ca="1">M8-J8</f>
        <v>-1.5776936146214982</v>
      </c>
      <c r="O8" s="262">
        <f>1/(1+'[93]Asumsi I'!$C$3)^(KKF!A8)</f>
        <v>0.89285714285714279</v>
      </c>
      <c r="P8" s="263">
        <f ca="1">O8*N8</f>
        <v>-1.4086550130549089</v>
      </c>
      <c r="Q8" s="263">
        <f ca="1">Q7+P8</f>
        <v>-97.726318608395417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1055.9999999999995</v>
      </c>
      <c r="D9" s="263">
        <f t="shared" ref="D9:D32" si="5">C9*4/24</f>
        <v>175.99999999999991</v>
      </c>
      <c r="E9" s="263">
        <f t="shared" si="0"/>
        <v>879.99999999999966</v>
      </c>
      <c r="F9" s="261"/>
      <c r="G9" s="265">
        <f ca="1">DATA!$D$11/1000000</f>
        <v>1.932701955075</v>
      </c>
      <c r="H9" s="265">
        <f>C9*DATA!$D$5/1000000</f>
        <v>1.1448360484562323</v>
      </c>
      <c r="I9" s="265">
        <f>(C9*DATA!$D$5*DATA!$D$7)/1000000</f>
        <v>2.5758811090265225E-2</v>
      </c>
      <c r="J9" s="263">
        <f t="shared" ca="1" si="1"/>
        <v>3.1032968146214976</v>
      </c>
      <c r="K9" s="263"/>
      <c r="L9" s="263">
        <f>((D9*DATA!$D$23)/1000000)+((E9*DATA!$D$24)/1000000)</f>
        <v>1.5256031999999995</v>
      </c>
      <c r="M9" s="263">
        <f t="shared" si="2"/>
        <v>1.5256031999999995</v>
      </c>
      <c r="N9" s="263">
        <f t="shared" ref="N9:N32" ca="1" si="6">M9-J9</f>
        <v>-1.5776936146214982</v>
      </c>
      <c r="O9" s="269">
        <f>1/(1+'[93]Asumsi I'!$C$3)^(KKF!A9)</f>
        <v>0.79719387755102034</v>
      </c>
      <c r="P9" s="263">
        <f t="shared" ref="P9:P32" ca="1" si="7">O9*N9</f>
        <v>-1.2577276902275973</v>
      </c>
      <c r="Q9" s="263">
        <f ca="1">Q8+P9</f>
        <v>-98.984046298623014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1055.9999999999995</v>
      </c>
      <c r="D10" s="263">
        <f t="shared" si="5"/>
        <v>175.99999999999991</v>
      </c>
      <c r="E10" s="263">
        <f t="shared" si="0"/>
        <v>879.99999999999966</v>
      </c>
      <c r="F10" s="261"/>
      <c r="G10" s="265">
        <f ca="1">DATA!$D$11/1000000</f>
        <v>1.932701955075</v>
      </c>
      <c r="H10" s="265">
        <f>C10*DATA!$D$5/1000000</f>
        <v>1.1448360484562323</v>
      </c>
      <c r="I10" s="265">
        <f>(C10*DATA!$D$5*DATA!$D$7)/1000000</f>
        <v>2.5758811090265225E-2</v>
      </c>
      <c r="J10" s="263">
        <f t="shared" ca="1" si="1"/>
        <v>3.1032968146214976</v>
      </c>
      <c r="K10" s="261"/>
      <c r="L10" s="263">
        <f>((D10*DATA!$D$23)/1000000)+((E10*DATA!$D$24)/1000000)</f>
        <v>1.5256031999999995</v>
      </c>
      <c r="M10" s="263">
        <f t="shared" si="2"/>
        <v>1.5256031999999995</v>
      </c>
      <c r="N10" s="263">
        <f t="shared" ca="1" si="6"/>
        <v>-1.5776936146214982</v>
      </c>
      <c r="O10" s="262">
        <f>1/(1+'[93]Asumsi I'!$C$3)^(KKF!A10)</f>
        <v>0.71178024781341087</v>
      </c>
      <c r="P10" s="263">
        <f t="shared" ca="1" si="7"/>
        <v>-1.1229711519889258</v>
      </c>
      <c r="Q10" s="263">
        <f t="shared" ref="Q10:Q30" ca="1" si="9">Q9+P10</f>
        <v>-100.10701745061193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1055.9999999999995</v>
      </c>
      <c r="D11" s="263">
        <f t="shared" si="5"/>
        <v>175.99999999999991</v>
      </c>
      <c r="E11" s="263">
        <f t="shared" si="0"/>
        <v>879.99999999999966</v>
      </c>
      <c r="F11" s="261"/>
      <c r="G11" s="265">
        <f ca="1">DATA!$D$11/1000000</f>
        <v>1.932701955075</v>
      </c>
      <c r="H11" s="265">
        <f>C11*DATA!$D$5/1000000</f>
        <v>1.1448360484562323</v>
      </c>
      <c r="I11" s="265">
        <f>(C11*DATA!$D$5*DATA!$D$7)/1000000</f>
        <v>2.5758811090265225E-2</v>
      </c>
      <c r="J11" s="263">
        <f t="shared" ca="1" si="1"/>
        <v>3.1032968146214976</v>
      </c>
      <c r="K11" s="261"/>
      <c r="L11" s="263">
        <f>((D11*DATA!$D$23)/1000000)+((E11*DATA!$D$24)/1000000)</f>
        <v>1.5256031999999995</v>
      </c>
      <c r="M11" s="263">
        <f t="shared" si="2"/>
        <v>1.5256031999999995</v>
      </c>
      <c r="N11" s="263">
        <f t="shared" ca="1" si="6"/>
        <v>-1.5776936146214982</v>
      </c>
      <c r="O11" s="262">
        <f>1/(1+'[93]Asumsi I'!$C$3)^(KKF!A11)</f>
        <v>0.63551807840483121</v>
      </c>
      <c r="P11" s="263">
        <f t="shared" ca="1" si="7"/>
        <v>-1.0026528142758269</v>
      </c>
      <c r="Q11" s="263">
        <f t="shared" ca="1" si="9"/>
        <v>-101.10967026488777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1055.9999999999995</v>
      </c>
      <c r="D12" s="263">
        <f t="shared" si="5"/>
        <v>175.99999999999991</v>
      </c>
      <c r="E12" s="263">
        <f t="shared" si="0"/>
        <v>879.99999999999966</v>
      </c>
      <c r="F12" s="261"/>
      <c r="G12" s="265">
        <f ca="1">DATA!$D$11/1000000</f>
        <v>1.932701955075</v>
      </c>
      <c r="H12" s="265">
        <f>C12*DATA!$D$5/1000000</f>
        <v>1.1448360484562323</v>
      </c>
      <c r="I12" s="265">
        <f>(C12*DATA!$D$5*DATA!$D$7)/1000000</f>
        <v>2.5758811090265225E-2</v>
      </c>
      <c r="J12" s="263">
        <f t="shared" ca="1" si="1"/>
        <v>3.1032968146214976</v>
      </c>
      <c r="K12" s="261"/>
      <c r="L12" s="263">
        <f>((D12*DATA!$D$23)/1000000)+((E12*DATA!$D$24)/1000000)</f>
        <v>1.5256031999999995</v>
      </c>
      <c r="M12" s="263">
        <f t="shared" si="2"/>
        <v>1.5256031999999995</v>
      </c>
      <c r="N12" s="263">
        <f t="shared" ca="1" si="6"/>
        <v>-1.5776936146214982</v>
      </c>
      <c r="O12" s="262">
        <f>1/(1+'[93]Asumsi I'!$C$3)^(KKF!A12)</f>
        <v>0.56742685571859919</v>
      </c>
      <c r="P12" s="263">
        <f t="shared" ca="1" si="7"/>
        <v>-0.89522572703198811</v>
      </c>
      <c r="Q12" s="263">
        <f t="shared" ca="1" si="9"/>
        <v>-102.00489599191975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1055.9999999999995</v>
      </c>
      <c r="D13" s="263">
        <f t="shared" si="5"/>
        <v>175.99999999999991</v>
      </c>
      <c r="E13" s="263">
        <f t="shared" si="0"/>
        <v>879.99999999999966</v>
      </c>
      <c r="F13" s="261"/>
      <c r="G13" s="265">
        <f ca="1">DATA!$D$11/1000000</f>
        <v>1.932701955075</v>
      </c>
      <c r="H13" s="265">
        <f>C13*DATA!$D$5/1000000</f>
        <v>1.1448360484562323</v>
      </c>
      <c r="I13" s="265">
        <f>(C13*DATA!$D$5*DATA!$D$7)/1000000</f>
        <v>2.5758811090265225E-2</v>
      </c>
      <c r="J13" s="263">
        <f t="shared" ca="1" si="1"/>
        <v>3.1032968146214976</v>
      </c>
      <c r="K13" s="261"/>
      <c r="L13" s="263">
        <f>((D13*DATA!$D$23)/1000000)+((E13*DATA!$D$24)/1000000)</f>
        <v>1.5256031999999995</v>
      </c>
      <c r="M13" s="263">
        <f t="shared" si="2"/>
        <v>1.5256031999999995</v>
      </c>
      <c r="N13" s="263">
        <f t="shared" ca="1" si="6"/>
        <v>-1.5776936146214982</v>
      </c>
      <c r="O13" s="262">
        <f>1/(1+'[93]Asumsi I'!$C$3)^(KKF!A13)</f>
        <v>0.50663112117732068</v>
      </c>
      <c r="P13" s="263">
        <f t="shared" ca="1" si="7"/>
        <v>-0.79930868484998929</v>
      </c>
      <c r="Q13" s="263">
        <f t="shared" ca="1" si="9"/>
        <v>-102.80420467676974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1055.9999999999995</v>
      </c>
      <c r="D14" s="263">
        <f t="shared" si="5"/>
        <v>175.99999999999991</v>
      </c>
      <c r="E14" s="263">
        <f t="shared" si="0"/>
        <v>879.99999999999966</v>
      </c>
      <c r="F14" s="261"/>
      <c r="G14" s="265">
        <f ca="1">DATA!$D$11/1000000</f>
        <v>1.932701955075</v>
      </c>
      <c r="H14" s="265">
        <f>C14*DATA!$D$5/1000000</f>
        <v>1.1448360484562323</v>
      </c>
      <c r="I14" s="265">
        <f>(C14*DATA!$D$5*DATA!$D$7)/1000000</f>
        <v>2.5758811090265225E-2</v>
      </c>
      <c r="J14" s="263">
        <f t="shared" ca="1" si="1"/>
        <v>3.1032968146214976</v>
      </c>
      <c r="K14" s="261"/>
      <c r="L14" s="263">
        <f>((D14*DATA!$D$23)/1000000)+((E14*DATA!$D$24)/1000000)</f>
        <v>1.5256031999999995</v>
      </c>
      <c r="M14" s="263">
        <f t="shared" si="2"/>
        <v>1.5256031999999995</v>
      </c>
      <c r="N14" s="263">
        <f t="shared" ca="1" si="6"/>
        <v>-1.5776936146214982</v>
      </c>
      <c r="O14" s="262">
        <f>1/(1+'[93]Asumsi I'!$C$3)^(KKF!A14)</f>
        <v>0.45234921533689343</v>
      </c>
      <c r="P14" s="263">
        <f t="shared" ca="1" si="7"/>
        <v>-0.71366846861606181</v>
      </c>
      <c r="Q14" s="263">
        <f t="shared" ca="1" si="9"/>
        <v>-103.51787314538581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1055.9999999999995</v>
      </c>
      <c r="D15" s="263">
        <f t="shared" si="5"/>
        <v>175.99999999999991</v>
      </c>
      <c r="E15" s="263">
        <f t="shared" si="0"/>
        <v>879.99999999999966</v>
      </c>
      <c r="F15" s="261"/>
      <c r="G15" s="265">
        <f ca="1">DATA!$D$11/1000000</f>
        <v>1.932701955075</v>
      </c>
      <c r="H15" s="265">
        <f>C15*DATA!$D$5/1000000</f>
        <v>1.1448360484562323</v>
      </c>
      <c r="I15" s="265">
        <f>(C15*DATA!$D$5*DATA!$D$7)/1000000</f>
        <v>2.5758811090265225E-2</v>
      </c>
      <c r="J15" s="263">
        <f t="shared" ca="1" si="1"/>
        <v>3.1032968146214976</v>
      </c>
      <c r="K15" s="261"/>
      <c r="L15" s="263">
        <f>((D15*DATA!$D$23)/1000000)+((E15*DATA!$D$24)/1000000)</f>
        <v>1.5256031999999995</v>
      </c>
      <c r="M15" s="263">
        <f t="shared" si="2"/>
        <v>1.5256031999999995</v>
      </c>
      <c r="N15" s="263">
        <f t="shared" ca="1" si="6"/>
        <v>-1.5776936146214982</v>
      </c>
      <c r="O15" s="262">
        <f>1/(1+'[93]Asumsi I'!$C$3)^(KKF!A15)</f>
        <v>0.4038832279793691</v>
      </c>
      <c r="P15" s="263">
        <f t="shared" ca="1" si="7"/>
        <v>-0.63720398983576942</v>
      </c>
      <c r="Q15" s="263">
        <f t="shared" ca="1" si="9"/>
        <v>-104.15507713522157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1055.9999999999995</v>
      </c>
      <c r="D16" s="263">
        <f t="shared" si="5"/>
        <v>175.99999999999991</v>
      </c>
      <c r="E16" s="263">
        <f t="shared" si="0"/>
        <v>879.99999999999966</v>
      </c>
      <c r="F16" s="261"/>
      <c r="G16" s="265">
        <f ca="1">DATA!$D$11/1000000</f>
        <v>1.932701955075</v>
      </c>
      <c r="H16" s="265">
        <f>C16*DATA!$D$5/1000000</f>
        <v>1.1448360484562323</v>
      </c>
      <c r="I16" s="265">
        <f>(C16*DATA!$D$5*DATA!$D$7)/1000000</f>
        <v>2.5758811090265225E-2</v>
      </c>
      <c r="J16" s="263">
        <f t="shared" ca="1" si="1"/>
        <v>3.1032968146214976</v>
      </c>
      <c r="K16" s="261"/>
      <c r="L16" s="263">
        <f>((D16*DATA!$D$23)/1000000)+((E16*DATA!$D$24)/1000000)</f>
        <v>1.5256031999999995</v>
      </c>
      <c r="M16" s="263">
        <f t="shared" si="2"/>
        <v>1.5256031999999995</v>
      </c>
      <c r="N16" s="263">
        <f t="shared" ca="1" si="6"/>
        <v>-1.5776936146214982</v>
      </c>
      <c r="O16" s="262">
        <f>1/(1+'[93]Asumsi I'!$C$3)^(KKF!A16)</f>
        <v>0.36061002498157957</v>
      </c>
      <c r="P16" s="263">
        <f t="shared" ca="1" si="7"/>
        <v>-0.56893213378193697</v>
      </c>
      <c r="Q16" s="263">
        <f t="shared" ca="1" si="9"/>
        <v>-104.72400926900352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1055.9999999999995</v>
      </c>
      <c r="D17" s="263">
        <f t="shared" si="5"/>
        <v>175.99999999999991</v>
      </c>
      <c r="E17" s="263">
        <f t="shared" si="0"/>
        <v>879.99999999999966</v>
      </c>
      <c r="F17" s="261"/>
      <c r="G17" s="265">
        <f ca="1">DATA!$D$11/1000000</f>
        <v>1.932701955075</v>
      </c>
      <c r="H17" s="265">
        <f>C17*DATA!$D$5/1000000</f>
        <v>1.1448360484562323</v>
      </c>
      <c r="I17" s="265">
        <f>(C17*DATA!$D$5*DATA!$D$7)/1000000</f>
        <v>2.5758811090265225E-2</v>
      </c>
      <c r="J17" s="263">
        <f t="shared" ca="1" si="1"/>
        <v>3.1032968146214976</v>
      </c>
      <c r="K17" s="261"/>
      <c r="L17" s="263">
        <f>((D17*DATA!$D$23)/1000000)+((E17*DATA!$D$24)/1000000)</f>
        <v>1.5256031999999995</v>
      </c>
      <c r="M17" s="263">
        <f t="shared" si="2"/>
        <v>1.5256031999999995</v>
      </c>
      <c r="N17" s="263">
        <f t="shared" ca="1" si="6"/>
        <v>-1.5776936146214982</v>
      </c>
      <c r="O17" s="262">
        <f>1/(1+'[93]Asumsi I'!$C$3)^(KKF!A17)</f>
        <v>0.32197323659069599</v>
      </c>
      <c r="P17" s="263">
        <f t="shared" ca="1" si="7"/>
        <v>-0.50797511944815799</v>
      </c>
      <c r="Q17" s="263">
        <f t="shared" ca="1" si="9"/>
        <v>-105.23198438845168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1055.9999999999995</v>
      </c>
      <c r="D18" s="263">
        <f t="shared" si="5"/>
        <v>175.99999999999991</v>
      </c>
      <c r="E18" s="263">
        <f t="shared" si="0"/>
        <v>879.99999999999966</v>
      </c>
      <c r="F18" s="261"/>
      <c r="G18" s="265">
        <f ca="1">DATA!$D$11/1000000</f>
        <v>1.932701955075</v>
      </c>
      <c r="H18" s="265">
        <f>C18*DATA!$D$5/1000000</f>
        <v>1.1448360484562323</v>
      </c>
      <c r="I18" s="265">
        <f>(C18*DATA!$D$5*DATA!$D$7)/1000000</f>
        <v>2.5758811090265225E-2</v>
      </c>
      <c r="J18" s="263">
        <f t="shared" ca="1" si="1"/>
        <v>3.1032968146214976</v>
      </c>
      <c r="K18" s="261"/>
      <c r="L18" s="263">
        <f>((D18*DATA!$D$23)/1000000)+((E18*DATA!$D$24)/1000000)</f>
        <v>1.5256031999999995</v>
      </c>
      <c r="M18" s="263">
        <f t="shared" si="2"/>
        <v>1.5256031999999995</v>
      </c>
      <c r="N18" s="263">
        <f t="shared" ca="1" si="6"/>
        <v>-1.5776936146214982</v>
      </c>
      <c r="O18" s="262">
        <f>1/(1+'[93]Asumsi I'!$C$3)^(KKF!A18)</f>
        <v>0.28747610409883567</v>
      </c>
      <c r="P18" s="263">
        <f t="shared" ca="1" si="7"/>
        <v>-0.45354921379299812</v>
      </c>
      <c r="Q18" s="263">
        <f t="shared" ca="1" si="9"/>
        <v>-105.68553360224467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1055.9999999999995</v>
      </c>
      <c r="D19" s="263">
        <f t="shared" si="5"/>
        <v>175.99999999999991</v>
      </c>
      <c r="E19" s="263">
        <f t="shared" si="0"/>
        <v>879.99999999999966</v>
      </c>
      <c r="F19" s="261"/>
      <c r="G19" s="265">
        <f ca="1">DATA!$D$11/1000000</f>
        <v>1.932701955075</v>
      </c>
      <c r="H19" s="265">
        <f>C19*DATA!$D$5/1000000</f>
        <v>1.1448360484562323</v>
      </c>
      <c r="I19" s="265">
        <f>(C19*DATA!$D$5*DATA!$D$7)/1000000</f>
        <v>2.5758811090265225E-2</v>
      </c>
      <c r="J19" s="263">
        <f t="shared" ca="1" si="1"/>
        <v>3.1032968146214976</v>
      </c>
      <c r="K19" s="261"/>
      <c r="L19" s="263">
        <f>((D19*DATA!$D$23)/1000000)+((E19*DATA!$D$24)/1000000)</f>
        <v>1.5256031999999995</v>
      </c>
      <c r="M19" s="263">
        <f t="shared" si="2"/>
        <v>1.5256031999999995</v>
      </c>
      <c r="N19" s="263">
        <f t="shared" ca="1" si="6"/>
        <v>-1.5776936146214982</v>
      </c>
      <c r="O19" s="262">
        <f>1/(1+'[93]Asumsi I'!$C$3)^(KKF!A19)</f>
        <v>0.25667509294538904</v>
      </c>
      <c r="P19" s="263">
        <f t="shared" ca="1" si="7"/>
        <v>-0.40495465517231982</v>
      </c>
      <c r="Q19" s="263">
        <f t="shared" ca="1" si="9"/>
        <v>-106.09048825741699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1055.9999999999995</v>
      </c>
      <c r="D20" s="263">
        <f t="shared" si="5"/>
        <v>175.99999999999991</v>
      </c>
      <c r="E20" s="263">
        <f t="shared" si="0"/>
        <v>879.99999999999966</v>
      </c>
      <c r="F20" s="261"/>
      <c r="G20" s="265">
        <f ca="1">DATA!$D$11/1000000</f>
        <v>1.932701955075</v>
      </c>
      <c r="H20" s="265">
        <f>C20*DATA!$D$5/1000000</f>
        <v>1.1448360484562323</v>
      </c>
      <c r="I20" s="265">
        <f>(C20*DATA!$D$5*DATA!$D$7)/1000000</f>
        <v>2.5758811090265225E-2</v>
      </c>
      <c r="J20" s="263">
        <f t="shared" ca="1" si="1"/>
        <v>3.1032968146214976</v>
      </c>
      <c r="K20" s="261"/>
      <c r="L20" s="263">
        <f>((D20*DATA!$D$23)/1000000)+((E20*DATA!$D$24)/1000000)</f>
        <v>1.5256031999999995</v>
      </c>
      <c r="M20" s="263">
        <f t="shared" si="2"/>
        <v>1.5256031999999995</v>
      </c>
      <c r="N20" s="263">
        <f t="shared" ca="1" si="6"/>
        <v>-1.5776936146214982</v>
      </c>
      <c r="O20" s="262">
        <f>1/(1+'[93]Asumsi I'!$C$3)^(KKF!A20)</f>
        <v>0.22917419012981158</v>
      </c>
      <c r="P20" s="263">
        <f t="shared" ca="1" si="7"/>
        <v>-0.36156665640385688</v>
      </c>
      <c r="Q20" s="263">
        <f t="shared" ca="1" si="9"/>
        <v>-106.45205491382085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1055.9999999999995</v>
      </c>
      <c r="D21" s="263">
        <f t="shared" si="5"/>
        <v>175.99999999999991</v>
      </c>
      <c r="E21" s="263">
        <f t="shared" si="0"/>
        <v>879.99999999999966</v>
      </c>
      <c r="F21" s="261"/>
      <c r="G21" s="265">
        <f ca="1">DATA!$D$11/1000000</f>
        <v>1.932701955075</v>
      </c>
      <c r="H21" s="265">
        <f>C21*DATA!$D$5/1000000</f>
        <v>1.1448360484562323</v>
      </c>
      <c r="I21" s="265">
        <f>(C21*DATA!$D$5*DATA!$D$7)/1000000</f>
        <v>2.5758811090265225E-2</v>
      </c>
      <c r="J21" s="263">
        <f t="shared" ca="1" si="1"/>
        <v>3.1032968146214976</v>
      </c>
      <c r="K21" s="261"/>
      <c r="L21" s="263">
        <f>((D21*DATA!$D$23)/1000000)+((E21*DATA!$D$24)/1000000)</f>
        <v>1.5256031999999995</v>
      </c>
      <c r="M21" s="263">
        <f t="shared" si="2"/>
        <v>1.5256031999999995</v>
      </c>
      <c r="N21" s="263">
        <f t="shared" ca="1" si="6"/>
        <v>-1.5776936146214982</v>
      </c>
      <c r="O21" s="262">
        <f>1/(1+'[93]Asumsi I'!$C$3)^(KKF!A21)</f>
        <v>0.20461981261590317</v>
      </c>
      <c r="P21" s="263">
        <f t="shared" ca="1" si="7"/>
        <v>-0.32282737178915794</v>
      </c>
      <c r="Q21" s="263">
        <f t="shared" ca="1" si="9"/>
        <v>-106.77488228561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1055.9999999999995</v>
      </c>
      <c r="D22" s="263">
        <f t="shared" si="5"/>
        <v>175.99999999999991</v>
      </c>
      <c r="E22" s="263">
        <f t="shared" si="0"/>
        <v>879.99999999999966</v>
      </c>
      <c r="F22" s="261"/>
      <c r="G22" s="265">
        <f ca="1">DATA!$D$11/1000000</f>
        <v>1.932701955075</v>
      </c>
      <c r="H22" s="265">
        <f>C22*DATA!$D$5/1000000</f>
        <v>1.1448360484562323</v>
      </c>
      <c r="I22" s="265">
        <f>(C22*DATA!$D$5*DATA!$D$7)/1000000</f>
        <v>2.5758811090265225E-2</v>
      </c>
      <c r="J22" s="263">
        <f t="shared" ca="1" si="1"/>
        <v>3.1032968146214976</v>
      </c>
      <c r="K22" s="261"/>
      <c r="L22" s="263">
        <f>((D22*DATA!$D$23)/1000000)+((E22*DATA!$D$24)/1000000)</f>
        <v>1.5256031999999995</v>
      </c>
      <c r="M22" s="263">
        <f t="shared" si="2"/>
        <v>1.5256031999999995</v>
      </c>
      <c r="N22" s="263">
        <f t="shared" ca="1" si="6"/>
        <v>-1.5776936146214982</v>
      </c>
      <c r="O22" s="262">
        <f>1/(1+'[93]Asumsi I'!$C$3)^(KKF!A22)</f>
        <v>0.18269626126419927</v>
      </c>
      <c r="P22" s="263">
        <f t="shared" ca="1" si="7"/>
        <v>-0.28823872481174817</v>
      </c>
      <c r="Q22" s="263">
        <f t="shared" ca="1" si="9"/>
        <v>-107.06312101042175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1055.9999999999995</v>
      </c>
      <c r="D23" s="263">
        <f t="shared" si="5"/>
        <v>175.99999999999991</v>
      </c>
      <c r="E23" s="263">
        <f t="shared" si="0"/>
        <v>879.99999999999966</v>
      </c>
      <c r="F23" s="261"/>
      <c r="G23" s="265">
        <f ca="1">DATA!$D$11/1000000</f>
        <v>1.932701955075</v>
      </c>
      <c r="H23" s="265">
        <f>C23*DATA!$D$5/1000000</f>
        <v>1.1448360484562323</v>
      </c>
      <c r="I23" s="265">
        <f>(C23*DATA!$D$5*DATA!$D$7)/1000000</f>
        <v>2.5758811090265225E-2</v>
      </c>
      <c r="J23" s="263">
        <f t="shared" ca="1" si="1"/>
        <v>3.1032968146214976</v>
      </c>
      <c r="K23" s="261"/>
      <c r="L23" s="263">
        <f>((D23*DATA!$D$23)/1000000)+((E23*DATA!$D$24)/1000000)</f>
        <v>1.5256031999999995</v>
      </c>
      <c r="M23" s="263">
        <f t="shared" si="2"/>
        <v>1.5256031999999995</v>
      </c>
      <c r="N23" s="263">
        <f t="shared" ca="1" si="6"/>
        <v>-1.5776936146214982</v>
      </c>
      <c r="O23" s="262">
        <f>1/(1+'[93]Asumsi I'!$C$3)^(KKF!A23)</f>
        <v>0.16312166184303503</v>
      </c>
      <c r="P23" s="263">
        <f t="shared" ca="1" si="7"/>
        <v>-0.25735600429620364</v>
      </c>
      <c r="Q23" s="263">
        <f t="shared" ca="1" si="9"/>
        <v>-107.32047701471795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1055.9999999999995</v>
      </c>
      <c r="D24" s="263">
        <f t="shared" si="5"/>
        <v>175.99999999999991</v>
      </c>
      <c r="E24" s="263">
        <f t="shared" si="0"/>
        <v>879.99999999999966</v>
      </c>
      <c r="F24" s="261"/>
      <c r="G24" s="265">
        <f ca="1">DATA!$D$11/1000000</f>
        <v>1.932701955075</v>
      </c>
      <c r="H24" s="265">
        <f>C24*DATA!$D$5/1000000</f>
        <v>1.1448360484562323</v>
      </c>
      <c r="I24" s="265">
        <f>(C24*DATA!$D$5*DATA!$D$7)/1000000</f>
        <v>2.5758811090265225E-2</v>
      </c>
      <c r="J24" s="263">
        <f t="shared" ca="1" si="1"/>
        <v>3.1032968146214976</v>
      </c>
      <c r="K24" s="261"/>
      <c r="L24" s="263">
        <f>((D24*DATA!$D$23)/1000000)+((E24*DATA!$D$24)/1000000)</f>
        <v>1.5256031999999995</v>
      </c>
      <c r="M24" s="263">
        <f t="shared" si="2"/>
        <v>1.5256031999999995</v>
      </c>
      <c r="N24" s="263">
        <f t="shared" ca="1" si="6"/>
        <v>-1.5776936146214982</v>
      </c>
      <c r="O24" s="262">
        <f>1/(1+'[93]Asumsi I'!$C$3)^(KKF!A24)</f>
        <v>0.14564434093128129</v>
      </c>
      <c r="P24" s="263">
        <f t="shared" ca="1" si="7"/>
        <v>-0.22978214669303898</v>
      </c>
      <c r="Q24" s="263">
        <f t="shared" ca="1" si="9"/>
        <v>-107.55025916141099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1055.9999999999995</v>
      </c>
      <c r="D25" s="263">
        <f t="shared" si="5"/>
        <v>175.99999999999991</v>
      </c>
      <c r="E25" s="263">
        <f t="shared" si="0"/>
        <v>879.99999999999966</v>
      </c>
      <c r="F25" s="261"/>
      <c r="G25" s="265">
        <f ca="1">DATA!$D$11/1000000</f>
        <v>1.932701955075</v>
      </c>
      <c r="H25" s="265">
        <f>C25*DATA!$D$5/1000000</f>
        <v>1.1448360484562323</v>
      </c>
      <c r="I25" s="265">
        <f>(C25*DATA!$D$5*DATA!$D$7)/1000000</f>
        <v>2.5758811090265225E-2</v>
      </c>
      <c r="J25" s="263">
        <f t="shared" ca="1" si="1"/>
        <v>3.1032968146214976</v>
      </c>
      <c r="K25" s="261"/>
      <c r="L25" s="263">
        <f>((D25*DATA!$D$23)/1000000)+((E25*DATA!$D$24)/1000000)</f>
        <v>1.5256031999999995</v>
      </c>
      <c r="M25" s="263">
        <f t="shared" si="2"/>
        <v>1.5256031999999995</v>
      </c>
      <c r="N25" s="263">
        <f t="shared" ca="1" si="6"/>
        <v>-1.5776936146214982</v>
      </c>
      <c r="O25" s="262">
        <f>1/(1+'[93]Asumsi I'!$C$3)^(KKF!A25)</f>
        <v>0.13003959011721541</v>
      </c>
      <c r="P25" s="263">
        <f t="shared" ca="1" si="7"/>
        <v>-0.20516263097592763</v>
      </c>
      <c r="Q25" s="263">
        <f t="shared" ca="1" si="9"/>
        <v>-107.75542179238693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1055.9999999999995</v>
      </c>
      <c r="D26" s="263">
        <f t="shared" si="5"/>
        <v>175.99999999999991</v>
      </c>
      <c r="E26" s="263">
        <f t="shared" si="0"/>
        <v>879.99999999999966</v>
      </c>
      <c r="F26" s="261"/>
      <c r="G26" s="265">
        <f ca="1">DATA!$D$11/1000000</f>
        <v>1.932701955075</v>
      </c>
      <c r="H26" s="265">
        <f>C26*DATA!$D$5/1000000</f>
        <v>1.1448360484562323</v>
      </c>
      <c r="I26" s="265">
        <f>(C26*DATA!$D$5*DATA!$D$7)/1000000</f>
        <v>2.5758811090265225E-2</v>
      </c>
      <c r="J26" s="263">
        <f t="shared" ca="1" si="1"/>
        <v>3.1032968146214976</v>
      </c>
      <c r="K26" s="261"/>
      <c r="L26" s="263">
        <f>((D26*DATA!$D$23)/1000000)+((E26*DATA!$D$24)/1000000)</f>
        <v>1.5256031999999995</v>
      </c>
      <c r="M26" s="263">
        <f t="shared" si="2"/>
        <v>1.5256031999999995</v>
      </c>
      <c r="N26" s="263">
        <f t="shared" ca="1" si="6"/>
        <v>-1.5776936146214982</v>
      </c>
      <c r="O26" s="262">
        <f>1/(1+'[93]Asumsi I'!$C$3)^(KKF!A26)</f>
        <v>0.1161067768903709</v>
      </c>
      <c r="P26" s="263">
        <f t="shared" ca="1" si="7"/>
        <v>-0.18318092051422108</v>
      </c>
      <c r="Q26" s="263">
        <f t="shared" ca="1" si="9"/>
        <v>-107.93860271290114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1055.9999999999995</v>
      </c>
      <c r="D27" s="263">
        <f t="shared" si="5"/>
        <v>175.99999999999991</v>
      </c>
      <c r="E27" s="263">
        <f t="shared" si="0"/>
        <v>879.99999999999966</v>
      </c>
      <c r="F27" s="261"/>
      <c r="G27" s="265">
        <f ca="1">DATA!$D$11/1000000</f>
        <v>1.932701955075</v>
      </c>
      <c r="H27" s="265">
        <f>C27*DATA!$D$5/1000000</f>
        <v>1.1448360484562323</v>
      </c>
      <c r="I27" s="265">
        <f>(C27*DATA!$D$5*DATA!$D$7)/1000000</f>
        <v>2.5758811090265225E-2</v>
      </c>
      <c r="J27" s="263">
        <f t="shared" ca="1" si="1"/>
        <v>3.1032968146214976</v>
      </c>
      <c r="K27" s="261"/>
      <c r="L27" s="263">
        <f>((D27*DATA!$D$23)/1000000)+((E27*DATA!$D$24)/1000000)</f>
        <v>1.5256031999999995</v>
      </c>
      <c r="M27" s="263">
        <f t="shared" si="2"/>
        <v>1.5256031999999995</v>
      </c>
      <c r="N27" s="263">
        <f t="shared" ca="1" si="6"/>
        <v>-1.5776936146214982</v>
      </c>
      <c r="O27" s="262">
        <f>1/(1+'[93]Asumsi I'!$C$3)^(KKF!A27)</f>
        <v>0.1036667650806883</v>
      </c>
      <c r="P27" s="263">
        <f t="shared" ca="1" si="7"/>
        <v>-0.16355439331626884</v>
      </c>
      <c r="Q27" s="263">
        <f t="shared" ca="1" si="9"/>
        <v>-108.10215710621742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1055.9999999999995</v>
      </c>
      <c r="D28" s="263">
        <f t="shared" si="5"/>
        <v>175.99999999999991</v>
      </c>
      <c r="E28" s="263">
        <f t="shared" si="0"/>
        <v>879.99999999999966</v>
      </c>
      <c r="F28" s="261"/>
      <c r="G28" s="265">
        <f ca="1">DATA!$D$11/1000000</f>
        <v>1.932701955075</v>
      </c>
      <c r="H28" s="265">
        <f>C28*DATA!$D$5/1000000</f>
        <v>1.1448360484562323</v>
      </c>
      <c r="I28" s="265">
        <f>(C28*DATA!$D$5*DATA!$D$7)/1000000</f>
        <v>2.5758811090265225E-2</v>
      </c>
      <c r="J28" s="263">
        <f t="shared" ca="1" si="1"/>
        <v>3.1032968146214976</v>
      </c>
      <c r="K28" s="261"/>
      <c r="L28" s="263">
        <f>((D28*DATA!$D$23)/1000000)+((E28*DATA!$D$24)/1000000)</f>
        <v>1.5256031999999995</v>
      </c>
      <c r="M28" s="263">
        <f t="shared" si="2"/>
        <v>1.5256031999999995</v>
      </c>
      <c r="N28" s="263">
        <f t="shared" ca="1" si="6"/>
        <v>-1.5776936146214982</v>
      </c>
      <c r="O28" s="262">
        <f>1/(1+'[93]Asumsi I'!$C$3)^(KKF!A28)</f>
        <v>9.2559611679185971E-2</v>
      </c>
      <c r="P28" s="263">
        <f t="shared" ca="1" si="7"/>
        <v>-0.14603070831809714</v>
      </c>
      <c r="Q28" s="263">
        <f t="shared" ca="1" si="9"/>
        <v>-108.24818781453551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1055.9999999999995</v>
      </c>
      <c r="D29" s="263">
        <f t="shared" si="5"/>
        <v>175.99999999999991</v>
      </c>
      <c r="E29" s="263">
        <f t="shared" si="0"/>
        <v>879.99999999999966</v>
      </c>
      <c r="F29" s="261"/>
      <c r="G29" s="265">
        <f ca="1">DATA!$D$11/1000000</f>
        <v>1.932701955075</v>
      </c>
      <c r="H29" s="265">
        <f>C29*DATA!$D$5/1000000</f>
        <v>1.1448360484562323</v>
      </c>
      <c r="I29" s="265">
        <f>(C29*DATA!$D$5*DATA!$D$7)/1000000</f>
        <v>2.5758811090265225E-2</v>
      </c>
      <c r="J29" s="263">
        <f t="shared" ca="1" si="1"/>
        <v>3.1032968146214976</v>
      </c>
      <c r="K29" s="261"/>
      <c r="L29" s="263">
        <f>((D29*DATA!$D$23)/1000000)+((E29*DATA!$D$24)/1000000)</f>
        <v>1.5256031999999995</v>
      </c>
      <c r="M29" s="263">
        <f t="shared" si="2"/>
        <v>1.5256031999999995</v>
      </c>
      <c r="N29" s="263">
        <f t="shared" ca="1" si="6"/>
        <v>-1.5776936146214982</v>
      </c>
      <c r="O29" s="262">
        <f>1/(1+'[93]Asumsi I'!$C$3)^(KKF!A29)</f>
        <v>8.2642510427844609E-2</v>
      </c>
      <c r="P29" s="263">
        <f t="shared" ca="1" si="7"/>
        <v>-0.13038456099830101</v>
      </c>
      <c r="Q29" s="263">
        <f t="shared" ca="1" si="9"/>
        <v>-108.37857237553381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1055.9999999999995</v>
      </c>
      <c r="D30" s="263">
        <f t="shared" si="5"/>
        <v>175.99999999999991</v>
      </c>
      <c r="E30" s="263">
        <f t="shared" si="0"/>
        <v>879.99999999999966</v>
      </c>
      <c r="F30" s="261"/>
      <c r="G30" s="265">
        <f ca="1">DATA!$D$11/1000000</f>
        <v>1.932701955075</v>
      </c>
      <c r="H30" s="265">
        <f>C30*DATA!$D$5/1000000</f>
        <v>1.1448360484562323</v>
      </c>
      <c r="I30" s="265">
        <f>(C30*DATA!$D$5*DATA!$D$7)/1000000</f>
        <v>2.5758811090265225E-2</v>
      </c>
      <c r="J30" s="263">
        <f t="shared" ca="1" si="1"/>
        <v>3.1032968146214976</v>
      </c>
      <c r="K30" s="261"/>
      <c r="L30" s="263">
        <f>((D30*DATA!$D$23)/1000000)+((E30*DATA!$D$24)/1000000)</f>
        <v>1.5256031999999995</v>
      </c>
      <c r="M30" s="263">
        <f t="shared" si="2"/>
        <v>1.5256031999999995</v>
      </c>
      <c r="N30" s="263">
        <f t="shared" ca="1" si="6"/>
        <v>-1.5776936146214982</v>
      </c>
      <c r="O30" s="262">
        <f>1/(1+'[93]Asumsi I'!$C$3)^(KKF!A30)</f>
        <v>7.3787955739146982E-2</v>
      </c>
      <c r="P30" s="263">
        <f t="shared" ca="1" si="7"/>
        <v>-0.11641478660562592</v>
      </c>
      <c r="Q30" s="263">
        <f t="shared" ca="1" si="9"/>
        <v>-108.49498716213944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1055.9999999999995</v>
      </c>
      <c r="D31" s="263">
        <f t="shared" si="5"/>
        <v>175.99999999999991</v>
      </c>
      <c r="E31" s="263">
        <f t="shared" si="0"/>
        <v>879.99999999999966</v>
      </c>
      <c r="F31" s="261"/>
      <c r="G31" s="265">
        <f ca="1">DATA!$D$11/1000000</f>
        <v>1.932701955075</v>
      </c>
      <c r="H31" s="265">
        <f>C31*DATA!$D$5/1000000</f>
        <v>1.1448360484562323</v>
      </c>
      <c r="I31" s="265">
        <f>(C31*DATA!$D$5*DATA!$D$7)/1000000</f>
        <v>2.5758811090265225E-2</v>
      </c>
      <c r="J31" s="263">
        <f t="shared" ca="1" si="1"/>
        <v>3.1032968146214976</v>
      </c>
      <c r="K31" s="261"/>
      <c r="L31" s="263">
        <f>((D31*DATA!$D$23)/1000000)+((E31*DATA!$D$24)/1000000)</f>
        <v>1.5256031999999995</v>
      </c>
      <c r="M31" s="263">
        <f t="shared" si="2"/>
        <v>1.5256031999999995</v>
      </c>
      <c r="N31" s="263">
        <f t="shared" ca="1" si="6"/>
        <v>-1.5776936146214982</v>
      </c>
      <c r="O31" s="262">
        <f>1/(1+'[93]Asumsi I'!$C$3)^(KKF!A31)</f>
        <v>6.5882103338524081E-2</v>
      </c>
      <c r="P31" s="263">
        <f t="shared" ca="1" si="7"/>
        <v>-0.10394177375502313</v>
      </c>
      <c r="Q31" s="263">
        <f ca="1">Q30+P31</f>
        <v>-108.59892893589446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1055.9999999999995</v>
      </c>
      <c r="D32" s="263">
        <f t="shared" si="5"/>
        <v>175.99999999999991</v>
      </c>
      <c r="E32" s="263">
        <f t="shared" si="0"/>
        <v>879.99999999999966</v>
      </c>
      <c r="F32" s="261"/>
      <c r="G32" s="265">
        <f ca="1">DATA!$D$11/1000000</f>
        <v>1.932701955075</v>
      </c>
      <c r="H32" s="265">
        <f>C32*DATA!$D$5/1000000</f>
        <v>1.1448360484562323</v>
      </c>
      <c r="I32" s="265">
        <f>(C32*DATA!$D$5*DATA!$D$7)/1000000</f>
        <v>2.5758811090265225E-2</v>
      </c>
      <c r="J32" s="263">
        <f t="shared" ca="1" si="1"/>
        <v>3.1032968146214976</v>
      </c>
      <c r="K32" s="261"/>
      <c r="L32" s="263">
        <f>((D32*DATA!$D$23)/1000000)+((E32*DATA!$D$24)/1000000)</f>
        <v>1.5256031999999995</v>
      </c>
      <c r="M32" s="263">
        <f t="shared" si="2"/>
        <v>1.5256031999999995</v>
      </c>
      <c r="N32" s="263">
        <f t="shared" ca="1" si="6"/>
        <v>-1.5776936146214982</v>
      </c>
      <c r="O32" s="262">
        <f>1/(1+'[93]Asumsi I'!$C$3)^(KKF!A32)</f>
        <v>5.8823306552253637E-2</v>
      </c>
      <c r="P32" s="263">
        <f t="shared" ca="1" si="7"/>
        <v>-9.2805155138413503E-2</v>
      </c>
      <c r="Q32" s="263">
        <f ca="1">Q31+P32</f>
        <v>-108.69173409103287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0" t="s">
        <v>1373</v>
      </c>
      <c r="G33" s="620"/>
      <c r="H33" s="620"/>
      <c r="I33" s="271"/>
      <c r="J33" s="272">
        <f ca="1">SUM(J7:J32)</f>
        <v>176.54041836087802</v>
      </c>
      <c r="K33" s="620" t="s">
        <v>1374</v>
      </c>
      <c r="L33" s="620"/>
      <c r="M33" s="272">
        <f>SUM(M7:M32)</f>
        <v>40.780414399999977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-62.723203718537803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0.23099760824537086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-97.046191152707905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9"/>
  <sheetViews>
    <sheetView showGridLines="0" zoomScale="70" zoomScaleNormal="70" zoomScaleSheetLayoutView="70" workbookViewId="0">
      <pane ySplit="13" topLeftCell="A50" activePane="bottomLeft" state="frozen"/>
      <selection activeCell="H1093" sqref="H1093"/>
      <selection pane="bottomLeft" activeCell="G65" sqref="G6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4" t="s">
        <v>1036</v>
      </c>
      <c r="P3" s="644"/>
      <c r="Q3" s="293"/>
      <c r="T3" s="291"/>
      <c r="U3" s="292" t="s">
        <v>1041</v>
      </c>
      <c r="V3" s="291"/>
    </row>
    <row r="4" spans="1:22" ht="15.75" customHeight="1">
      <c r="B4" s="645" t="s">
        <v>1023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7" t="s">
        <v>1637</v>
      </c>
      <c r="H6" s="628"/>
      <c r="I6" s="628"/>
      <c r="J6" s="628"/>
      <c r="K6" s="62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7" t="s">
        <v>0</v>
      </c>
      <c r="C11" s="649" t="s">
        <v>1</v>
      </c>
      <c r="D11" s="638" t="s">
        <v>42</v>
      </c>
      <c r="E11" s="638" t="s">
        <v>43</v>
      </c>
      <c r="F11" s="638" t="s">
        <v>2</v>
      </c>
      <c r="G11" s="652" t="s">
        <v>41</v>
      </c>
      <c r="H11" s="638" t="s">
        <v>3</v>
      </c>
      <c r="I11" s="638"/>
      <c r="J11" s="638"/>
      <c r="K11" s="63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8"/>
      <c r="C12" s="650"/>
      <c r="D12" s="642"/>
      <c r="E12" s="642"/>
      <c r="F12" s="642"/>
      <c r="G12" s="653"/>
      <c r="H12" s="640" t="s">
        <v>46</v>
      </c>
      <c r="I12" s="640" t="s">
        <v>5</v>
      </c>
      <c r="J12" s="642" t="s">
        <v>47</v>
      </c>
      <c r="K12" s="64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ca="1">IF(OR(D17="MDU",D17="MDU-KD"),(IF($O$3="RAB NON MDU","PLN KD",G17*F17)),0)</f>
        <v>0</v>
      </c>
      <c r="I17" s="308">
        <f ca="1">IF(D17="HDW",G17*F17,0)</f>
        <v>0</v>
      </c>
      <c r="J17" s="308">
        <f ca="1">IF(D17="JASA",G17*F17,0)</f>
        <v>0</v>
      </c>
      <c r="K17" s="309">
        <f ca="1">SUM(H17:J17)</f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23" t="s">
        <v>1035</v>
      </c>
      <c r="C20" s="524" t="s">
        <v>1639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3">
        <v>1</v>
      </c>
      <c r="C21" s="524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ca="1" si="0"/>
        <v>42757200</v>
      </c>
      <c r="I21" s="308">
        <f t="shared" ca="1" si="1"/>
        <v>0</v>
      </c>
      <c r="J21" s="308">
        <f t="shared" ca="1" si="2"/>
        <v>0</v>
      </c>
      <c r="K21" s="309">
        <f t="shared" ca="1" si="3"/>
        <v>42757200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4">
        <v>2</v>
      </c>
      <c r="C22" s="515" t="s">
        <v>1625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3"/>
      <c r="C23" s="515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127800</v>
      </c>
      <c r="I23" s="308">
        <f t="shared" ca="1" si="1"/>
        <v>0</v>
      </c>
      <c r="J23" s="308">
        <f t="shared" ca="1" si="2"/>
        <v>0</v>
      </c>
      <c r="K23" s="309">
        <f t="shared" ca="1" si="3"/>
        <v>127800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3"/>
      <c r="C24" s="515" t="s">
        <v>1626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3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3">
        <v>4</v>
      </c>
      <c r="C26" s="524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64" ca="1" si="4">IF(OR(D26="MDU",D26="MDU-KD"),(IF($O$3="RAB NON MDU","PLN KD",G26*F26)),0)</f>
        <v>2544750</v>
      </c>
      <c r="I26" s="308">
        <f t="shared" ref="I26:I64" ca="1" si="5">IF(D26="HDW",G26*F26,0)</f>
        <v>0</v>
      </c>
      <c r="J26" s="308">
        <f t="shared" ref="J26:J64" ca="1" si="6">IF(D26="JASA",G26*F26,0)</f>
        <v>0</v>
      </c>
      <c r="K26" s="309">
        <f t="shared" ref="K26:K64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3">
        <v>5</v>
      </c>
      <c r="C27" s="524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4"/>
        <v>0</v>
      </c>
      <c r="I27" s="308">
        <f t="shared" ca="1" si="5"/>
        <v>52500</v>
      </c>
      <c r="J27" s="308">
        <f t="shared" ca="1" si="6"/>
        <v>0</v>
      </c>
      <c r="K27" s="309">
        <f t="shared" ca="1" si="7"/>
        <v>52500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3">
        <v>6</v>
      </c>
      <c r="C28" s="524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637000</v>
      </c>
      <c r="J28" s="308">
        <f t="shared" ca="1" si="6"/>
        <v>0</v>
      </c>
      <c r="K28" s="309">
        <f t="shared" ca="1" si="7"/>
        <v>637000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3">
        <v>7</v>
      </c>
      <c r="C29" s="524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>
        <f>F20*22</f>
        <v>22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174636</v>
      </c>
      <c r="J29" s="308">
        <f t="shared" ca="1" si="6"/>
        <v>0</v>
      </c>
      <c r="K29" s="309">
        <f t="shared" ca="1" si="7"/>
        <v>174636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3">
        <v>8</v>
      </c>
      <c r="C30" s="524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F20*1</f>
        <v>1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404600</v>
      </c>
      <c r="J30" s="308">
        <f t="shared" ca="1" si="6"/>
        <v>0</v>
      </c>
      <c r="K30" s="309">
        <f t="shared" ca="1" si="7"/>
        <v>404600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3">
        <v>9</v>
      </c>
      <c r="C31" s="524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47700</v>
      </c>
      <c r="J31" s="308">
        <f t="shared" ca="1" si="6"/>
        <v>0</v>
      </c>
      <c r="K31" s="309">
        <f t="shared" ca="1" si="7"/>
        <v>47700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3">
        <v>10</v>
      </c>
      <c r="C32" s="524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4"/>
        <v>0</v>
      </c>
      <c r="I32" s="308">
        <f t="shared" ca="1" si="5"/>
        <v>1415500</v>
      </c>
      <c r="J32" s="308">
        <f t="shared" ca="1" si="6"/>
        <v>0</v>
      </c>
      <c r="K32" s="309">
        <f t="shared" ca="1" si="7"/>
        <v>1415500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3">
        <v>11</v>
      </c>
      <c r="C33" s="524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4"/>
        <v>0</v>
      </c>
      <c r="I33" s="308">
        <f t="shared" ca="1" si="5"/>
        <v>1522000</v>
      </c>
      <c r="J33" s="308">
        <f t="shared" ca="1" si="6"/>
        <v>0</v>
      </c>
      <c r="K33" s="309">
        <f t="shared" ca="1" si="7"/>
        <v>1522000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3">
        <v>12</v>
      </c>
      <c r="C34" s="524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520200</v>
      </c>
      <c r="J34" s="308">
        <f t="shared" ca="1" si="6"/>
        <v>0</v>
      </c>
      <c r="K34" s="309">
        <f t="shared" ca="1" si="7"/>
        <v>520200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3">
        <v>13</v>
      </c>
      <c r="C35" s="524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>
        <f>F20*1</f>
        <v>1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57690</v>
      </c>
      <c r="J35" s="308">
        <f t="shared" ca="1" si="6"/>
        <v>0</v>
      </c>
      <c r="K35" s="309">
        <f t="shared" ca="1" si="7"/>
        <v>57690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3">
        <v>14</v>
      </c>
      <c r="C36" s="524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4"/>
        <v>0</v>
      </c>
      <c r="I36" s="308">
        <f t="shared" ca="1" si="5"/>
        <v>135000</v>
      </c>
      <c r="J36" s="308">
        <f t="shared" ca="1" si="6"/>
        <v>0</v>
      </c>
      <c r="K36" s="309">
        <f t="shared" ca="1" si="7"/>
        <v>135000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3">
        <v>15</v>
      </c>
      <c r="C37" s="524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>
        <f>F20*2</f>
        <v>2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258000</v>
      </c>
      <c r="J37" s="308">
        <f t="shared" ca="1" si="6"/>
        <v>0</v>
      </c>
      <c r="K37" s="309">
        <f t="shared" ca="1" si="7"/>
        <v>258000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3">
        <v>16</v>
      </c>
      <c r="C38" s="524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>
        <f>F20*4</f>
        <v>4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4"/>
        <v>0</v>
      </c>
      <c r="I38" s="308">
        <f t="shared" ca="1" si="5"/>
        <v>1000000</v>
      </c>
      <c r="J38" s="308">
        <f t="shared" ca="1" si="6"/>
        <v>0</v>
      </c>
      <c r="K38" s="309">
        <f t="shared" ca="1" si="7"/>
        <v>1000000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3">
        <v>17</v>
      </c>
      <c r="C39" s="524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1">
        <f>F20*1</f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ca="1">IF(OR(D39="MDU",D39="MDU-KD"),(IF($O$3="RAB NON MDU","PLN KD",G39*F39)),0)</f>
        <v>0</v>
      </c>
      <c r="I39" s="308">
        <f ca="1">IF(D39="HDW",G39*F39,0)</f>
        <v>0</v>
      </c>
      <c r="J39" s="308">
        <f ca="1">IF(D39="JASA",G39*F39,0)</f>
        <v>1182800</v>
      </c>
      <c r="K39" s="309">
        <f ca="1">SUM(H39:J39)</f>
        <v>1182800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2"/>
      <c r="C40" s="51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1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7" t="s">
        <v>1035</v>
      </c>
      <c r="C41" s="518" t="s">
        <v>1629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1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4"/>
        <v>0</v>
      </c>
      <c r="I41" s="308">
        <f t="shared" ca="1" si="5"/>
        <v>0</v>
      </c>
      <c r="J41" s="308">
        <f t="shared" ca="1" si="6"/>
        <v>0</v>
      </c>
      <c r="K41" s="309">
        <f t="shared" ca="1" si="7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7">
        <v>1</v>
      </c>
      <c r="C42" s="518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F41*1</f>
        <v>2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4"/>
        <v>0</v>
      </c>
      <c r="I42" s="308">
        <f t="shared" ca="1" si="5"/>
        <v>157000</v>
      </c>
      <c r="J42" s="308">
        <f t="shared" ca="1" si="6"/>
        <v>0</v>
      </c>
      <c r="K42" s="309">
        <f t="shared" ca="1" si="7"/>
        <v>157000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7">
        <v>2</v>
      </c>
      <c r="C43" s="518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F41*1</f>
        <v>2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4"/>
        <v>0</v>
      </c>
      <c r="I43" s="308">
        <f t="shared" ca="1" si="5"/>
        <v>8424</v>
      </c>
      <c r="J43" s="308">
        <f t="shared" ca="1" si="6"/>
        <v>0</v>
      </c>
      <c r="K43" s="309">
        <f t="shared" ca="1" si="7"/>
        <v>8424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7">
        <v>3</v>
      </c>
      <c r="C44" s="518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1">
        <f>F41*1</f>
        <v>2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4"/>
        <v>0</v>
      </c>
      <c r="I44" s="308">
        <f t="shared" ca="1" si="5"/>
        <v>46620</v>
      </c>
      <c r="J44" s="308">
        <f t="shared" ca="1" si="6"/>
        <v>0</v>
      </c>
      <c r="K44" s="309">
        <f t="shared" ca="1" si="7"/>
        <v>46620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7">
        <v>4</v>
      </c>
      <c r="C45" s="518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1">
        <f>F41*1</f>
        <v>2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4"/>
        <v>0</v>
      </c>
      <c r="I45" s="308">
        <f t="shared" ca="1" si="5"/>
        <v>4600</v>
      </c>
      <c r="J45" s="308">
        <f t="shared" ca="1" si="6"/>
        <v>0</v>
      </c>
      <c r="K45" s="309">
        <f t="shared" ca="1" si="7"/>
        <v>4600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7">
        <v>5</v>
      </c>
      <c r="C46" s="518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1">
        <f>F41*1</f>
        <v>2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4"/>
        <v>0</v>
      </c>
      <c r="I46" s="308">
        <f t="shared" ca="1" si="5"/>
        <v>0</v>
      </c>
      <c r="J46" s="308">
        <f t="shared" ca="1" si="6"/>
        <v>71400</v>
      </c>
      <c r="K46" s="309">
        <f t="shared" ca="1" si="7"/>
        <v>71400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7"/>
      <c r="C47" s="518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1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4"/>
        <v>0</v>
      </c>
      <c r="I47" s="308">
        <f t="shared" ca="1" si="5"/>
        <v>0</v>
      </c>
      <c r="J47" s="308">
        <f t="shared" ca="1" si="6"/>
        <v>0</v>
      </c>
      <c r="K47" s="309">
        <f t="shared" ca="1" si="7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23" t="s">
        <v>1035</v>
      </c>
      <c r="C48" s="524" t="s">
        <v>1634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51">
        <v>6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4"/>
        <v>0</v>
      </c>
      <c r="I48" s="308">
        <f t="shared" ca="1" si="5"/>
        <v>0</v>
      </c>
      <c r="J48" s="308">
        <f t="shared" ca="1" si="6"/>
        <v>0</v>
      </c>
      <c r="K48" s="309">
        <f t="shared" ca="1" si="7"/>
        <v>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23">
        <v>1</v>
      </c>
      <c r="C49" s="524" t="s">
        <v>229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1">
        <f>F48*1</f>
        <v>6</v>
      </c>
      <c r="G49" s="307">
        <f ca="1">IF(ISERROR(OFFSET('HARGA SATUAN'!$I$6,MATCH(RAB!C49,'HARGA SATUAN'!$C$7:$C$1495,0),0)),0,OFFSET('HARGA SATUAN'!$I$6,MATCH(RAB!C49,'HARGA SATUAN'!$C$7:$C$1495,0),0))</f>
        <v>4212</v>
      </c>
      <c r="H49" s="308">
        <f t="shared" ca="1" si="4"/>
        <v>0</v>
      </c>
      <c r="I49" s="308">
        <f t="shared" ca="1" si="5"/>
        <v>25272</v>
      </c>
      <c r="J49" s="308">
        <f t="shared" ca="1" si="6"/>
        <v>0</v>
      </c>
      <c r="K49" s="309">
        <f t="shared" ca="1" si="7"/>
        <v>25272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23">
        <v>2</v>
      </c>
      <c r="C50" s="524" t="s">
        <v>266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51">
        <f>F48*1</f>
        <v>6</v>
      </c>
      <c r="G50" s="307">
        <f ca="1">IF(ISERROR(OFFSET('HARGA SATUAN'!$I$6,MATCH(RAB!C50,'HARGA SATUAN'!$C$7:$C$1495,0),0)),0,OFFSET('HARGA SATUAN'!$I$6,MATCH(RAB!C50,'HARGA SATUAN'!$C$7:$C$1495,0),0))</f>
        <v>23310</v>
      </c>
      <c r="H50" s="308">
        <f t="shared" ca="1" si="4"/>
        <v>0</v>
      </c>
      <c r="I50" s="308">
        <f t="shared" ca="1" si="5"/>
        <v>139860</v>
      </c>
      <c r="J50" s="308">
        <f t="shared" ca="1" si="6"/>
        <v>0</v>
      </c>
      <c r="K50" s="309">
        <f t="shared" ca="1" si="7"/>
        <v>139860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23">
        <v>3</v>
      </c>
      <c r="C51" s="524" t="s">
        <v>35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1">
        <f>F48*1</f>
        <v>6</v>
      </c>
      <c r="G51" s="307">
        <f ca="1">IF(ISERROR(OFFSET('HARGA SATUAN'!$I$6,MATCH(RAB!C51,'HARGA SATUAN'!$C$7:$C$1495,0),0)),0,OFFSET('HARGA SATUAN'!$I$6,MATCH(RAB!C51,'HARGA SATUAN'!$C$7:$C$1495,0),0))</f>
        <v>2300</v>
      </c>
      <c r="H51" s="308">
        <f t="shared" ca="1" si="4"/>
        <v>0</v>
      </c>
      <c r="I51" s="308">
        <f t="shared" ca="1" si="5"/>
        <v>13800</v>
      </c>
      <c r="J51" s="308">
        <f t="shared" ca="1" si="6"/>
        <v>0</v>
      </c>
      <c r="K51" s="309">
        <f t="shared" ca="1" si="7"/>
        <v>13800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23">
        <v>4</v>
      </c>
      <c r="C52" s="524" t="s">
        <v>609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1">
        <f>F48*1</f>
        <v>6</v>
      </c>
      <c r="G52" s="307">
        <f ca="1">IF(ISERROR(OFFSET('HARGA SATUAN'!$I$6,MATCH(RAB!C52,'HARGA SATUAN'!$C$7:$C$1495,0),0)),0,OFFSET('HARGA SATUAN'!$I$6,MATCH(RAB!C52,'HARGA SATUAN'!$C$7:$C$1495,0),0))</f>
        <v>71000</v>
      </c>
      <c r="H52" s="308">
        <f t="shared" ca="1" si="4"/>
        <v>0</v>
      </c>
      <c r="I52" s="308">
        <f t="shared" ca="1" si="5"/>
        <v>426000</v>
      </c>
      <c r="J52" s="308">
        <f t="shared" ca="1" si="6"/>
        <v>0</v>
      </c>
      <c r="K52" s="309">
        <f t="shared" ca="1" si="7"/>
        <v>426000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23">
        <v>5</v>
      </c>
      <c r="C53" s="524" t="s">
        <v>629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1">
        <f>F48*1</f>
        <v>6</v>
      </c>
      <c r="G53" s="307">
        <f ca="1">IF(ISERROR(OFFSET('HARGA SATUAN'!$I$6,MATCH(RAB!C53,'HARGA SATUAN'!$C$7:$C$1495,0),0)),0,OFFSET('HARGA SATUAN'!$I$6,MATCH(RAB!C53,'HARGA SATUAN'!$C$7:$C$1495,0),0))</f>
        <v>29400</v>
      </c>
      <c r="H53" s="308">
        <f t="shared" ca="1" si="4"/>
        <v>0</v>
      </c>
      <c r="I53" s="308">
        <f t="shared" ca="1" si="5"/>
        <v>0</v>
      </c>
      <c r="J53" s="308">
        <f t="shared" ca="1" si="6"/>
        <v>176400</v>
      </c>
      <c r="K53" s="309">
        <f t="shared" ca="1" si="7"/>
        <v>176400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17"/>
      <c r="C54" s="518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1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4"/>
        <v>0</v>
      </c>
      <c r="I54" s="308">
        <f t="shared" ca="1" si="5"/>
        <v>0</v>
      </c>
      <c r="J54" s="308">
        <f t="shared" ca="1" si="6"/>
        <v>0</v>
      </c>
      <c r="K54" s="309">
        <f t="shared" ca="1" si="7"/>
        <v>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14" t="s">
        <v>1035</v>
      </c>
      <c r="C55" s="525" t="s">
        <v>1636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1">
        <v>2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4"/>
        <v>0</v>
      </c>
      <c r="I55" s="308">
        <f t="shared" ca="1" si="5"/>
        <v>0</v>
      </c>
      <c r="J55" s="308">
        <f t="shared" ca="1" si="6"/>
        <v>0</v>
      </c>
      <c r="K55" s="309">
        <f t="shared" ca="1" si="7"/>
        <v>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14">
        <v>1</v>
      </c>
      <c r="C56" s="526" t="s">
        <v>29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1">
        <f>F55*1</f>
        <v>2</v>
      </c>
      <c r="G56" s="307">
        <f ca="1">IF(ISERROR(OFFSET('HARGA SATUAN'!$I$6,MATCH(RAB!C56,'HARGA SATUAN'!$C$7:$C$1495,0),0)),0,OFFSET('HARGA SATUAN'!$I$6,MATCH(RAB!C56,'HARGA SATUAN'!$C$7:$C$1495,0),0))</f>
        <v>185200</v>
      </c>
      <c r="H56" s="308">
        <f t="shared" ca="1" si="4"/>
        <v>0</v>
      </c>
      <c r="I56" s="308">
        <f t="shared" ca="1" si="5"/>
        <v>370400</v>
      </c>
      <c r="J56" s="308">
        <f t="shared" ca="1" si="6"/>
        <v>0</v>
      </c>
      <c r="K56" s="309">
        <f t="shared" ca="1" si="7"/>
        <v>370400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23">
        <v>2</v>
      </c>
      <c r="C57" s="524" t="s">
        <v>30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1">
        <f>F55*1</f>
        <v>2</v>
      </c>
      <c r="G57" s="307">
        <f ca="1">IF(ISERROR(OFFSET('HARGA SATUAN'!$I$6,MATCH(RAB!C57,'HARGA SATUAN'!$C$7:$C$1495,0),0)),0,OFFSET('HARGA SATUAN'!$I$6,MATCH(RAB!C57,'HARGA SATUAN'!$C$7:$C$1495,0),0))</f>
        <v>47459</v>
      </c>
      <c r="H57" s="308">
        <f t="shared" ca="1" si="4"/>
        <v>0</v>
      </c>
      <c r="I57" s="308">
        <f t="shared" ca="1" si="5"/>
        <v>94918</v>
      </c>
      <c r="J57" s="308">
        <f t="shared" ca="1" si="6"/>
        <v>0</v>
      </c>
      <c r="K57" s="309">
        <f t="shared" ca="1" si="7"/>
        <v>94918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23">
        <v>3</v>
      </c>
      <c r="C58" s="524" t="s">
        <v>31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1">
        <f>F55*1</f>
        <v>2</v>
      </c>
      <c r="G58" s="307">
        <f ca="1">IF(ISERROR(OFFSET('HARGA SATUAN'!$I$6,MATCH(RAB!C58,'HARGA SATUAN'!$C$7:$C$1495,0),0)),0,OFFSET('HARGA SATUAN'!$I$6,MATCH(RAB!C58,'HARGA SATUAN'!$C$7:$C$1495,0),0))</f>
        <v>4880</v>
      </c>
      <c r="H58" s="308">
        <f t="shared" ca="1" si="4"/>
        <v>0</v>
      </c>
      <c r="I58" s="308">
        <f t="shared" ca="1" si="5"/>
        <v>9760</v>
      </c>
      <c r="J58" s="308">
        <f t="shared" ca="1" si="6"/>
        <v>0</v>
      </c>
      <c r="K58" s="309">
        <f t="shared" ca="1" si="7"/>
        <v>9760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23">
        <v>4</v>
      </c>
      <c r="C59" s="524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1">
        <f>F55*10</f>
        <v>20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4"/>
        <v>0</v>
      </c>
      <c r="I59" s="308">
        <f t="shared" ca="1" si="5"/>
        <v>600000</v>
      </c>
      <c r="J59" s="308">
        <f t="shared" ca="1" si="6"/>
        <v>0</v>
      </c>
      <c r="K59" s="309">
        <f t="shared" ca="1" si="7"/>
        <v>600000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23">
        <v>5</v>
      </c>
      <c r="C60" s="524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1">
        <f>F55*2</f>
        <v>4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4"/>
        <v>0</v>
      </c>
      <c r="I60" s="308">
        <f t="shared" ca="1" si="5"/>
        <v>38000</v>
      </c>
      <c r="J60" s="308">
        <f t="shared" ca="1" si="6"/>
        <v>0</v>
      </c>
      <c r="K60" s="309">
        <f t="shared" ca="1" si="7"/>
        <v>38000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23">
        <v>6</v>
      </c>
      <c r="C61" s="524" t="s">
        <v>34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1">
        <f>F55*5.5</f>
        <v>11</v>
      </c>
      <c r="G61" s="307">
        <f ca="1">IF(ISERROR(OFFSET('HARGA SATUAN'!$I$6,MATCH(RAB!C61,'HARGA SATUAN'!$C$7:$C$1495,0),0)),0,OFFSET('HARGA SATUAN'!$I$6,MATCH(RAB!C61,'HARGA SATUAN'!$C$7:$C$1495,0),0))</f>
        <v>6100</v>
      </c>
      <c r="H61" s="308">
        <f t="shared" ca="1" si="4"/>
        <v>0</v>
      </c>
      <c r="I61" s="308">
        <f t="shared" ca="1" si="5"/>
        <v>67100</v>
      </c>
      <c r="J61" s="308">
        <f t="shared" ca="1" si="6"/>
        <v>0</v>
      </c>
      <c r="K61" s="309">
        <f t="shared" ca="1" si="7"/>
        <v>67100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23">
        <v>7</v>
      </c>
      <c r="C62" s="524" t="s">
        <v>35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1">
        <f>F55*6</f>
        <v>12</v>
      </c>
      <c r="G62" s="307">
        <f ca="1">IF(ISERROR(OFFSET('HARGA SATUAN'!$I$6,MATCH(RAB!C62,'HARGA SATUAN'!$C$7:$C$1495,0),0)),0,OFFSET('HARGA SATUAN'!$I$6,MATCH(RAB!C62,'HARGA SATUAN'!$C$7:$C$1495,0),0))</f>
        <v>2300</v>
      </c>
      <c r="H62" s="308">
        <f t="shared" ca="1" si="4"/>
        <v>0</v>
      </c>
      <c r="I62" s="308">
        <f t="shared" ca="1" si="5"/>
        <v>27600</v>
      </c>
      <c r="J62" s="308">
        <f t="shared" ca="1" si="6"/>
        <v>0</v>
      </c>
      <c r="K62" s="309">
        <f t="shared" ca="1" si="7"/>
        <v>27600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23">
        <v>8</v>
      </c>
      <c r="C63" s="524" t="s">
        <v>1640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1">
        <f>F55*4.8</f>
        <v>9.6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4"/>
        <v>0</v>
      </c>
      <c r="I63" s="308">
        <f t="shared" ca="1" si="5"/>
        <v>223776</v>
      </c>
      <c r="J63" s="308">
        <f t="shared" ca="1" si="6"/>
        <v>0</v>
      </c>
      <c r="K63" s="309">
        <f t="shared" ca="1" si="7"/>
        <v>223776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23">
        <v>9</v>
      </c>
      <c r="C64" s="524" t="s">
        <v>736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51">
        <f>F55*1</f>
        <v>2</v>
      </c>
      <c r="G64" s="307">
        <f ca="1">IF(ISERROR(OFFSET('HARGA SATUAN'!$I$6,MATCH(RAB!C64,'HARGA SATUAN'!$C$7:$C$1495,0),0)),0,OFFSET('HARGA SATUAN'!$I$6,MATCH(RAB!C64,'HARGA SATUAN'!$C$7:$C$1495,0),0))</f>
        <v>65400</v>
      </c>
      <c r="H64" s="308">
        <f t="shared" ca="1" si="4"/>
        <v>0</v>
      </c>
      <c r="I64" s="308">
        <f t="shared" ca="1" si="5"/>
        <v>0</v>
      </c>
      <c r="J64" s="308">
        <f t="shared" ca="1" si="6"/>
        <v>130800</v>
      </c>
      <c r="K64" s="309">
        <f t="shared" ca="1" si="7"/>
        <v>130800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420"/>
      <c r="C65" s="417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1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ref="H65:H91" ca="1" si="8">IF(OR(D65="MDU",D65="MDU-KD"),(IF($O$3="RAB NON MDU","PLN KD",G65*F65)),0)</f>
        <v>0</v>
      </c>
      <c r="I65" s="308">
        <f t="shared" ref="I65:I91" ca="1" si="9">IF(D65="HDW",G65*F65,0)</f>
        <v>0</v>
      </c>
      <c r="J65" s="308">
        <f t="shared" ref="J65:J91" ca="1" si="10">IF(D65="JASA",G65*F65,0)</f>
        <v>0</v>
      </c>
      <c r="K65" s="309">
        <f t="shared" ref="K65:K91" ca="1" si="11">SUM(H65:J65)</f>
        <v>0</v>
      </c>
      <c r="L65" s="316"/>
      <c r="M65" s="289" t="e">
        <f>IF(AND(F65&gt;0,#REF!=0),"",IF(AND(ISBLANK(F65)=FALSE,K65=0),"WARNING",""))</f>
        <v>#REF!</v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20">
        <v>10</v>
      </c>
      <c r="C66" s="417" t="s">
        <v>1615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53"/>
      <c r="G66" s="307">
        <f ca="1">IF(ISERROR(OFFSET('HARGA SATUAN'!$I$6,MATCH(RAB!C66,'HARGA SATUAN'!$C$7:$C$1495,0),0)),0,OFFSET('HARGA SATUAN'!$I$6,MATCH(RAB!C66,'HARGA SATUAN'!$C$7:$C$1495,0),0))</f>
        <v>49000</v>
      </c>
      <c r="H66" s="308">
        <f t="shared" ca="1" si="8"/>
        <v>0</v>
      </c>
      <c r="I66" s="308">
        <f t="shared" ca="1" si="9"/>
        <v>0</v>
      </c>
      <c r="J66" s="308">
        <f t="shared" ca="1" si="10"/>
        <v>0</v>
      </c>
      <c r="K66" s="309">
        <f t="shared" ca="1" si="11"/>
        <v>0</v>
      </c>
      <c r="L66" s="316"/>
      <c r="M66" s="289" t="str">
        <f t="shared" ref="M66:M104" ca="1" si="12">IF(AND(F66&gt;0,F65=0),"",IF(AND(ISBLANK(F66)=FALSE,K66=0),"WARNING",""))</f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49"/>
      <c r="C67" s="450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8"/>
        <v>0</v>
      </c>
      <c r="I67" s="308">
        <f t="shared" ca="1" si="9"/>
        <v>0</v>
      </c>
      <c r="J67" s="308">
        <f t="shared" ca="1" si="10"/>
        <v>0</v>
      </c>
      <c r="K67" s="309">
        <f t="shared" ca="1" si="11"/>
        <v>0</v>
      </c>
      <c r="L67" s="316"/>
      <c r="M67" s="289" t="str">
        <f t="shared" ca="1" si="1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49"/>
      <c r="C68" s="45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3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8"/>
        <v>0</v>
      </c>
      <c r="I68" s="308">
        <f t="shared" ca="1" si="9"/>
        <v>0</v>
      </c>
      <c r="J68" s="308">
        <f t="shared" ca="1" si="10"/>
        <v>0</v>
      </c>
      <c r="K68" s="309">
        <f t="shared" ca="1" si="11"/>
        <v>0</v>
      </c>
      <c r="L68" s="316"/>
      <c r="M68" s="289" t="str">
        <f t="shared" ca="1" si="1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49"/>
      <c r="C69" s="450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3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8"/>
        <v>0</v>
      </c>
      <c r="I69" s="308">
        <f t="shared" ca="1" si="9"/>
        <v>0</v>
      </c>
      <c r="J69" s="308">
        <f t="shared" ca="1" si="10"/>
        <v>0</v>
      </c>
      <c r="K69" s="309">
        <f t="shared" ca="1" si="11"/>
        <v>0</v>
      </c>
      <c r="L69" s="316"/>
      <c r="M69" s="289" t="str">
        <f t="shared" ca="1" si="1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49"/>
      <c r="C70" s="450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3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8"/>
        <v>0</v>
      </c>
      <c r="I70" s="308">
        <f t="shared" ca="1" si="9"/>
        <v>0</v>
      </c>
      <c r="J70" s="308">
        <f t="shared" ca="1" si="10"/>
        <v>0</v>
      </c>
      <c r="K70" s="309">
        <f t="shared" ca="1" si="11"/>
        <v>0</v>
      </c>
      <c r="L70" s="316"/>
      <c r="M70" s="289" t="str">
        <f t="shared" ca="1" si="1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49"/>
      <c r="C71" s="450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3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8"/>
        <v>0</v>
      </c>
      <c r="I71" s="308">
        <f t="shared" ca="1" si="9"/>
        <v>0</v>
      </c>
      <c r="J71" s="308">
        <f t="shared" ca="1" si="10"/>
        <v>0</v>
      </c>
      <c r="K71" s="309">
        <f t="shared" ca="1" si="11"/>
        <v>0</v>
      </c>
      <c r="L71" s="316"/>
      <c r="M71" s="289" t="str">
        <f t="shared" ca="1" si="1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49"/>
      <c r="C72" s="450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3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8"/>
        <v>0</v>
      </c>
      <c r="I72" s="308">
        <f t="shared" ca="1" si="9"/>
        <v>0</v>
      </c>
      <c r="J72" s="308">
        <f t="shared" ca="1" si="10"/>
        <v>0</v>
      </c>
      <c r="K72" s="309">
        <f t="shared" ca="1" si="11"/>
        <v>0</v>
      </c>
      <c r="L72" s="316"/>
      <c r="M72" s="289" t="str">
        <f t="shared" ca="1" si="1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49"/>
      <c r="C73" s="450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3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8"/>
        <v>0</v>
      </c>
      <c r="I73" s="308">
        <f t="shared" ca="1" si="9"/>
        <v>0</v>
      </c>
      <c r="J73" s="308">
        <f t="shared" ca="1" si="10"/>
        <v>0</v>
      </c>
      <c r="K73" s="309">
        <f t="shared" ca="1" si="11"/>
        <v>0</v>
      </c>
      <c r="L73" s="316"/>
      <c r="M73" s="289" t="str">
        <f t="shared" ca="1" si="1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3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8"/>
        <v>0</v>
      </c>
      <c r="I74" s="308">
        <f t="shared" ca="1" si="9"/>
        <v>0</v>
      </c>
      <c r="J74" s="308">
        <f t="shared" ca="1" si="10"/>
        <v>0</v>
      </c>
      <c r="K74" s="309">
        <f t="shared" ca="1" si="11"/>
        <v>0</v>
      </c>
      <c r="L74" s="316"/>
      <c r="M74" s="289" t="str">
        <f t="shared" ca="1" si="1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8"/>
        <v>0</v>
      </c>
      <c r="I75" s="308">
        <f t="shared" ca="1" si="9"/>
        <v>0</v>
      </c>
      <c r="J75" s="308">
        <f t="shared" ca="1" si="10"/>
        <v>0</v>
      </c>
      <c r="K75" s="309">
        <f t="shared" ca="1" si="11"/>
        <v>0</v>
      </c>
      <c r="L75" s="316"/>
      <c r="M75" s="289" t="str">
        <f t="shared" ca="1" si="1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49"/>
      <c r="C76" s="45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3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8"/>
        <v>0</v>
      </c>
      <c r="I76" s="308">
        <f t="shared" ca="1" si="9"/>
        <v>0</v>
      </c>
      <c r="J76" s="308">
        <f t="shared" ca="1" si="10"/>
        <v>0</v>
      </c>
      <c r="K76" s="309">
        <f t="shared" ca="1" si="11"/>
        <v>0</v>
      </c>
      <c r="L76" s="316"/>
      <c r="M76" s="289" t="str">
        <f t="shared" ca="1" si="1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49"/>
      <c r="C77" s="45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3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8"/>
        <v>0</v>
      </c>
      <c r="I77" s="308">
        <f t="shared" ca="1" si="9"/>
        <v>0</v>
      </c>
      <c r="J77" s="308">
        <f t="shared" ca="1" si="10"/>
        <v>0</v>
      </c>
      <c r="K77" s="309">
        <f t="shared" ca="1" si="11"/>
        <v>0</v>
      </c>
      <c r="L77" s="316"/>
      <c r="M77" s="289" t="str">
        <f t="shared" ca="1" si="1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49"/>
      <c r="C78" s="45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3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8"/>
        <v>0</v>
      </c>
      <c r="I78" s="308">
        <f t="shared" ca="1" si="9"/>
        <v>0</v>
      </c>
      <c r="J78" s="308">
        <f t="shared" ca="1" si="10"/>
        <v>0</v>
      </c>
      <c r="K78" s="309">
        <f t="shared" ca="1" si="11"/>
        <v>0</v>
      </c>
      <c r="L78" s="316"/>
      <c r="M78" s="289" t="str">
        <f t="shared" ca="1" si="1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49"/>
      <c r="C79" s="45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3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8"/>
        <v>0</v>
      </c>
      <c r="I79" s="308">
        <f t="shared" ca="1" si="9"/>
        <v>0</v>
      </c>
      <c r="J79" s="308">
        <f t="shared" ca="1" si="10"/>
        <v>0</v>
      </c>
      <c r="K79" s="309">
        <f t="shared" ca="1" si="11"/>
        <v>0</v>
      </c>
      <c r="L79" s="316"/>
      <c r="M79" s="289" t="str">
        <f t="shared" ca="1" si="1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49"/>
      <c r="C80" s="450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3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8"/>
        <v>0</v>
      </c>
      <c r="I80" s="308">
        <f t="shared" ca="1" si="9"/>
        <v>0</v>
      </c>
      <c r="J80" s="308">
        <f t="shared" ca="1" si="10"/>
        <v>0</v>
      </c>
      <c r="K80" s="309">
        <f t="shared" ca="1" si="11"/>
        <v>0</v>
      </c>
      <c r="L80" s="316"/>
      <c r="M80" s="289" t="str">
        <f t="shared" ca="1" si="1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49"/>
      <c r="C81" s="450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3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8"/>
        <v>0</v>
      </c>
      <c r="I81" s="308">
        <f t="shared" ca="1" si="9"/>
        <v>0</v>
      </c>
      <c r="J81" s="308">
        <f t="shared" ca="1" si="10"/>
        <v>0</v>
      </c>
      <c r="K81" s="309">
        <f t="shared" ca="1" si="11"/>
        <v>0</v>
      </c>
      <c r="L81" s="316"/>
      <c r="M81" s="289" t="str">
        <f t="shared" ca="1" si="1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49"/>
      <c r="C82" s="45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3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8"/>
        <v>0</v>
      </c>
      <c r="I82" s="308">
        <f t="shared" ca="1" si="9"/>
        <v>0</v>
      </c>
      <c r="J82" s="308">
        <f t="shared" ca="1" si="10"/>
        <v>0</v>
      </c>
      <c r="K82" s="309">
        <f t="shared" ca="1" si="11"/>
        <v>0</v>
      </c>
      <c r="L82" s="316"/>
      <c r="M82" s="289" t="str">
        <f t="shared" ca="1" si="1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49"/>
      <c r="C83" s="450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3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8"/>
        <v>0</v>
      </c>
      <c r="I83" s="308">
        <f t="shared" ca="1" si="9"/>
        <v>0</v>
      </c>
      <c r="J83" s="308">
        <f t="shared" ca="1" si="10"/>
        <v>0</v>
      </c>
      <c r="K83" s="309">
        <f t="shared" ca="1" si="11"/>
        <v>0</v>
      </c>
      <c r="L83" s="316"/>
      <c r="M83" s="289" t="str">
        <f t="shared" ca="1" si="1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49"/>
      <c r="C84" s="450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3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8"/>
        <v>0</v>
      </c>
      <c r="I84" s="308">
        <f t="shared" ca="1" si="9"/>
        <v>0</v>
      </c>
      <c r="J84" s="308">
        <f t="shared" ca="1" si="10"/>
        <v>0</v>
      </c>
      <c r="K84" s="309">
        <f t="shared" ca="1" si="11"/>
        <v>0</v>
      </c>
      <c r="L84" s="316"/>
      <c r="M84" s="289" t="str">
        <f t="shared" ca="1" si="1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49"/>
      <c r="C85" s="450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3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8"/>
        <v>0</v>
      </c>
      <c r="I85" s="308">
        <f t="shared" ca="1" si="9"/>
        <v>0</v>
      </c>
      <c r="J85" s="308">
        <f t="shared" ca="1" si="10"/>
        <v>0</v>
      </c>
      <c r="K85" s="309">
        <f t="shared" ca="1" si="11"/>
        <v>0</v>
      </c>
      <c r="L85" s="316"/>
      <c r="M85" s="289" t="str">
        <f t="shared" ca="1" si="1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49"/>
      <c r="C86" s="45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3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8"/>
        <v>0</v>
      </c>
      <c r="I86" s="308">
        <f t="shared" ca="1" si="9"/>
        <v>0</v>
      </c>
      <c r="J86" s="308">
        <f t="shared" ca="1" si="10"/>
        <v>0</v>
      </c>
      <c r="K86" s="309">
        <f t="shared" ca="1" si="11"/>
        <v>0</v>
      </c>
      <c r="L86" s="316"/>
      <c r="M86" s="289" t="str">
        <f t="shared" ca="1" si="1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18" t="s">
        <v>1602</v>
      </c>
      <c r="C87" s="421" t="s">
        <v>1604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4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8"/>
        <v>0</v>
      </c>
      <c r="I87" s="308">
        <f t="shared" ca="1" si="9"/>
        <v>0</v>
      </c>
      <c r="J87" s="308">
        <f t="shared" ca="1" si="10"/>
        <v>0</v>
      </c>
      <c r="K87" s="309">
        <f t="shared" ca="1" si="11"/>
        <v>0</v>
      </c>
      <c r="L87" s="316"/>
      <c r="M87" s="289" t="str">
        <f t="shared" ca="1" si="12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1</v>
      </c>
      <c r="C88" s="109" t="s">
        <v>1457</v>
      </c>
      <c r="D88" s="305" t="str">
        <f ca="1">IF(ISERROR(OFFSET('HARGA SATUAN'!$D$6,MATCH(RAB!C88,'HARGA SATUAN'!$C$7:$C$1495,0),0)),"",OFFSET('HARGA SATUAN'!$D$6,MATCH(RAB!C88,'HARGA SATUAN'!$C$7:$C$1495,0),0))</f>
        <v>MDU-KD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516">
        <v>360</v>
      </c>
      <c r="G88" s="307">
        <f ca="1">IF(ISERROR(OFFSET('HARGA SATUAN'!$I$6,MATCH(RAB!C88,'HARGA SATUAN'!$C$7:$C$1495,0),0)),0,OFFSET('HARGA SATUAN'!$I$6,MATCH(RAB!C88,'HARGA SATUAN'!$C$7:$C$1495,0),0))</f>
        <v>54500</v>
      </c>
      <c r="H88" s="308">
        <f t="shared" ca="1" si="8"/>
        <v>19620000</v>
      </c>
      <c r="I88" s="308">
        <f t="shared" ca="1" si="9"/>
        <v>0</v>
      </c>
      <c r="J88" s="308">
        <f t="shared" ca="1" si="10"/>
        <v>0</v>
      </c>
      <c r="K88" s="309">
        <f t="shared" ca="1" si="11"/>
        <v>19620000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2</v>
      </c>
      <c r="C89" s="109" t="s">
        <v>346</v>
      </c>
      <c r="D89" s="305" t="str">
        <f ca="1">IF(ISERROR(OFFSET('HARGA SATUAN'!$D$6,MATCH(RAB!C89,'HARGA SATUAN'!$C$7:$C$1495,0),0)),"",OFFSET('HARGA SATUAN'!$D$6,MATCH(RAB!C89,'HARGA SATUAN'!$C$7:$C$1495,0),0))</f>
        <v>JASA</v>
      </c>
      <c r="E89" s="306" t="str">
        <f ca="1">IF(B89="+","Unit",IF(ISERROR(OFFSET('HARGA SATUAN'!$E$6,MATCH(RAB!C89,'HARGA SATUAN'!$C$7:$C$1495,0),0)),"",OFFSET('HARGA SATUAN'!$E$6,MATCH(RAB!C89,'HARGA SATUAN'!$C$7:$C$1495,0),0)))</f>
        <v>Per 50 m</v>
      </c>
      <c r="F89" s="516">
        <v>7.2</v>
      </c>
      <c r="G89" s="307">
        <f ca="1">IF(ISERROR(OFFSET('HARGA SATUAN'!$I$6,MATCH(RAB!C89,'HARGA SATUAN'!$C$7:$C$1495,0),0)),0,OFFSET('HARGA SATUAN'!$I$6,MATCH(RAB!C89,'HARGA SATUAN'!$C$7:$C$1495,0),0))</f>
        <v>223500</v>
      </c>
      <c r="H89" s="308">
        <f t="shared" ca="1" si="8"/>
        <v>0</v>
      </c>
      <c r="I89" s="308">
        <f t="shared" ca="1" si="9"/>
        <v>0</v>
      </c>
      <c r="J89" s="308">
        <f t="shared" ca="1" si="10"/>
        <v>1609200</v>
      </c>
      <c r="K89" s="309">
        <f t="shared" ca="1" si="11"/>
        <v>1609200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18"/>
      <c r="C90" s="421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4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8"/>
        <v>0</v>
      </c>
      <c r="I90" s="308">
        <f t="shared" ca="1" si="9"/>
        <v>0</v>
      </c>
      <c r="J90" s="308">
        <f t="shared" ca="1" si="10"/>
        <v>0</v>
      </c>
      <c r="K90" s="309">
        <f t="shared" ca="1" si="11"/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/>
      <c r="C91" s="319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19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8"/>
        <v>0</v>
      </c>
      <c r="I91" s="308">
        <f t="shared" ca="1" si="9"/>
        <v>0</v>
      </c>
      <c r="J91" s="308">
        <f t="shared" ca="1" si="10"/>
        <v>0</v>
      </c>
      <c r="K91" s="309">
        <f t="shared" ca="1" si="11"/>
        <v>0</v>
      </c>
      <c r="L91" s="316"/>
      <c r="M91" s="289" t="e">
        <f>IF(AND(F91&gt;0,#REF!=0),"",IF(AND(ISBLANK(F91)=FALSE,K91=0),"WARNING",""))</f>
        <v>#REF!</v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18" t="s">
        <v>1610</v>
      </c>
      <c r="C92" s="421" t="s">
        <v>1606</v>
      </c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5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ref="H92:H107" ca="1" si="13">IF(OR(D92="MDU",D92="MDU-KD"),(IF($O$3="RAB NON MDU","PLN KD",G92*F92)),0)</f>
        <v>0</v>
      </c>
      <c r="I92" s="308">
        <f t="shared" ref="I92:I107" ca="1" si="14">IF(D92="HDW",G92*F92,0)</f>
        <v>0</v>
      </c>
      <c r="J92" s="308">
        <f t="shared" ref="J92:J107" ca="1" si="15">IF(D92="JASA",G92*F92,0)</f>
        <v>0</v>
      </c>
      <c r="K92" s="309">
        <f t="shared" ref="K92:K107" ca="1" si="16">SUM(H92:J92)</f>
        <v>0</v>
      </c>
      <c r="L92" s="316"/>
      <c r="M92" s="289" t="str">
        <f t="shared" ca="1" si="12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60" t="s">
        <v>1035</v>
      </c>
      <c r="C93" s="461" t="s">
        <v>1632</v>
      </c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522">
        <v>1</v>
      </c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3"/>
        <v>0</v>
      </c>
      <c r="I93" s="308">
        <f t="shared" ca="1" si="14"/>
        <v>0</v>
      </c>
      <c r="J93" s="308">
        <f t="shared" ca="1" si="15"/>
        <v>0</v>
      </c>
      <c r="K93" s="309">
        <f t="shared" ca="1" si="16"/>
        <v>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t="30">
      <c r="A94" s="283"/>
      <c r="B94" s="520">
        <v>1</v>
      </c>
      <c r="C94" s="109" t="s">
        <v>1196</v>
      </c>
      <c r="D94" s="305" t="str">
        <f ca="1">IF(ISERROR(OFFSET('HARGA SATUAN'!$D$6,MATCH(RAB!C94,'HARGA SATUAN'!$C$7:$C$1495,0),0)),"",OFFSET('HARGA SATUAN'!$D$6,MATCH(RAB!C94,'HARGA SATUAN'!$C$7:$C$1495,0),0))</f>
        <v>MDU-KD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522">
        <f>F93*1</f>
        <v>1</v>
      </c>
      <c r="G94" s="307">
        <f ca="1">IF(ISERROR(OFFSET('HARGA SATUAN'!$I$6,MATCH(RAB!C94,'HARGA SATUAN'!$C$7:$C$1495,0),0)),0,OFFSET('HARGA SATUAN'!$I$6,MATCH(RAB!C94,'HARGA SATUAN'!$C$7:$C$1495,0),0))</f>
        <v>1427400</v>
      </c>
      <c r="H94" s="308">
        <f t="shared" ca="1" si="13"/>
        <v>1427400</v>
      </c>
      <c r="I94" s="308">
        <f t="shared" ca="1" si="14"/>
        <v>0</v>
      </c>
      <c r="J94" s="308">
        <f t="shared" ca="1" si="15"/>
        <v>0</v>
      </c>
      <c r="K94" s="309">
        <f t="shared" ca="1" si="16"/>
        <v>1427400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520">
        <v>2</v>
      </c>
      <c r="C95" s="521" t="s">
        <v>510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Unit</v>
      </c>
      <c r="F95" s="522">
        <f>F93*1</f>
        <v>1</v>
      </c>
      <c r="G95" s="307">
        <f ca="1">IF(ISERROR(OFFSET('HARGA SATUAN'!$I$6,MATCH(RAB!C95,'HARGA SATUAN'!$C$7:$C$1495,0),0)),0,OFFSET('HARGA SATUAN'!$I$6,MATCH(RAB!C95,'HARGA SATUAN'!$C$7:$C$1495,0),0))</f>
        <v>3564900</v>
      </c>
      <c r="H95" s="308">
        <f t="shared" ca="1" si="13"/>
        <v>3564900</v>
      </c>
      <c r="I95" s="308">
        <f t="shared" ca="1" si="14"/>
        <v>0</v>
      </c>
      <c r="J95" s="308">
        <f t="shared" ca="1" si="15"/>
        <v>0</v>
      </c>
      <c r="K95" s="309">
        <f t="shared" ca="1" si="16"/>
        <v>3564900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520">
        <v>3</v>
      </c>
      <c r="C96" s="521" t="s">
        <v>77</v>
      </c>
      <c r="D96" s="305" t="str">
        <f ca="1">IF(ISERROR(OFFSET('HARGA SATUAN'!$D$6,MATCH(RAB!C96,'HARGA SATUAN'!$C$7:$C$1495,0),0)),"",OFFSET('HARGA SATUAN'!$D$6,MATCH(RAB!C96,'HARGA SATUAN'!$C$7:$C$1495,0),0))</f>
        <v>MDU-KD</v>
      </c>
      <c r="E96" s="306" t="str">
        <f ca="1">IF(B96="+","Unit",IF(ISERROR(OFFSET('HARGA SATUAN'!$E$6,MATCH(RAB!C96,'HARGA SATUAN'!$C$7:$C$1495,0),0)),"",OFFSET('HARGA SATUAN'!$E$6,MATCH(RAB!C96,'HARGA SATUAN'!$C$7:$C$1495,0),0)))</f>
        <v>Mtr</v>
      </c>
      <c r="F96" s="522">
        <v>45</v>
      </c>
      <c r="G96" s="307">
        <f ca="1">IF(ISERROR(OFFSET('HARGA SATUAN'!$I$6,MATCH(RAB!C96,'HARGA SATUAN'!$C$7:$C$1495,0),0)),0,OFFSET('HARGA SATUAN'!$I$6,MATCH(RAB!C96,'HARGA SATUAN'!$C$7:$C$1495,0),0))</f>
        <v>13500</v>
      </c>
      <c r="H96" s="308">
        <f t="shared" ca="1" si="13"/>
        <v>607500</v>
      </c>
      <c r="I96" s="308">
        <f t="shared" ca="1" si="14"/>
        <v>0</v>
      </c>
      <c r="J96" s="308">
        <f t="shared" ca="1" si="15"/>
        <v>0</v>
      </c>
      <c r="K96" s="309">
        <f t="shared" ca="1" si="16"/>
        <v>607500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520">
        <v>4</v>
      </c>
      <c r="C97" s="521" t="s">
        <v>799</v>
      </c>
      <c r="D97" s="305" t="str">
        <f ca="1">IF(ISERROR(OFFSET('HARGA SATUAN'!$D$6,MATCH(RAB!C97,'HARGA SATUAN'!$C$7:$C$1495,0),0)),"",OFFSET('HARGA SATUAN'!$D$6,MATCH(RAB!C97,'HARGA SATUAN'!$C$7:$C$1495,0),0))</f>
        <v>JASA</v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522">
        <f>F93*1</f>
        <v>1</v>
      </c>
      <c r="G97" s="307">
        <f ca="1">IF(ISERROR(OFFSET('HARGA SATUAN'!$I$6,MATCH(RAB!C97,'HARGA SATUAN'!$C$7:$C$1495,0),0)),0,OFFSET('HARGA SATUAN'!$I$6,MATCH(RAB!C97,'HARGA SATUAN'!$C$7:$C$1495,0),0))</f>
        <v>106400</v>
      </c>
      <c r="H97" s="308">
        <f t="shared" ca="1" si="13"/>
        <v>0</v>
      </c>
      <c r="I97" s="308">
        <f t="shared" ca="1" si="14"/>
        <v>0</v>
      </c>
      <c r="J97" s="308">
        <f t="shared" ca="1" si="15"/>
        <v>106400</v>
      </c>
      <c r="K97" s="309">
        <f t="shared" ca="1" si="16"/>
        <v>106400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/>
      <c r="C98" s="319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2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3"/>
        <v>0</v>
      </c>
      <c r="I98" s="308">
        <f t="shared" ca="1" si="14"/>
        <v>0</v>
      </c>
      <c r="J98" s="308">
        <f t="shared" ca="1" si="15"/>
        <v>0</v>
      </c>
      <c r="K98" s="309">
        <f t="shared" ca="1" si="16"/>
        <v>0</v>
      </c>
      <c r="L98" s="316"/>
      <c r="M98" s="289" t="str">
        <f ca="1">IF(AND(F98&gt;0,F92=0),"",IF(AND(ISBLANK(F98)=FALSE,K98=0),"WARNING",""))</f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 t="s">
        <v>1035</v>
      </c>
      <c r="C99" s="319" t="s">
        <v>1618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>Unit</v>
      </c>
      <c r="F99" s="451">
        <v>1</v>
      </c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13"/>
        <v>0</v>
      </c>
      <c r="I99" s="308">
        <f t="shared" ca="1" si="14"/>
        <v>0</v>
      </c>
      <c r="J99" s="308">
        <f t="shared" ca="1" si="15"/>
        <v>0</v>
      </c>
      <c r="K99" s="309">
        <f t="shared" ca="1" si="16"/>
        <v>0</v>
      </c>
      <c r="L99" s="316"/>
      <c r="M99" s="289" t="str">
        <f t="shared" si="12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1</v>
      </c>
      <c r="C100" s="319" t="s">
        <v>29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51">
        <f>F99*1</f>
        <v>1</v>
      </c>
      <c r="G100" s="307">
        <f ca="1">IF(ISERROR(OFFSET('HARGA SATUAN'!$I$6,MATCH(RAB!C100,'HARGA SATUAN'!$C$7:$C$1495,0),0)),0,OFFSET('HARGA SATUAN'!$I$6,MATCH(RAB!C100,'HARGA SATUAN'!$C$7:$C$1495,0),0))</f>
        <v>185200</v>
      </c>
      <c r="H100" s="308">
        <f t="shared" ca="1" si="13"/>
        <v>0</v>
      </c>
      <c r="I100" s="308">
        <f t="shared" ca="1" si="14"/>
        <v>185200</v>
      </c>
      <c r="J100" s="308">
        <f t="shared" ca="1" si="15"/>
        <v>0</v>
      </c>
      <c r="K100" s="309">
        <f t="shared" ca="1" si="16"/>
        <v>185200</v>
      </c>
      <c r="L100" s="316"/>
      <c r="M100" s="289" t="str">
        <f t="shared" ca="1" si="12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2</v>
      </c>
      <c r="C101" s="319" t="s">
        <v>30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451">
        <f>F99*1</f>
        <v>1</v>
      </c>
      <c r="G101" s="307">
        <f ca="1">IF(ISERROR(OFFSET('HARGA SATUAN'!$I$6,MATCH(RAB!C101,'HARGA SATUAN'!$C$7:$C$1495,0),0)),0,OFFSET('HARGA SATUAN'!$I$6,MATCH(RAB!C101,'HARGA SATUAN'!$C$7:$C$1495,0),0))</f>
        <v>47459</v>
      </c>
      <c r="H101" s="308">
        <f t="shared" ca="1" si="13"/>
        <v>0</v>
      </c>
      <c r="I101" s="308">
        <f t="shared" ca="1" si="14"/>
        <v>47459</v>
      </c>
      <c r="J101" s="308">
        <f t="shared" ca="1" si="15"/>
        <v>0</v>
      </c>
      <c r="K101" s="309">
        <f t="shared" ca="1" si="16"/>
        <v>47459</v>
      </c>
      <c r="L101" s="316"/>
      <c r="M101" s="289" t="str">
        <f t="shared" ca="1" si="12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3</v>
      </c>
      <c r="C102" s="319" t="s">
        <v>32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Mtr</v>
      </c>
      <c r="F102" s="451">
        <f>F99*1.5</f>
        <v>1.5</v>
      </c>
      <c r="G102" s="307">
        <f ca="1">IF(ISERROR(OFFSET('HARGA SATUAN'!$I$6,MATCH(RAB!C102,'HARGA SATUAN'!$C$7:$C$1495,0),0)),0,OFFSET('HARGA SATUAN'!$I$6,MATCH(RAB!C102,'HARGA SATUAN'!$C$7:$C$1495,0),0))</f>
        <v>30000</v>
      </c>
      <c r="H102" s="308">
        <f t="shared" ca="1" si="13"/>
        <v>0</v>
      </c>
      <c r="I102" s="308">
        <f t="shared" ca="1" si="14"/>
        <v>45000</v>
      </c>
      <c r="J102" s="308">
        <f t="shared" ca="1" si="15"/>
        <v>0</v>
      </c>
      <c r="K102" s="309">
        <f t="shared" ca="1" si="16"/>
        <v>45000</v>
      </c>
      <c r="L102" s="316"/>
      <c r="M102" s="289" t="str">
        <f t="shared" ca="1" si="12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>
        <v>4</v>
      </c>
      <c r="C103" s="319" t="s">
        <v>33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451">
        <f>F99*2</f>
        <v>2</v>
      </c>
      <c r="G103" s="307">
        <f ca="1">IF(ISERROR(OFFSET('HARGA SATUAN'!$I$6,MATCH(RAB!C103,'HARGA SATUAN'!$C$7:$C$1495,0),0)),0,OFFSET('HARGA SATUAN'!$I$6,MATCH(RAB!C103,'HARGA SATUAN'!$C$7:$C$1495,0),0))</f>
        <v>9500</v>
      </c>
      <c r="H103" s="308">
        <f t="shared" ca="1" si="13"/>
        <v>0</v>
      </c>
      <c r="I103" s="308">
        <f t="shared" ca="1" si="14"/>
        <v>19000</v>
      </c>
      <c r="J103" s="308">
        <f t="shared" ca="1" si="15"/>
        <v>0</v>
      </c>
      <c r="K103" s="309">
        <f t="shared" ca="1" si="16"/>
        <v>19000</v>
      </c>
      <c r="L103" s="316"/>
      <c r="M103" s="289" t="str">
        <f t="shared" ca="1" si="12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318">
        <v>5</v>
      </c>
      <c r="C104" s="319" t="s">
        <v>735</v>
      </c>
      <c r="D104" s="305" t="str">
        <f ca="1">IF(ISERROR(OFFSET('HARGA SATUAN'!$D$6,MATCH(RAB!C104,'HARGA SATUAN'!$C$7:$C$1495,0),0)),"",OFFSET('HARGA SATUAN'!$D$6,MATCH(RAB!C104,'HARGA SATUAN'!$C$7:$C$1495,0),0))</f>
        <v>JASA</v>
      </c>
      <c r="E104" s="306" t="str">
        <f ca="1">IF(B104="+","Unit",IF(ISERROR(OFFSET('HARGA SATUAN'!$E$6,MATCH(RAB!C104,'HARGA SATUAN'!$C$7:$C$1495,0),0)),"",OFFSET('HARGA SATUAN'!$E$6,MATCH(RAB!C104,'HARGA SATUAN'!$C$7:$C$1495,0),0)))</f>
        <v>Unit</v>
      </c>
      <c r="F104" s="451">
        <f>F99*1</f>
        <v>1</v>
      </c>
      <c r="G104" s="307">
        <f ca="1">IF(ISERROR(OFFSET('HARGA SATUAN'!$I$6,MATCH(RAB!C104,'HARGA SATUAN'!$C$7:$C$1495,0),0)),0,OFFSET('HARGA SATUAN'!$I$6,MATCH(RAB!C104,'HARGA SATUAN'!$C$7:$C$1495,0),0))</f>
        <v>56400</v>
      </c>
      <c r="H104" s="308">
        <f t="shared" ca="1" si="13"/>
        <v>0</v>
      </c>
      <c r="I104" s="308">
        <f t="shared" ca="1" si="14"/>
        <v>0</v>
      </c>
      <c r="J104" s="308">
        <f t="shared" ca="1" si="15"/>
        <v>56400</v>
      </c>
      <c r="K104" s="309">
        <f t="shared" ca="1" si="16"/>
        <v>56400</v>
      </c>
      <c r="L104" s="316"/>
      <c r="M104" s="289" t="str">
        <f t="shared" ca="1" si="12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318"/>
      <c r="C105" s="319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1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3"/>
        <v>0</v>
      </c>
      <c r="I105" s="308">
        <f t="shared" ca="1" si="14"/>
        <v>0</v>
      </c>
      <c r="J105" s="308">
        <f t="shared" ca="1" si="15"/>
        <v>0</v>
      </c>
      <c r="K105" s="309">
        <f t="shared" ca="1" si="16"/>
        <v>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418" t="s">
        <v>22</v>
      </c>
      <c r="C106" s="421" t="s">
        <v>802</v>
      </c>
      <c r="D106" s="305" t="str">
        <f ca="1">IF(ISERROR(OFFSET('HARGA SATUAN'!$D$6,MATCH(RAB!C106,'HARGA SATUAN'!$C$7:$C$1495,0),0)),"",OFFSET('HARGA SATUAN'!$D$6,MATCH(RAB!C106,'HARGA SATUAN'!$C$7:$C$1495,0),0))</f>
        <v/>
      </c>
      <c r="E106" s="306">
        <f ca="1">IF(B106="+","Unit",IF(ISERROR(OFFSET('HARGA SATUAN'!$E$6,MATCH(RAB!C106,'HARGA SATUAN'!$C$7:$C$1495,0),0)),"",OFFSET('HARGA SATUAN'!$E$6,MATCH(RAB!C106,'HARGA SATUAN'!$C$7:$C$1495,0),0)))</f>
        <v>0</v>
      </c>
      <c r="F106" s="451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3"/>
        <v>0</v>
      </c>
      <c r="I106" s="308">
        <f t="shared" ca="1" si="14"/>
        <v>0</v>
      </c>
      <c r="J106" s="308">
        <f t="shared" ca="1" si="15"/>
        <v>0</v>
      </c>
      <c r="K106" s="309">
        <f t="shared" ca="1" si="16"/>
        <v>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>
      <c r="B107" s="320"/>
      <c r="C107" s="109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315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13"/>
        <v>0</v>
      </c>
      <c r="I107" s="308">
        <f t="shared" ca="1" si="14"/>
        <v>0</v>
      </c>
      <c r="J107" s="308">
        <f t="shared" ca="1" si="15"/>
        <v>0</v>
      </c>
      <c r="K107" s="309">
        <f t="shared" ca="1" si="16"/>
        <v>0</v>
      </c>
      <c r="M107" s="289" t="str">
        <f ca="1">IF(AND(F107&gt;0,F104=0),"",IF(AND(ISBLANK(F107)=FALSE,K107=0),"WARNING",""))</f>
        <v/>
      </c>
    </row>
    <row r="108" spans="1:22">
      <c r="B108" s="321"/>
      <c r="C108" s="322" t="s">
        <v>475</v>
      </c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315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ca="1">IF(OR(D108="MDU",D108="MDU-KD"),(IF($O$3="RAB NON MDU","PLN KD",G108*F108)),0)</f>
        <v>0</v>
      </c>
      <c r="I108" s="308">
        <f ca="1">IF(D108="HDW",G108*F108,0)</f>
        <v>0</v>
      </c>
      <c r="J108" s="308">
        <f ca="1">IF(D108="JASA",G108*F108,0)</f>
        <v>0</v>
      </c>
      <c r="K108" s="309">
        <f ca="1">SUM(H108:J108)</f>
        <v>0</v>
      </c>
      <c r="M108" s="289" t="e">
        <f>IF(AND(F108&gt;0,#REF!=0),"",IF(AND(ISBLANK(F108)=FALSE,K108=0),"WARNING",""))</f>
        <v>#REF!</v>
      </c>
    </row>
    <row r="109" spans="1:22">
      <c r="B109" s="324">
        <v>1</v>
      </c>
      <c r="C109" s="325" t="s">
        <v>1091</v>
      </c>
      <c r="D109" s="326" t="str">
        <f ca="1">IF(ISERROR(OFFSET('HARGA SATUAN'!$D$6,MATCH(RAB!C109,'HARGA SATUAN'!$C$7:$C$1495,0),0)),"",OFFSET('HARGA SATUAN'!$D$6,MATCH(RAB!C109,'HARGA SATUAN'!$C$7:$C$1495,0),0))</f>
        <v>JASA</v>
      </c>
      <c r="E109" s="327" t="str">
        <f ca="1">IF(ISERROR(OFFSET('HARGA SATUAN'!$E$6,MATCH(RAB!C109,'HARGA SATUAN'!$C$7:$C$1495,0),0)),"",OFFSET('HARGA SATUAN'!$E$6,MATCH(RAB!C109,'HARGA SATUAN'!$C$7:$C$1495,0),0))</f>
        <v>Lot</v>
      </c>
      <c r="F109" s="328">
        <v>1</v>
      </c>
      <c r="G109" s="329">
        <f ca="1">IF(ISERROR(OFFSET('HARGA SATUAN'!$I$6,MATCH(RAB!C109,'HARGA SATUAN'!$C$7:$C$1495,0),0)),0,OFFSET('HARGA SATUAN'!$I$6,MATCH(RAB!C109,'HARGA SATUAN'!$C$7:$C$1495,0),0))</f>
        <v>2.5000000000000001E-2</v>
      </c>
      <c r="H109" s="330">
        <f ca="1">SUM(H14:H108)*G109</f>
        <v>1820681.25</v>
      </c>
      <c r="I109" s="330">
        <f ca="1">SUM(I14:I108)*G109</f>
        <v>219365.375</v>
      </c>
      <c r="J109" s="330">
        <f ca="1">SUM(J14:J108)*G109</f>
        <v>83335</v>
      </c>
      <c r="K109" s="330">
        <f ca="1">SUM(K14:K108)*G109</f>
        <v>2123381.625</v>
      </c>
      <c r="M109" s="289" t="str">
        <f>IF(AND(F109&gt;0,F108=0),"",IF(AND(ISBLANK(F109)=FALSE,K109=0),"WARNING",""))</f>
        <v/>
      </c>
    </row>
    <row r="110" spans="1:22">
      <c r="B110" s="331"/>
      <c r="C110" s="332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IF(ISERROR(OFFSET('HARGA SATUAN'!$E$6,MATCH(RAB!C110,'HARGA SATUAN'!$C$7:$C$1495,0),0)),"",OFFSET('HARGA SATUAN'!$E$6,MATCH(RAB!C110,'HARGA SATUAN'!$C$7:$C$1495,0),0))</f>
        <v/>
      </c>
      <c r="F110" s="323"/>
      <c r="G110" s="307" t="str">
        <f ca="1">IF(ISERROR(OFFSET('HARGA SATUAN'!$I$6,MATCH(RAB!C110,'HARGA SATUAN'!$C$7:$C$1495,0),0)),"",OFFSET('HARGA SATUAN'!$I$6,MATCH(RAB!C110,'HARGA SATUAN'!$C$7:$C$1495,0),0))</f>
        <v/>
      </c>
      <c r="H110" s="308">
        <f ca="1">IF(OR(D110="MDU",D110="MDU-KD"),IF(G110="PLN",0,G110*F110),0)</f>
        <v>0</v>
      </c>
      <c r="I110" s="308">
        <f ca="1">IF(D110="HDW",IF(G110="PLN",0,G110*F110),0)</f>
        <v>0</v>
      </c>
      <c r="J110" s="308">
        <f ca="1">IF(D110="JASA",IF(G110="PLN",0,G110*F110),0)</f>
        <v>0</v>
      </c>
      <c r="K110" s="309">
        <f ca="1">SUM(H110:J110)</f>
        <v>0</v>
      </c>
    </row>
    <row r="111" spans="1:22" ht="15.75" thickBot="1">
      <c r="B111" s="333"/>
      <c r="C111" s="334"/>
      <c r="D111" s="335"/>
      <c r="E111" s="336"/>
      <c r="F111" s="336"/>
      <c r="G111" s="336"/>
      <c r="H111" s="337"/>
      <c r="I111" s="337"/>
      <c r="J111" s="337"/>
      <c r="K111" s="338"/>
    </row>
    <row r="112" spans="1:22">
      <c r="B112" s="339"/>
      <c r="C112" s="646" t="s">
        <v>1008</v>
      </c>
      <c r="D112" s="646"/>
      <c r="E112" s="646"/>
      <c r="F112" s="646"/>
      <c r="G112" s="340" t="s">
        <v>9</v>
      </c>
      <c r="H112" s="341">
        <f ca="1">SUM(H14:H110)</f>
        <v>74647931.25</v>
      </c>
      <c r="I112" s="341">
        <f ca="1">SUM(I14:I110)</f>
        <v>8993980.375</v>
      </c>
      <c r="J112" s="341">
        <f ca="1">SUM(J14:J110)</f>
        <v>3416735</v>
      </c>
      <c r="K112" s="341">
        <f ca="1">SUM(K14:K110)</f>
        <v>87058646.625</v>
      </c>
    </row>
    <row r="113" spans="2:13">
      <c r="B113" s="342"/>
      <c r="C113" s="629" t="s">
        <v>1455</v>
      </c>
      <c r="D113" s="629"/>
      <c r="E113" s="629"/>
      <c r="F113" s="629"/>
      <c r="G113" s="343" t="s">
        <v>9</v>
      </c>
      <c r="H113" s="344">
        <f ca="1">H112*0.11</f>
        <v>8211272.4375</v>
      </c>
      <c r="I113" s="344">
        <f ca="1">I112*0.11</f>
        <v>989337.84125000006</v>
      </c>
      <c r="J113" s="344">
        <f ca="1">J112*0.11</f>
        <v>375840.85</v>
      </c>
      <c r="K113" s="344">
        <f ca="1">K112*0.11</f>
        <v>9576451.1287500001</v>
      </c>
    </row>
    <row r="114" spans="2:13" ht="15.75" thickBot="1">
      <c r="B114" s="342"/>
      <c r="C114" s="626" t="s">
        <v>463</v>
      </c>
      <c r="D114" s="626"/>
      <c r="E114" s="626"/>
      <c r="F114" s="626"/>
      <c r="G114" s="345" t="s">
        <v>9</v>
      </c>
      <c r="H114" s="346">
        <f ca="1">SUM(H112:H113)</f>
        <v>82859203.6875</v>
      </c>
      <c r="I114" s="346">
        <f ca="1">SUM(I112:I113)</f>
        <v>9983318.2162500005</v>
      </c>
      <c r="J114" s="345">
        <f ca="1">SUM(J112:J113)</f>
        <v>3792575.85</v>
      </c>
      <c r="K114" s="345">
        <f ca="1">SUM(K112:K113)</f>
        <v>96635097.753749996</v>
      </c>
      <c r="M114" s="410">
        <v>201265205.30690998</v>
      </c>
    </row>
    <row r="115" spans="2:13">
      <c r="B115" s="630" t="str">
        <f ca="1">"Terbilang : "&amp;PROPER(IF(K114=0,"nol",IF(K114&lt;0,"minus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IF(--MID(TEXT(ABS(K114),"000000000000000"),1,3)=0,"",MID(TEXT(ABS(K114),"000000000000000"),1,1)&amp;" ratus "&amp;MID(TEXT(ABS(K114),"000000000000000"),2,1)&amp;" puluh "&amp;MID(TEXT(ABS(K114),"000000000000000"),3,1)&amp;" trilyun ")&amp; IF(--MID(TEXT(ABS(K114),"000000000000000"),4,3)=0,"",MID(TEXT(ABS(K114),"000000000000000"),4,1)&amp;" ratus "&amp;MID(TEXT(ABS(K114),"000000000000000"),5,1)&amp;" puluh "&amp;MID(TEXT(ABS(K114),"000000000000000"),6,1)&amp;" milyar ")&amp; IF(--MID(TEXT(ABS(K114),"000000000000000"),7,3)=0,"",MID(TEXT(ABS(K114),"000000000000000"),7,1)&amp;" ratus "&amp;MID(TEXT(ABS(K114),"000000000000000"),8,1)&amp;" puluh "&amp;MID(TEXT(ABS(K114),"000000000000000"),9,1)&amp;" juta ")&amp; IF(--MID(TEXT(ABS(K114),"000000000000000"),10,3)=0,"",IF(--MID(TEXT(ABS(K114),"000000000000000"),10,3)=1,"*",MID(TEXT(ABS(K114),"000000000000000"),10,1)&amp;" ratus "&amp;MID(TEXT(ABS(K114),"000000000000000"),11,1)&amp;" puluh ")&amp;MID(TEXT(ABS(K114),"000000000000000"),12,1)&amp;" ribu ")&amp; IF(--MID(TEXT(ABS(K114),"000000000000000"),13,3)=0,"",MID(TEXT(ABS(K114),"000000000000000"),13,1)&amp;" ratus "&amp;MID(TEXT(ABS(K114),"000000000000000"),14,1)&amp;" puluh "&amp;MID(TEXT(ABS(K114),"000000000000000"),15,1)),1,"satu"),2,"dua"),3,"tiga"),4,"empat"),5,"lima"),6,"enam"),7,"tujuh"),8,"delapan"),9,"sembilan"),"0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Enam Juta Enam Ratus Tiga Puluh Lima Ribu Sembilan Puluh Delapan Rupiah</v>
      </c>
      <c r="C115" s="631"/>
      <c r="D115" s="631"/>
      <c r="E115" s="631"/>
      <c r="F115" s="631"/>
      <c r="G115" s="631"/>
      <c r="H115" s="631"/>
      <c r="I115" s="631"/>
      <c r="J115" s="631"/>
      <c r="K115" s="632"/>
    </row>
    <row r="116" spans="2:13">
      <c r="B116" s="633"/>
      <c r="C116" s="634"/>
      <c r="D116" s="634"/>
      <c r="E116" s="634"/>
      <c r="F116" s="634"/>
      <c r="G116" s="634"/>
      <c r="H116" s="634"/>
      <c r="I116" s="634"/>
      <c r="J116" s="634"/>
      <c r="K116" s="635"/>
    </row>
    <row r="117" spans="2:13" ht="15.75" thickBot="1">
      <c r="B117" s="347" t="str">
        <f>"Harga yang dipakai adalah "&amp;'HARGA SATUAN'!I5&amp;""</f>
        <v>Harga yang dipakai adalah RAB HSS 2023</v>
      </c>
      <c r="C117" s="348"/>
      <c r="D117" s="349"/>
      <c r="E117" s="349"/>
      <c r="F117" s="349"/>
      <c r="G117" s="350"/>
      <c r="H117" s="350"/>
      <c r="I117" s="350"/>
      <c r="J117" s="350"/>
      <c r="K117" s="351"/>
    </row>
    <row r="118" spans="2:13">
      <c r="C118" s="352"/>
      <c r="E118" s="354"/>
      <c r="F118" s="354"/>
      <c r="G118" s="354"/>
    </row>
    <row r="119" spans="2:13">
      <c r="C119" s="284"/>
      <c r="E119" s="354"/>
      <c r="F119" s="354"/>
      <c r="G119" s="354"/>
      <c r="H119" s="636"/>
      <c r="I119" s="636"/>
      <c r="J119" s="637"/>
      <c r="K119" s="637"/>
    </row>
    <row r="120" spans="2:13">
      <c r="C120" s="284"/>
      <c r="E120" s="354"/>
      <c r="F120" s="354"/>
      <c r="G120" s="354"/>
      <c r="H120" s="355"/>
      <c r="I120" s="625" t="s">
        <v>1616</v>
      </c>
      <c r="J120" s="625"/>
      <c r="K120" s="625"/>
    </row>
    <row r="121" spans="2:13">
      <c r="C121" s="284"/>
      <c r="E121" s="354"/>
      <c r="F121" s="354"/>
      <c r="G121" s="354"/>
      <c r="H121" s="355"/>
      <c r="I121" s="625" t="s">
        <v>1611</v>
      </c>
      <c r="J121" s="625"/>
      <c r="K121" s="625"/>
    </row>
    <row r="122" spans="2:13">
      <c r="C122" s="284"/>
      <c r="E122" s="354"/>
      <c r="F122" s="354"/>
      <c r="G122" s="354"/>
      <c r="H122" s="356"/>
      <c r="I122" s="357"/>
      <c r="J122" s="357"/>
      <c r="K122" s="357"/>
    </row>
    <row r="123" spans="2:13">
      <c r="C123" s="284"/>
      <c r="E123" s="354"/>
      <c r="F123" s="354"/>
      <c r="G123" s="354"/>
      <c r="H123" s="356"/>
      <c r="I123" s="356"/>
      <c r="J123" s="356"/>
      <c r="K123" s="356"/>
    </row>
    <row r="124" spans="2:13">
      <c r="C124" s="284"/>
      <c r="E124" s="354"/>
      <c r="F124" s="354"/>
      <c r="G124" s="354"/>
      <c r="H124" s="356"/>
      <c r="I124" s="356"/>
      <c r="J124" s="356"/>
      <c r="K124" s="356"/>
    </row>
    <row r="125" spans="2:13">
      <c r="C125" s="284"/>
      <c r="E125" s="354"/>
      <c r="F125" s="354"/>
      <c r="G125" s="354"/>
      <c r="H125" s="356"/>
      <c r="I125" s="356"/>
      <c r="J125" s="356"/>
      <c r="K125" s="356"/>
    </row>
    <row r="126" spans="2:13">
      <c r="C126" s="284"/>
      <c r="E126" s="354"/>
      <c r="F126" s="354"/>
      <c r="G126" s="354"/>
      <c r="H126" s="358"/>
      <c r="I126" s="625" t="s">
        <v>1612</v>
      </c>
      <c r="J126" s="625"/>
      <c r="K126" s="625"/>
    </row>
    <row r="127" spans="2:13">
      <c r="C127" s="352"/>
      <c r="E127" s="354"/>
      <c r="F127" s="354"/>
      <c r="G127" s="354"/>
      <c r="H127" s="356"/>
      <c r="I127" s="356"/>
      <c r="J127" s="356"/>
      <c r="K127" s="356"/>
    </row>
    <row r="128" spans="2:13">
      <c r="C128" s="352"/>
      <c r="E128" s="354"/>
      <c r="F128" s="354"/>
      <c r="G128" s="354"/>
      <c r="H128" s="356"/>
      <c r="I128" s="356"/>
      <c r="J128" s="356"/>
      <c r="K128" s="356"/>
    </row>
    <row r="129" spans="3:11">
      <c r="C129" s="352"/>
      <c r="E129" s="354"/>
      <c r="F129" s="354"/>
      <c r="G129" s="354"/>
      <c r="H129" s="356"/>
      <c r="I129" s="356"/>
      <c r="J129" s="356"/>
      <c r="K129" s="356"/>
    </row>
  </sheetData>
  <sheetProtection sort="0" autoFilter="0"/>
  <protectedRanges>
    <protectedRange sqref="B92:C92 B15 B16:C16 B91 B67:C87 B19:C20 B22:C37 B21 B38:B39 B17:B18 B88:B89 B90:C90 B40:C64" name="Range1_6_1"/>
    <protectedRange sqref="C91" name="Range1_6_1_10"/>
    <protectedRange sqref="B98:C106 B93:B97" name="Range1_6_1_11"/>
    <protectedRange sqref="B65:C66" name="Range1_6_1_15"/>
    <protectedRange sqref="C93:C96" name="Range1_6_1_18"/>
    <protectedRange sqref="C21" name="Range1_1_3_2"/>
    <protectedRange sqref="C38:C39" name="Range1_1_3_4"/>
    <protectedRange sqref="C17" name="Range1_1_3_5"/>
    <protectedRange sqref="C18" name="Range1_1_3_6"/>
    <protectedRange sqref="C97" name="Range1_1_3_8"/>
    <protectedRange sqref="C88" name="Range1_1_3"/>
    <protectedRange sqref="C89" name="Range1_1_3_3"/>
    <protectedRange sqref="C107" name="Range1_1_3_10"/>
  </protectedRanges>
  <mergeCells count="22">
    <mergeCell ref="O3:P4"/>
    <mergeCell ref="B4:K4"/>
    <mergeCell ref="C112:F112"/>
    <mergeCell ref="B11:B13"/>
    <mergeCell ref="C11:C13"/>
    <mergeCell ref="D11:D13"/>
    <mergeCell ref="E11:E13"/>
    <mergeCell ref="F11:F13"/>
    <mergeCell ref="G11:G13"/>
    <mergeCell ref="I12:I13"/>
    <mergeCell ref="I121:K121"/>
    <mergeCell ref="I126:K126"/>
    <mergeCell ref="C114:F114"/>
    <mergeCell ref="G6:K6"/>
    <mergeCell ref="I120:K120"/>
    <mergeCell ref="C113:F113"/>
    <mergeCell ref="B115:K116"/>
    <mergeCell ref="H119:K119"/>
    <mergeCell ref="H11:K11"/>
    <mergeCell ref="H12:H13"/>
    <mergeCell ref="J12:J13"/>
    <mergeCell ref="K12:K13"/>
  </mergeCells>
  <phoneticPr fontId="136" type="noConversion"/>
  <conditionalFormatting sqref="C15">
    <cfRule type="cellIs" dxfId="9" priority="124" operator="equal">
      <formula>0</formula>
    </cfRule>
  </conditionalFormatting>
  <conditionalFormatting sqref="C17:C18">
    <cfRule type="cellIs" dxfId="8" priority="30" operator="equal">
      <formula>0</formula>
    </cfRule>
  </conditionalFormatting>
  <conditionalFormatting sqref="C25">
    <cfRule type="cellIs" dxfId="7" priority="4" operator="equal">
      <formula>0</formula>
    </cfRule>
  </conditionalFormatting>
  <conditionalFormatting sqref="C88:C89">
    <cfRule type="cellIs" dxfId="6" priority="8" operator="equal">
      <formula>0</formula>
    </cfRule>
  </conditionalFormatting>
  <conditionalFormatting sqref="C94">
    <cfRule type="cellIs" dxfId="5" priority="6" operator="equal">
      <formula>0</formula>
    </cfRule>
  </conditionalFormatting>
  <conditionalFormatting sqref="C107">
    <cfRule type="cellIs" dxfId="4" priority="7" operator="equal">
      <formula>0</formula>
    </cfRule>
  </conditionalFormatting>
  <conditionalFormatting sqref="E1:E3 E5:E13 H12:I12 O13 S14:V106 E109:G109 H109:K111 E110:H110 E111:F111">
    <cfRule type="cellIs" dxfId="3" priority="1168" stopIfTrue="1" operator="equal">
      <formula>0</formula>
    </cfRule>
  </conditionalFormatting>
  <conditionalFormatting sqref="E14:K108">
    <cfRule type="cellIs" dxfId="2" priority="1" stopIfTrue="1" operator="equal">
      <formula>0</formula>
    </cfRule>
  </conditionalFormatting>
  <conditionalFormatting sqref="G1:G13">
    <cfRule type="cellIs" dxfId="1" priority="93" stopIfTrue="1" operator="equal">
      <formula>0</formula>
    </cfRule>
  </conditionalFormatting>
  <conditionalFormatting sqref="G110:G65576 E115:E65576">
    <cfRule type="cellIs" dxfId="0" priority="30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9:F106 F91 C22:C24 F16:F86 H14:K11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0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="90" zoomScaleNormal="90" zoomScaleSheetLayoutView="100" workbookViewId="0">
      <selection activeCell="Q5" sqref="Q5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55" t="s">
        <v>1438</v>
      </c>
      <c r="X2" s="656"/>
      <c r="Y2" s="656"/>
      <c r="Z2" s="656"/>
      <c r="AA2" s="656"/>
      <c r="AB2" s="656"/>
      <c r="AC2" s="656"/>
      <c r="AD2" s="657"/>
    </row>
    <row r="3" spans="3:30">
      <c r="C3" s="465"/>
      <c r="W3" s="658"/>
      <c r="X3" s="659"/>
      <c r="Y3" s="659"/>
      <c r="Z3" s="659"/>
      <c r="AA3" s="659"/>
      <c r="AB3" s="659"/>
      <c r="AC3" s="659"/>
      <c r="AD3" s="660"/>
    </row>
    <row r="4" spans="3:30">
      <c r="C4" s="465"/>
      <c r="G4" s="466" t="s">
        <v>1633</v>
      </c>
      <c r="W4" s="467" t="s">
        <v>987</v>
      </c>
      <c r="AD4" s="468"/>
    </row>
    <row r="5" spans="3:30">
      <c r="C5" s="465"/>
      <c r="W5" s="469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465"/>
      <c r="W6" s="469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465"/>
      <c r="W7" s="469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465"/>
      <c r="W8" s="469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465"/>
      <c r="W9" s="469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465"/>
      <c r="W10" s="469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465"/>
      <c r="W11" s="469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465"/>
      <c r="W12" s="469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465"/>
      <c r="W13" s="469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465"/>
      <c r="W14" s="469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465"/>
      <c r="W15" s="469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465"/>
      <c r="W16" s="469">
        <v>11</v>
      </c>
      <c r="X16" s="661" t="s">
        <v>1454</v>
      </c>
      <c r="Y16" s="661"/>
      <c r="Z16" s="661"/>
      <c r="AA16" s="661"/>
      <c r="AB16" s="661"/>
      <c r="AC16" s="661"/>
      <c r="AD16" s="662"/>
    </row>
    <row r="17" spans="3:30">
      <c r="C17" s="465"/>
      <c r="S17" s="471"/>
      <c r="W17" s="469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472"/>
      <c r="D18" s="473"/>
      <c r="E18" s="473"/>
      <c r="W18" s="469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465"/>
      <c r="W19" s="474"/>
      <c r="X19" s="671"/>
      <c r="Y19" s="671"/>
      <c r="Z19" s="671"/>
      <c r="AA19" s="671"/>
      <c r="AB19" s="671"/>
      <c r="AC19" s="671"/>
      <c r="AD19" s="672"/>
    </row>
    <row r="20" spans="3:30">
      <c r="C20" s="465"/>
      <c r="Q20" s="475"/>
      <c r="W20" s="673" t="s">
        <v>992</v>
      </c>
      <c r="X20" s="674"/>
      <c r="Y20" s="674"/>
      <c r="Z20" s="674"/>
      <c r="AA20" s="674"/>
      <c r="AB20" s="674"/>
      <c r="AC20" s="674"/>
      <c r="AD20" s="675"/>
    </row>
    <row r="21" spans="3:30">
      <c r="C21" s="465"/>
      <c r="W21" s="676" t="s">
        <v>985</v>
      </c>
      <c r="X21" s="677"/>
      <c r="Y21" s="677"/>
      <c r="Z21" s="678"/>
      <c r="AA21" s="679" t="s">
        <v>986</v>
      </c>
      <c r="AB21" s="680"/>
      <c r="AC21" s="680"/>
      <c r="AD21" s="681"/>
    </row>
    <row r="22" spans="3:30" ht="14.25">
      <c r="C22" s="465"/>
      <c r="F22" s="519"/>
      <c r="S22" s="476"/>
      <c r="W22" s="663" t="s">
        <v>1631</v>
      </c>
      <c r="X22" s="664"/>
      <c r="Y22" s="477" t="s">
        <v>1617</v>
      </c>
      <c r="Z22" s="478">
        <v>1</v>
      </c>
      <c r="AA22" s="665"/>
      <c r="AB22" s="666"/>
      <c r="AC22" s="479"/>
      <c r="AD22" s="480"/>
    </row>
    <row r="23" spans="3:30">
      <c r="C23" s="465"/>
      <c r="W23" s="663" t="s">
        <v>1618</v>
      </c>
      <c r="X23" s="664"/>
      <c r="Y23" s="477" t="s">
        <v>1617</v>
      </c>
      <c r="Z23" s="478">
        <v>1</v>
      </c>
      <c r="AA23" s="667"/>
      <c r="AB23" s="668"/>
      <c r="AC23" s="479"/>
      <c r="AD23" s="480"/>
    </row>
    <row r="24" spans="3:30">
      <c r="C24" s="465"/>
      <c r="W24" s="663" t="s">
        <v>1629</v>
      </c>
      <c r="X24" s="664"/>
      <c r="Y24" s="477" t="s">
        <v>1617</v>
      </c>
      <c r="Z24" s="478">
        <v>2</v>
      </c>
      <c r="AA24" s="669"/>
      <c r="AB24" s="670"/>
      <c r="AC24" s="479"/>
      <c r="AD24" s="480"/>
    </row>
    <row r="25" spans="3:30">
      <c r="C25" s="465"/>
      <c r="I25" s="476"/>
      <c r="W25" s="663" t="s">
        <v>1634</v>
      </c>
      <c r="X25" s="664"/>
      <c r="Y25" s="477" t="s">
        <v>1617</v>
      </c>
      <c r="Z25" s="478">
        <v>6</v>
      </c>
      <c r="AA25" s="667"/>
      <c r="AB25" s="668"/>
      <c r="AC25" s="479"/>
      <c r="AD25" s="480"/>
    </row>
    <row r="26" spans="3:30">
      <c r="C26" s="465"/>
      <c r="W26" s="684"/>
      <c r="X26" s="685"/>
      <c r="Y26" s="477"/>
      <c r="Z26" s="478"/>
      <c r="AA26" s="667"/>
      <c r="AB26" s="668"/>
      <c r="AC26" s="479"/>
      <c r="AD26" s="480"/>
    </row>
    <row r="27" spans="3:30">
      <c r="C27" s="465"/>
      <c r="W27" s="684" t="s">
        <v>1635</v>
      </c>
      <c r="X27" s="685"/>
      <c r="Y27" s="477" t="s">
        <v>1617</v>
      </c>
      <c r="Z27" s="478">
        <v>1</v>
      </c>
      <c r="AA27" s="667"/>
      <c r="AB27" s="668"/>
      <c r="AC27" s="479"/>
      <c r="AD27" s="480"/>
    </row>
    <row r="28" spans="3:30">
      <c r="C28" s="465"/>
      <c r="W28" s="682" t="s">
        <v>1636</v>
      </c>
      <c r="X28" s="683"/>
      <c r="Y28" s="477" t="s">
        <v>1617</v>
      </c>
      <c r="Z28" s="478">
        <v>2</v>
      </c>
      <c r="AA28" s="667"/>
      <c r="AB28" s="668"/>
      <c r="AC28" s="479"/>
      <c r="AD28" s="480"/>
    </row>
    <row r="29" spans="3:30">
      <c r="C29" s="465"/>
      <c r="W29" s="684"/>
      <c r="X29" s="685"/>
      <c r="Y29" s="477"/>
      <c r="Z29" s="478"/>
      <c r="AA29" s="667"/>
      <c r="AB29" s="668"/>
      <c r="AC29" s="479"/>
      <c r="AD29" s="480"/>
    </row>
    <row r="30" spans="3:30" ht="11.25" customHeight="1">
      <c r="C30" s="465"/>
      <c r="R30" s="476"/>
      <c r="W30" s="682"/>
      <c r="X30" s="683"/>
      <c r="Y30" s="477"/>
      <c r="Z30" s="478"/>
      <c r="AA30" s="667"/>
      <c r="AB30" s="668"/>
      <c r="AC30" s="479"/>
      <c r="AD30" s="480"/>
    </row>
    <row r="31" spans="3:30">
      <c r="C31" s="465"/>
      <c r="U31" s="485"/>
      <c r="W31" s="483" t="s">
        <v>1627</v>
      </c>
      <c r="X31" s="484"/>
      <c r="Y31" s="477" t="s">
        <v>1628</v>
      </c>
      <c r="Z31" s="478">
        <v>360</v>
      </c>
      <c r="AA31" s="667"/>
      <c r="AB31" s="668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67"/>
      <c r="AB32" s="668"/>
      <c r="AC32" s="479"/>
      <c r="AD32" s="480"/>
    </row>
    <row r="33" spans="3:30">
      <c r="C33" s="465"/>
      <c r="W33" s="682"/>
      <c r="X33" s="683"/>
      <c r="Y33" s="477"/>
      <c r="Z33" s="478"/>
      <c r="AA33" s="667"/>
      <c r="AB33" s="668"/>
      <c r="AC33" s="479"/>
      <c r="AD33" s="480"/>
    </row>
    <row r="34" spans="3:30">
      <c r="C34" s="465"/>
      <c r="Q34" s="462" t="s">
        <v>1607</v>
      </c>
      <c r="W34" s="682"/>
      <c r="X34" s="683"/>
      <c r="Y34" s="477"/>
      <c r="Z34" s="478"/>
      <c r="AA34" s="667"/>
      <c r="AB34" s="668"/>
      <c r="AC34" s="479"/>
      <c r="AD34" s="480"/>
    </row>
    <row r="35" spans="3:30">
      <c r="C35" s="465"/>
      <c r="W35" s="682"/>
      <c r="X35" s="683"/>
      <c r="Y35" s="477"/>
      <c r="Z35" s="478"/>
      <c r="AA35" s="667"/>
      <c r="AB35" s="668"/>
      <c r="AC35" s="479"/>
      <c r="AD35" s="480"/>
    </row>
    <row r="36" spans="3:30">
      <c r="C36" s="465"/>
      <c r="W36" s="682"/>
      <c r="X36" s="683"/>
      <c r="Y36" s="477"/>
      <c r="Z36" s="478"/>
      <c r="AA36" s="667"/>
      <c r="AB36" s="668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6"/>
      <c r="AB37" s="687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8"/>
      <c r="AB38" s="689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93"/>
      <c r="AB39" s="694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95"/>
      <c r="X41" s="696"/>
      <c r="Y41" s="498"/>
      <c r="Z41" s="499"/>
      <c r="AA41" s="697"/>
      <c r="AB41" s="698"/>
      <c r="AC41" s="496"/>
      <c r="AD41" s="497"/>
    </row>
    <row r="42" spans="3:30" ht="12" customHeight="1">
      <c r="C42" s="465"/>
      <c r="W42" s="699" t="s">
        <v>1624</v>
      </c>
      <c r="X42" s="700"/>
      <c r="Y42" s="700"/>
      <c r="Z42" s="700"/>
      <c r="AA42" s="700"/>
      <c r="AB42" s="700"/>
      <c r="AC42" s="700"/>
      <c r="AD42" s="701"/>
    </row>
    <row r="43" spans="3:30" ht="12" customHeight="1">
      <c r="C43" s="465"/>
      <c r="V43" s="500"/>
      <c r="W43" s="702"/>
      <c r="X43" s="703"/>
      <c r="Y43" s="703"/>
      <c r="Z43" s="703"/>
      <c r="AA43" s="703"/>
      <c r="AB43" s="703"/>
      <c r="AC43" s="703"/>
      <c r="AD43" s="704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90" t="s">
        <v>11</v>
      </c>
      <c r="X44" s="691"/>
      <c r="Y44" s="661"/>
      <c r="Z44" s="661"/>
      <c r="AA44" s="661"/>
      <c r="AB44" s="661"/>
      <c r="AC44" s="661"/>
      <c r="AD44" s="662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90" t="s">
        <v>984</v>
      </c>
      <c r="X45" s="691"/>
      <c r="Y45" s="661">
        <v>1</v>
      </c>
      <c r="Z45" s="661"/>
      <c r="AA45" s="661"/>
      <c r="AB45" s="661" t="s">
        <v>12</v>
      </c>
      <c r="AC45" s="661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90" t="s">
        <v>15</v>
      </c>
      <c r="X46" s="691"/>
      <c r="Y46" s="692"/>
      <c r="Z46" s="692"/>
      <c r="AA46" s="692"/>
      <c r="AB46" s="661" t="s">
        <v>16</v>
      </c>
      <c r="AC46" s="661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12" t="s">
        <v>1637</v>
      </c>
      <c r="X48" s="712"/>
      <c r="Y48" s="712"/>
      <c r="Z48" s="712"/>
      <c r="AA48" s="712"/>
      <c r="AB48" s="712"/>
      <c r="AC48" s="712"/>
      <c r="AD48" s="713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705" t="s">
        <v>18</v>
      </c>
      <c r="X52" s="691"/>
      <c r="Y52" s="661" t="s">
        <v>1623</v>
      </c>
      <c r="Z52" s="661"/>
      <c r="AA52" s="661"/>
      <c r="AB52" s="661"/>
      <c r="AC52" s="661"/>
      <c r="AD52" s="662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705" t="s">
        <v>19</v>
      </c>
      <c r="X53" s="691"/>
      <c r="Y53" s="661" t="s">
        <v>1622</v>
      </c>
      <c r="Z53" s="661"/>
      <c r="AA53" s="661"/>
      <c r="AB53" s="661"/>
      <c r="AC53" s="661"/>
      <c r="AD53" s="662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705" t="s">
        <v>20</v>
      </c>
      <c r="X54" s="691"/>
      <c r="Y54" s="661" t="s">
        <v>1622</v>
      </c>
      <c r="Z54" s="661"/>
      <c r="AA54" s="661"/>
      <c r="AB54" s="661"/>
      <c r="AC54" s="661"/>
      <c r="AD54" s="662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706" t="s">
        <v>21</v>
      </c>
      <c r="X55" s="707"/>
      <c r="Y55" s="708" t="s">
        <v>1621</v>
      </c>
      <c r="Z55" s="708"/>
      <c r="AA55" s="708"/>
      <c r="AB55" s="708"/>
      <c r="AC55" s="708"/>
      <c r="AD55" s="709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2" zoomScale="47" zoomScaleNormal="40" zoomScaleSheetLayoutView="103" workbookViewId="0">
      <selection activeCell="AD39" sqref="AD39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6" t="s">
        <v>1619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717"/>
      <c r="X3" s="717"/>
      <c r="Y3" s="717"/>
      <c r="Z3" s="717"/>
      <c r="AA3" s="717"/>
      <c r="AB3" s="718"/>
      <c r="AC3" s="430"/>
      <c r="AD3" s="428"/>
      <c r="AE3" s="428"/>
    </row>
    <row r="4" spans="2:31" ht="13.5" customHeight="1" thickBot="1">
      <c r="B4" s="429"/>
      <c r="C4" s="719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1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abSelected="1" zoomScale="43" zoomScaleNormal="130" zoomScaleSheetLayoutView="40" workbookViewId="0">
      <selection activeCell="AE43" sqref="AE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2" t="s">
        <v>1620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206"/>
      <c r="AE4" s="205"/>
      <c r="AF4" s="205"/>
    </row>
    <row r="5" spans="2:32" ht="13.5" customHeight="1" thickBot="1">
      <c r="B5" s="204"/>
      <c r="C5" s="204"/>
      <c r="D5" s="725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6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6"/>
      <c r="AC5" s="72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2024-04-18T08:42:06Z</dcterms:modified>
</cp:coreProperties>
</file>