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FB2EEF11-8104-42AE-BB57-D5364993D557}" xr6:coauthVersionLast="47" xr6:coauthVersionMax="47" xr10:uidLastSave="{00000000-0000-0000-0000-000000000000}"/>
  <bookViews>
    <workbookView xWindow="-120" yWindow="-120" windowWidth="20730" windowHeight="11160" tabRatio="859" firstSheet="2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RAB!$A$1:$K$96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66" i="11" l="1"/>
  <c r="F64" i="11"/>
  <c r="F63" i="11"/>
  <c r="F62" i="11"/>
  <c r="F31" i="11"/>
  <c r="F30" i="11"/>
  <c r="F29" i="11"/>
  <c r="F28" i="11"/>
  <c r="F27" i="11"/>
  <c r="G25" i="11"/>
  <c r="G26" i="11"/>
  <c r="G27" i="11"/>
  <c r="G28" i="11"/>
  <c r="G29" i="11"/>
  <c r="G30" i="11"/>
  <c r="G31" i="11"/>
  <c r="D25" i="11"/>
  <c r="I25" i="11" s="1"/>
  <c r="E25" i="11"/>
  <c r="D26" i="11"/>
  <c r="H26" i="11" s="1"/>
  <c r="E26" i="11"/>
  <c r="D27" i="11"/>
  <c r="E27" i="11"/>
  <c r="D28" i="11"/>
  <c r="H28" i="11" s="1"/>
  <c r="E28" i="11"/>
  <c r="D29" i="11"/>
  <c r="E29" i="11"/>
  <c r="D30" i="11"/>
  <c r="H30" i="11" s="1"/>
  <c r="E30" i="11"/>
  <c r="D31" i="11"/>
  <c r="I31" i="11" s="1"/>
  <c r="E31" i="11"/>
  <c r="I29" i="11" l="1"/>
  <c r="I27" i="11"/>
  <c r="J31" i="11"/>
  <c r="H31" i="11"/>
  <c r="I30" i="11"/>
  <c r="J29" i="11"/>
  <c r="H29" i="11"/>
  <c r="I28" i="11"/>
  <c r="J27" i="11"/>
  <c r="H27" i="11"/>
  <c r="I26" i="11"/>
  <c r="J25" i="11"/>
  <c r="H25" i="11"/>
  <c r="J30" i="11"/>
  <c r="J28" i="11"/>
  <c r="J26" i="11"/>
  <c r="K28" i="11" l="1"/>
  <c r="K25" i="11"/>
  <c r="K26" i="11"/>
  <c r="K29" i="11"/>
  <c r="K30" i="11"/>
  <c r="K27" i="11"/>
  <c r="K31" i="11"/>
  <c r="F24" i="11" l="1"/>
  <c r="F23" i="11"/>
  <c r="F22" i="11"/>
  <c r="F21" i="11"/>
  <c r="F20" i="11"/>
  <c r="G18" i="11"/>
  <c r="G19" i="11"/>
  <c r="G20" i="11"/>
  <c r="G21" i="11"/>
  <c r="G22" i="11"/>
  <c r="G23" i="11"/>
  <c r="G24" i="11"/>
  <c r="D18" i="11"/>
  <c r="H18" i="11" s="1"/>
  <c r="E18" i="11"/>
  <c r="D19" i="11"/>
  <c r="J19" i="11" s="1"/>
  <c r="E19" i="11"/>
  <c r="D20" i="11"/>
  <c r="E20" i="11"/>
  <c r="D21" i="11"/>
  <c r="H21" i="11" s="1"/>
  <c r="E21" i="11"/>
  <c r="D22" i="11"/>
  <c r="H22" i="11" s="1"/>
  <c r="E22" i="11"/>
  <c r="D23" i="11"/>
  <c r="J23" i="11" s="1"/>
  <c r="E23" i="11"/>
  <c r="D24" i="11"/>
  <c r="I24" i="11" s="1"/>
  <c r="E24" i="11"/>
  <c r="G62" i="11"/>
  <c r="G63" i="11"/>
  <c r="G64" i="11"/>
  <c r="G65" i="11"/>
  <c r="G66" i="11"/>
  <c r="D16" i="11"/>
  <c r="I20" i="11" l="1"/>
  <c r="I19" i="11"/>
  <c r="I23" i="11"/>
  <c r="H20" i="11"/>
  <c r="J18" i="11"/>
  <c r="H24" i="11"/>
  <c r="J22" i="11"/>
  <c r="H23" i="11"/>
  <c r="I22" i="11"/>
  <c r="K22" i="11" s="1"/>
  <c r="J21" i="11"/>
  <c r="H19" i="11"/>
  <c r="I18" i="11"/>
  <c r="J24" i="11"/>
  <c r="I21" i="11"/>
  <c r="K21" i="11" s="1"/>
  <c r="J20" i="11"/>
  <c r="F73" i="11"/>
  <c r="F72" i="11"/>
  <c r="F71" i="11"/>
  <c r="F70" i="11"/>
  <c r="F69" i="11"/>
  <c r="D66" i="11"/>
  <c r="H66" i="11" s="1"/>
  <c r="E66" i="11"/>
  <c r="G60" i="11"/>
  <c r="G61" i="11"/>
  <c r="G67" i="11"/>
  <c r="G68" i="11"/>
  <c r="G69" i="11"/>
  <c r="G70" i="11"/>
  <c r="G71" i="11"/>
  <c r="G72" i="11"/>
  <c r="G73" i="11"/>
  <c r="G75" i="11"/>
  <c r="D60" i="11"/>
  <c r="H60" i="11" s="1"/>
  <c r="E60" i="11"/>
  <c r="D61" i="11"/>
  <c r="J61" i="11" s="1"/>
  <c r="E61" i="11"/>
  <c r="D62" i="11"/>
  <c r="I62" i="11" s="1"/>
  <c r="E62" i="11"/>
  <c r="D63" i="11"/>
  <c r="E63" i="11"/>
  <c r="D64" i="11"/>
  <c r="E64" i="11"/>
  <c r="D65" i="11"/>
  <c r="E65" i="11"/>
  <c r="D67" i="11"/>
  <c r="I67" i="11" s="1"/>
  <c r="E67" i="11"/>
  <c r="D68" i="11"/>
  <c r="H68" i="11" s="1"/>
  <c r="E68" i="11"/>
  <c r="D69" i="11"/>
  <c r="H69" i="11" s="1"/>
  <c r="E69" i="11"/>
  <c r="D70" i="11"/>
  <c r="J70" i="11" s="1"/>
  <c r="E70" i="11"/>
  <c r="D71" i="11"/>
  <c r="E71" i="11"/>
  <c r="D72" i="11"/>
  <c r="H72" i="11" s="1"/>
  <c r="E72" i="11"/>
  <c r="D73" i="11"/>
  <c r="H73" i="11" s="1"/>
  <c r="E73" i="11"/>
  <c r="D75" i="11"/>
  <c r="E75" i="11"/>
  <c r="G15" i="11"/>
  <c r="G16" i="11"/>
  <c r="G17" i="11"/>
  <c r="K23" i="11" l="1"/>
  <c r="J75" i="11"/>
  <c r="K19" i="11"/>
  <c r="I71" i="11"/>
  <c r="K24" i="11"/>
  <c r="K20" i="11"/>
  <c r="K18" i="11"/>
  <c r="J66" i="11"/>
  <c r="I66" i="11"/>
  <c r="H64" i="11"/>
  <c r="J65" i="11"/>
  <c r="H63" i="11"/>
  <c r="J69" i="11"/>
  <c r="H67" i="11"/>
  <c r="H61" i="11"/>
  <c r="I70" i="11"/>
  <c r="J64" i="11"/>
  <c r="H62" i="11"/>
  <c r="H70" i="11"/>
  <c r="J68" i="11"/>
  <c r="I65" i="11"/>
  <c r="J60" i="11"/>
  <c r="H71" i="11"/>
  <c r="H65" i="11"/>
  <c r="J63" i="11"/>
  <c r="I61" i="11"/>
  <c r="I75" i="11"/>
  <c r="J73" i="11"/>
  <c r="H75" i="11"/>
  <c r="I73" i="11"/>
  <c r="J72" i="11"/>
  <c r="I69" i="11"/>
  <c r="I64" i="11"/>
  <c r="I60" i="11"/>
  <c r="I72" i="11"/>
  <c r="K72" i="11" s="1"/>
  <c r="J71" i="11"/>
  <c r="I68" i="11"/>
  <c r="J67" i="11"/>
  <c r="I63" i="11"/>
  <c r="J62" i="11"/>
  <c r="K69" i="11" l="1"/>
  <c r="K66" i="11"/>
  <c r="K65" i="11"/>
  <c r="K63" i="11"/>
  <c r="K73" i="11"/>
  <c r="K71" i="11"/>
  <c r="K70" i="11"/>
  <c r="K68" i="11"/>
  <c r="K64" i="11"/>
  <c r="K62" i="11"/>
  <c r="K67" i="11"/>
  <c r="K60" i="11"/>
  <c r="K75" i="11"/>
  <c r="K61" i="11"/>
  <c r="D8" i="59" l="1"/>
  <c r="G57" i="11"/>
  <c r="G58" i="11"/>
  <c r="D57" i="11"/>
  <c r="H57" i="11" s="1"/>
  <c r="E57" i="11"/>
  <c r="D58" i="11"/>
  <c r="E58" i="11"/>
  <c r="E16" i="11"/>
  <c r="E17" i="11"/>
  <c r="J58" i="11" l="1"/>
  <c r="I58" i="11"/>
  <c r="J57" i="11"/>
  <c r="H58" i="11"/>
  <c r="I57" i="11"/>
  <c r="K58" i="11" l="1"/>
  <c r="K57" i="11"/>
  <c r="D59" i="11" l="1"/>
  <c r="H59" i="11" s="1"/>
  <c r="D76" i="11"/>
  <c r="J76" i="11" s="1"/>
  <c r="G59" i="11"/>
  <c r="D15" i="11"/>
  <c r="D17" i="11"/>
  <c r="K6" i="60"/>
  <c r="M77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53" i="11"/>
  <c r="E53" i="11"/>
  <c r="D53" i="11"/>
  <c r="G52" i="11"/>
  <c r="E52" i="11"/>
  <c r="D52" i="11"/>
  <c r="H52" i="11" s="1"/>
  <c r="G51" i="11"/>
  <c r="E51" i="11"/>
  <c r="D51" i="11"/>
  <c r="G50" i="11"/>
  <c r="E50" i="11"/>
  <c r="D50" i="11"/>
  <c r="J50" i="11" s="1"/>
  <c r="G49" i="11"/>
  <c r="E49" i="11"/>
  <c r="D49" i="11"/>
  <c r="I49" i="11" s="1"/>
  <c r="G48" i="11"/>
  <c r="E48" i="11"/>
  <c r="D48" i="11"/>
  <c r="G47" i="11"/>
  <c r="E47" i="11"/>
  <c r="D47" i="11"/>
  <c r="H47" i="11" s="1"/>
  <c r="G46" i="11"/>
  <c r="E46" i="11"/>
  <c r="D46" i="11"/>
  <c r="G45" i="11"/>
  <c r="E45" i="11"/>
  <c r="D45" i="11"/>
  <c r="G44" i="11"/>
  <c r="E44" i="11"/>
  <c r="D44" i="11"/>
  <c r="G43" i="11"/>
  <c r="E43" i="11"/>
  <c r="D43" i="11"/>
  <c r="J43" i="11" s="1"/>
  <c r="G42" i="11"/>
  <c r="E42" i="11"/>
  <c r="D42" i="11"/>
  <c r="J42" i="11" s="1"/>
  <c r="G41" i="11"/>
  <c r="E41" i="11"/>
  <c r="D41" i="11"/>
  <c r="G40" i="11"/>
  <c r="E40" i="11"/>
  <c r="D40" i="11"/>
  <c r="G39" i="11"/>
  <c r="E39" i="11"/>
  <c r="D39" i="11"/>
  <c r="G38" i="11"/>
  <c r="E38" i="11"/>
  <c r="D38" i="11"/>
  <c r="G37" i="11"/>
  <c r="E37" i="11"/>
  <c r="D37" i="11"/>
  <c r="J37" i="11" s="1"/>
  <c r="G36" i="11"/>
  <c r="E36" i="11"/>
  <c r="D36" i="11"/>
  <c r="G35" i="11"/>
  <c r="E35" i="11"/>
  <c r="D35" i="11"/>
  <c r="G34" i="11"/>
  <c r="E34" i="11"/>
  <c r="D34" i="11"/>
  <c r="G33" i="11"/>
  <c r="E33" i="11"/>
  <c r="D33" i="11"/>
  <c r="G32" i="11"/>
  <c r="E32" i="11"/>
  <c r="D32" i="11"/>
  <c r="M32" i="11"/>
  <c r="D14" i="59"/>
  <c r="D5" i="60" s="1"/>
  <c r="K5" i="60" s="1"/>
  <c r="E15" i="11"/>
  <c r="A15" i="11"/>
  <c r="D19" i="59"/>
  <c r="D18" i="59"/>
  <c r="M16" i="11"/>
  <c r="E59" i="11"/>
  <c r="D54" i="11"/>
  <c r="E54" i="11"/>
  <c r="D55" i="11"/>
  <c r="E55" i="11"/>
  <c r="M59" i="11"/>
  <c r="D56" i="11"/>
  <c r="E56" i="11"/>
  <c r="E76" i="11"/>
  <c r="G76" i="11"/>
  <c r="D14" i="11"/>
  <c r="H14" i="11" s="1"/>
  <c r="E14" i="11"/>
  <c r="G14" i="11"/>
  <c r="K19" i="60"/>
  <c r="D19" i="60"/>
  <c r="M76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77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77" i="11"/>
  <c r="D78" i="11"/>
  <c r="E78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78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56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55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77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5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54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68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9" i="60" l="1"/>
  <c r="I33" i="11"/>
  <c r="H15" i="11"/>
  <c r="I15" i="11"/>
  <c r="J15" i="11"/>
  <c r="H17" i="11"/>
  <c r="I17" i="11"/>
  <c r="J17" i="11"/>
  <c r="J16" i="11"/>
  <c r="H16" i="11"/>
  <c r="I16" i="11"/>
  <c r="H56" i="11"/>
  <c r="D312" i="29"/>
  <c r="E312" i="29" s="1"/>
  <c r="D802" i="41"/>
  <c r="E802" i="41" s="1"/>
  <c r="D22" i="59"/>
  <c r="K8" i="60" s="1"/>
  <c r="D21" i="59"/>
  <c r="M69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70" i="11"/>
  <c r="M71" i="11"/>
  <c r="M73" i="11"/>
  <c r="M72" i="11"/>
  <c r="E776" i="41"/>
  <c r="E272" i="29"/>
  <c r="F717" i="41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15" i="29"/>
  <c r="F322" i="29"/>
  <c r="F250" i="29"/>
  <c r="E273" i="29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56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54" i="11"/>
  <c r="I54" i="11"/>
  <c r="F806" i="41"/>
  <c r="E1081" i="41"/>
  <c r="E1027" i="41"/>
  <c r="F861" i="41"/>
  <c r="E861" i="41"/>
  <c r="E230" i="29"/>
  <c r="E346" i="29"/>
  <c r="E274" i="29"/>
  <c r="F274" i="29"/>
  <c r="H78" i="11"/>
  <c r="J78" i="11"/>
  <c r="J56" i="11"/>
  <c r="E340" i="29"/>
  <c r="I37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H37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J55" i="11"/>
  <c r="I55" i="11"/>
  <c r="E348" i="29"/>
  <c r="E59" i="39"/>
  <c r="E290" i="29"/>
  <c r="F323" i="29"/>
  <c r="E260" i="29"/>
  <c r="E236" i="29"/>
  <c r="E73" i="39"/>
  <c r="E341" i="29"/>
  <c r="F341" i="29"/>
  <c r="F299" i="29"/>
  <c r="J53" i="11"/>
  <c r="H53" i="11"/>
  <c r="I53" i="11"/>
  <c r="F300" i="29"/>
  <c r="E284" i="29"/>
  <c r="F233" i="29"/>
  <c r="E58" i="39"/>
  <c r="F319" i="29"/>
  <c r="F310" i="29"/>
  <c r="H55" i="11"/>
  <c r="H54" i="11"/>
  <c r="M67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32" i="11"/>
  <c r="H32" i="11"/>
  <c r="H36" i="11"/>
  <c r="J36" i="11"/>
  <c r="I36" i="11"/>
  <c r="J40" i="11"/>
  <c r="I40" i="11"/>
  <c r="H40" i="11"/>
  <c r="J44" i="11"/>
  <c r="H44" i="11"/>
  <c r="I48" i="11"/>
  <c r="J48" i="11"/>
  <c r="H48" i="11"/>
  <c r="I32" i="11"/>
  <c r="I35" i="11"/>
  <c r="H35" i="11"/>
  <c r="J35" i="11"/>
  <c r="I39" i="11"/>
  <c r="J39" i="11"/>
  <c r="H39" i="11"/>
  <c r="H43" i="11"/>
  <c r="I43" i="11"/>
  <c r="I47" i="11"/>
  <c r="J47" i="11"/>
  <c r="I51" i="11"/>
  <c r="H51" i="11"/>
  <c r="J51" i="11"/>
  <c r="I78" i="11"/>
  <c r="J34" i="11"/>
  <c r="H34" i="11"/>
  <c r="I34" i="11"/>
  <c r="J38" i="11"/>
  <c r="H38" i="11"/>
  <c r="I38" i="11"/>
  <c r="I42" i="11"/>
  <c r="H42" i="11"/>
  <c r="J46" i="11"/>
  <c r="H46" i="11"/>
  <c r="I46" i="11"/>
  <c r="H50" i="11"/>
  <c r="I50" i="11"/>
  <c r="I44" i="11"/>
  <c r="H33" i="11"/>
  <c r="J33" i="11"/>
  <c r="I41" i="11"/>
  <c r="H41" i="11"/>
  <c r="J41" i="11"/>
  <c r="J45" i="11"/>
  <c r="H45" i="11"/>
  <c r="I45" i="11"/>
  <c r="J49" i="11"/>
  <c r="H49" i="11"/>
  <c r="I52" i="11"/>
  <c r="I76" i="11"/>
  <c r="J59" i="11"/>
  <c r="J52" i="11"/>
  <c r="H76" i="11"/>
  <c r="I59" i="11"/>
  <c r="F781" i="41" l="1"/>
  <c r="F291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60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7" i="11"/>
  <c r="M17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59" i="11"/>
  <c r="K47" i="11"/>
  <c r="M47" i="11" s="1"/>
  <c r="K37" i="11"/>
  <c r="M37" i="11" s="1"/>
  <c r="K56" i="11"/>
  <c r="M56" i="11" s="1"/>
  <c r="M18" i="11"/>
  <c r="M75" i="11"/>
  <c r="K78" i="11"/>
  <c r="K53" i="11"/>
  <c r="M53" i="11" s="1"/>
  <c r="K54" i="11"/>
  <c r="M54" i="11" s="1"/>
  <c r="F350" i="29"/>
  <c r="K50" i="11"/>
  <c r="M50" i="11" s="1"/>
  <c r="K52" i="11"/>
  <c r="M52" i="11" s="1"/>
  <c r="K33" i="11"/>
  <c r="M33" i="11" s="1"/>
  <c r="K43" i="11"/>
  <c r="M43" i="11" s="1"/>
  <c r="K36" i="11"/>
  <c r="M36" i="11" s="1"/>
  <c r="K41" i="11"/>
  <c r="M41" i="11" s="1"/>
  <c r="K55" i="11"/>
  <c r="M55" i="11" s="1"/>
  <c r="K76" i="11"/>
  <c r="K38" i="11"/>
  <c r="M38" i="11" s="1"/>
  <c r="H77" i="11"/>
  <c r="H80" i="11" s="1"/>
  <c r="F312" i="29"/>
  <c r="F339" i="29"/>
  <c r="F226" i="29"/>
  <c r="F345" i="29"/>
  <c r="F239" i="29"/>
  <c r="I77" i="11"/>
  <c r="I80" i="11" s="1"/>
  <c r="J77" i="11"/>
  <c r="J80" i="11" s="1"/>
  <c r="K42" i="11"/>
  <c r="M42" i="11" s="1"/>
  <c r="K51" i="11"/>
  <c r="M51" i="11" s="1"/>
  <c r="K44" i="11"/>
  <c r="M44" i="11" s="1"/>
  <c r="K32" i="11"/>
  <c r="K45" i="11"/>
  <c r="M45" i="11" s="1"/>
  <c r="K48" i="11"/>
  <c r="M48" i="11" s="1"/>
  <c r="K49" i="11"/>
  <c r="M49" i="11" s="1"/>
  <c r="K46" i="11"/>
  <c r="M46" i="11" s="1"/>
  <c r="K34" i="11"/>
  <c r="M34" i="11" s="1"/>
  <c r="K39" i="11"/>
  <c r="M39" i="11" s="1"/>
  <c r="K35" i="11"/>
  <c r="M35" i="11" s="1"/>
  <c r="K40" i="11"/>
  <c r="M40" i="11" s="1"/>
  <c r="F716" i="41"/>
  <c r="F840" i="41"/>
  <c r="F835" i="41"/>
  <c r="F729" i="41"/>
  <c r="F802" i="41"/>
  <c r="F829" i="41"/>
  <c r="C20" i="29" l="1"/>
  <c r="C25" i="29"/>
  <c r="C21" i="29"/>
  <c r="C22" i="29"/>
  <c r="C23" i="29"/>
  <c r="C24" i="29"/>
  <c r="F17" i="39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D22" i="29"/>
  <c r="C32" i="29"/>
  <c r="G32" i="29" s="1"/>
  <c r="C157" i="29"/>
  <c r="B157" i="29" s="1"/>
  <c r="E157" i="29" s="1"/>
  <c r="C124" i="29"/>
  <c r="G124" i="29" s="1"/>
  <c r="F130" i="29"/>
  <c r="D25" i="29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D23" i="29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G20" i="29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D24" i="29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D21" i="29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81" i="11"/>
  <c r="J82" i="11" s="1"/>
  <c r="H81" i="11"/>
  <c r="H82" i="11" s="1"/>
  <c r="I81" i="11"/>
  <c r="I82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7" i="29"/>
  <c r="D92" i="29"/>
  <c r="D21" i="39"/>
  <c r="B21" i="39"/>
  <c r="E21" i="39" s="1"/>
  <c r="G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77" i="11"/>
  <c r="K80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106" i="29" l="1"/>
  <c r="H106" i="29" s="1"/>
  <c r="D68" i="29"/>
  <c r="B124" i="29"/>
  <c r="E124" i="29" s="1"/>
  <c r="D148" i="29"/>
  <c r="I148" i="29" s="1"/>
  <c r="D90" i="29"/>
  <c r="H90" i="29" s="1"/>
  <c r="G18" i="39"/>
  <c r="G77" i="29"/>
  <c r="I30" i="39"/>
  <c r="G133" i="29"/>
  <c r="G29" i="39"/>
  <c r="G24" i="29"/>
  <c r="D124" i="29"/>
  <c r="H124" i="29" s="1"/>
  <c r="D33" i="39"/>
  <c r="H33" i="39" s="1"/>
  <c r="B112" i="29"/>
  <c r="E112" i="29" s="1"/>
  <c r="B149" i="29"/>
  <c r="E149" i="29" s="1"/>
  <c r="D85" i="29"/>
  <c r="H85" i="29" s="1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J29" i="39" s="1"/>
  <c r="B28" i="39"/>
  <c r="E28" i="39" s="1"/>
  <c r="D20" i="39"/>
  <c r="J20" i="39" s="1"/>
  <c r="B38" i="29"/>
  <c r="E38" i="29" s="1"/>
  <c r="G85" i="29"/>
  <c r="G115" i="29"/>
  <c r="G58" i="29"/>
  <c r="D122" i="29"/>
  <c r="I122" i="29" s="1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J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81" i="11"/>
  <c r="K82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J148" i="29"/>
  <c r="H148" i="29"/>
  <c r="H48" i="29"/>
  <c r="J48" i="29"/>
  <c r="I48" i="29"/>
  <c r="H38" i="29"/>
  <c r="J38" i="29"/>
  <c r="I38" i="29"/>
  <c r="I86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92" i="29"/>
  <c r="I92" i="29"/>
  <c r="J92" i="29"/>
  <c r="H138" i="29"/>
  <c r="J138" i="29"/>
  <c r="I138" i="29"/>
  <c r="I90" i="29"/>
  <c r="J90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I20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I33" i="39"/>
  <c r="J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I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J18" i="29"/>
  <c r="I160" i="29"/>
  <c r="H160" i="29"/>
  <c r="J160" i="29"/>
  <c r="H58" i="29"/>
  <c r="J58" i="29"/>
  <c r="I58" i="29"/>
  <c r="H113" i="29"/>
  <c r="J113" i="29"/>
  <c r="I132" i="29"/>
  <c r="I33" i="29"/>
  <c r="H33" i="29"/>
  <c r="J33" i="29"/>
  <c r="H122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122" i="29" l="1"/>
  <c r="K122" i="29" s="1"/>
  <c r="H132" i="29"/>
  <c r="I81" i="29"/>
  <c r="H29" i="39"/>
  <c r="I85" i="29"/>
  <c r="K85" i="29" s="1"/>
  <c r="I22" i="39"/>
  <c r="K30" i="39"/>
  <c r="I17" i="39"/>
  <c r="J20" i="29"/>
  <c r="K20" i="29" s="1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K86" i="29" s="1"/>
  <c r="I151" i="29"/>
  <c r="J159" i="29"/>
  <c r="H109" i="29"/>
  <c r="H149" i="29"/>
  <c r="H17" i="39"/>
  <c r="K17" i="39" s="1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132" i="29"/>
  <c r="K23" i="39"/>
  <c r="K97" i="29"/>
  <c r="K100" i="29"/>
  <c r="K73" i="29"/>
  <c r="K21" i="29"/>
  <c r="K72" i="29"/>
  <c r="K124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K92" i="29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157" i="29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1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83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81" i="29" l="1"/>
  <c r="K30" i="2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<sst xmlns="http://schemas.openxmlformats.org/spreadsheetml/2006/main" count="4751" uniqueCount="1640">
  <si>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</si>
  <si>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</si>
  <si>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</si>
  <si>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</si>
  <si>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</si>
  <si>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</si>
  <si>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</si>
  <si>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</si>
  <si>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</si>
  <si>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</si>
  <si>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</si>
  <si>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</si>
  <si>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</si>
  <si>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</si>
  <si>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</si>
  <si>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</si>
  <si>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</si>
  <si>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</si>
  <si>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</si>
  <si>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</si>
  <si>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</si>
  <si>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</si>
  <si>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</si>
  <si>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</si>
  <si>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</si>
  <si>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</si>
  <si>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</si>
  <si>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</si>
  <si>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</si>
  <si>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</si>
  <si>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</si>
  <si>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</si>
  <si>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</si>
  <si>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</si>
  <si>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</si>
  <si>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</si>
  <si>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</si>
  <si>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</si>
  <si>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</si>
  <si>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</si>
  <si>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</si>
  <si>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</si>
  <si>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</si>
  <si>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</si>
  <si>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</si>
  <si>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</si>
  <si>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</si>
  <si>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</si>
  <si>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</si>
  <si>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</si>
  <si>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</si>
  <si>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</si>
  <si>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</si>
  <si>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</si>
  <si>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</si>
  <si>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</si>
  <si>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</si>
  <si>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</si>
  <si>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</si>
  <si>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</si>
  <si>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</si>
  <si>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</si>
  <si>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</si>
  <si>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</si>
  <si>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</si>
  <si>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</si>
  <si>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</si>
  <si>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</si>
  <si>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</si>
  <si>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</si>
  <si>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</si>
  <si>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</si>
  <si>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</si>
  <si>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</si>
  <si>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</si>
  <si>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</si>
  <si>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</si>
  <si>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</si>
  <si>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</si>
  <si>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</si>
  <si>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</si>
  <si>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</si>
  <si>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</si>
  <si>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</si>
  <si>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</si>
  <si>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</si>
  <si>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</si>
  <si>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</si>
  <si>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</si>
  <si>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</si>
  <si>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</si>
  <si>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</si>
  <si>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</si>
  <si>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</si>
  <si>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</si>
  <si>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</si>
  <si>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</si>
  <si>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</si>
  <si>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</si>
  <si>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</si>
  <si>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</si>
  <si>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</si>
  <si>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</si>
  <si>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</si>
  <si>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</si>
  <si>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</si>
  <si>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</si>
  <si>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</si>
  <si>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</si>
  <si>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</si>
  <si>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</si>
  <si>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</si>
  <si>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</si>
  <si>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</si>
  <si>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</si>
  <si>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</si>
  <si>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</si>
  <si>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</si>
  <si>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</si>
  <si>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</si>
  <si>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</si>
  <si>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</si>
  <si>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</si>
  <si>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</si>
  <si>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</si>
  <si>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</si>
  <si>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</si>
  <si>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</si>
  <si>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</si>
  <si>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</si>
  <si>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</si>
  <si>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</si>
  <si>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</si>
  <si>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</si>
  <si>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</si>
  <si>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</si>
  <si>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</si>
  <si>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</si>
  <si>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</si>
  <si>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</si>
  <si>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</si>
  <si>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</si>
  <si>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</si>
  <si>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</si>
  <si>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</si>
  <si>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</si>
  <si>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</si>
  <si>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</si>
  <si>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</si>
  <si>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</si>
  <si>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</si>
  <si>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</si>
  <si>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</si>
  <si>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</si>
  <si>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</si>
  <si>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</si>
  <si>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</si>
  <si>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</si>
  <si>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</si>
  <si>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</si>
  <si>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</si>
  <si>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</si>
  <si>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</si>
  <si>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</si>
  <si>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</si>
  <si>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</si>
  <si>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</si>
  <si>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</si>
  <si>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</si>
  <si>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</si>
  <si>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</si>
  <si>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</si>
  <si>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</si>
  <si>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</si>
  <si>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</si>
  <si>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</si>
  <si>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</si>
  <si>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</si>
  <si>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</si>
  <si>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</si>
  <si>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</si>
  <si>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</si>
  <si>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</si>
  <si>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</si>
  <si>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</si>
  <si>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</si>
  <si>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</si>
  <si>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</si>
  <si>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</si>
  <si>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</si>
  <si>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</si>
  <si>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</si>
  <si>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</si>
  <si>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</si>
  <si>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</si>
  <si>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</si>
  <si>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</si>
  <si>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</si>
  <si>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</si>
  <si>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</si>
  <si>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</si>
  <si>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</si>
  <si>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</si>
  <si>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</si>
  <si>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</si>
  <si>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</si>
  <si>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</si>
  <si>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</si>
  <si>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</si>
  <si>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</si>
  <si>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</si>
  <si>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</si>
  <si>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</si>
  <si>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</si>
  <si>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</si>
  <si>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</si>
  <si>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</si>
  <si>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</si>
  <si>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</si>
  <si>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</si>
  <si>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</si>
  <si>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</si>
  <si>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</si>
  <si>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</si>
  <si>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</si>
  <si>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</si>
  <si>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</si>
  <si>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</si>
  <si>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</si>
  <si>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</si>
  <si>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</si>
  <si>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</si>
  <si>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</si>
  <si>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</si>
  <si>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</si>
  <si>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</si>
  <si>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</si>
  <si>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</si>
  <si>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</si>
  <si>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</si>
  <si>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</si>
  <si>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</si>
  <si>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</si>
  <si>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</si>
  <si>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</si>
  <si>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</si>
  <si>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</si>
  <si>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</si>
  <si>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</si>
  <si>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</si>
  <si>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</si>
  <si>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</si>
  <si>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</si>
  <si>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</si>
  <si>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</si>
  <si>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</si>
  <si>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</si>
  <si>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</si>
  <si>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</si>
  <si>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</si>
  <si>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</si>
  <si>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</si>
  <si>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</si>
  <si>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</si>
  <si>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</si>
  <si>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</si>
  <si>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</si>
  <si>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</si>
  <si>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</si>
  <si>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</si>
  <si>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</si>
  <si>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</si>
  <si>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</si>
  <si>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</si>
  <si>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</si>
  <si>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</si>
  <si>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</si>
  <si>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</si>
  <si>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</si>
  <si>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</si>
  <si>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</si>
  <si>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</si>
  <si>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</si>
  <si>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</si>
  <si>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</si>
  <si>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</si>
  <si>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</si>
  <si>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</si>
  <si>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</si>
  <si>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</si>
  <si>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</si>
  <si>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</si>
  <si>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</si>
  <si>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</si>
  <si>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</si>
  <si>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</si>
  <si>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</si>
  <si>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</si>
  <si>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</si>
  <si>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</si>
  <si>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</si>
  <si>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</si>
  <si>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</si>
  <si>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</si>
  <si>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</si>
  <si>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</si>
  <si>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</si>
  <si>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</si>
  <si>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</si>
  <si>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</si>
  <si>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</si>
  <si>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</si>
  <si>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</si>
  <si>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</si>
  <si>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</si>
  <si>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</si>
  <si>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</si>
  <si>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</si>
  <si>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</si>
  <si>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</si>
  <si>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</si>
  <si>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</si>
  <si>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</si>
  <si>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</si>
  <si>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</si>
  <si>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</si>
  <si>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</si>
  <si>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</si>
  <si>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</si>
  <si>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</si>
  <si>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</si>
  <si>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</si>
  <si>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</si>
  <si>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</si>
  <si>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</si>
  <si>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</si>
  <si>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</si>
  <si>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</si>
  <si>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</si>
  <si>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</si>
  <si>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</si>
  <si>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</si>
  <si>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</si>
  <si>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</si>
  <si>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</si>
  <si>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</si>
  <si>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</si>
  <si>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</si>
  <si>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</si>
  <si>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</si>
  <si>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</si>
  <si>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</si>
  <si>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</si>
  <si>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</si>
  <si>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</si>
  <si>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</si>
  <si>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</si>
  <si>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</si>
  <si>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</si>
  <si>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</si>
  <si>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</si>
  <si>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</si>
  <si>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</si>
  <si>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</si>
  <si>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</si>
  <si>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</si>
  <si>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</si>
  <si>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</si>
  <si>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</si>
  <si>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</si>
  <si>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</si>
  <si>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</si>
  <si>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</si>
  <si>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</si>
  <si>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</si>
  <si>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</si>
  <si>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</si>
  <si>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</si>
  <si>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</si>
  <si>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</si>
  <si>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</si>
  <si>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</si>
  <si>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</si>
  <si>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</si>
  <si>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</si>
  <si>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</si>
  <si>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</si>
  <si>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</si>
  <si>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</si>
  <si>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</si>
  <si>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</si>
  <si>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</si>
  <si>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</si>
  <si>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</si>
  <si>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</si>
  <si>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</si>
  <si>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</si>
  <si>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</si>
  <si>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</si>
  <si>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</si>
  <si>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</si>
  <si>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</si>
  <si>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</si>
  <si>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</si>
  <si>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</si>
  <si>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</si>
  <si>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</si>
  <si>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</si>
  <si>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</si>
  <si>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</si>
  <si>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</si>
  <si>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</si>
  <si>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</si>
  <si>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</si>
  <si>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</si>
  <si>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</si>
  <si>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</si>
  <si>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</si>
  <si>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</si>
  <si>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</si>
  <si>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</si>
  <si>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</si>
  <si>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</si>
  <si>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</si>
  <si>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</si>
  <si>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</si>
  <si>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</si>
  <si>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</si>
  <si>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</si>
  <si>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</si>
  <si>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</si>
  <si>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</si>
  <si>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</si>
  <si>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</si>
  <si>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</si>
  <si>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</si>
  <si>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</si>
  <si>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</si>
  <si>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</si>
  <si>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</si>
  <si>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</si>
  <si>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</si>
  <si>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</si>
  <si>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</si>
  <si>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</si>
  <si>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</si>
  <si>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</si>
  <si>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</si>
  <si>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</si>
  <si>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</si>
  <si>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</si>
  <si>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</si>
  <si>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</si>
  <si>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</si>
  <si>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</si>
  <si>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</si>
  <si>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</si>
  <si>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</si>
  <si>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</si>
  <si>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</si>
  <si>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</si>
  <si>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</si>
  <si>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</si>
  <si>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</si>
  <si>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</si>
  <si>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</si>
  <si>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</si>
  <si>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</si>
  <si>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</si>
  <si>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</si>
  <si>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</si>
  <si>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</si>
  <si>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</si>
  <si>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</si>
  <si>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</si>
  <si>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</si>
  <si>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</si>
  <si>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</si>
  <si>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</si>
  <si>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</si>
  <si>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</si>
  <si>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</si>
  <si>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</si>
  <si>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</si>
  <si>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</si>
  <si>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</si>
  <si>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</si>
  <si>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</si>
  <si>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</si>
  <si>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</si>
  <si>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</si>
  <si>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</si>
  <si>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</si>
  <si>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</si>
  <si>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</si>
  <si>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</si>
  <si>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</si>
  <si>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</si>
  <si>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</si>
  <si>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</si>
  <si>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</si>
  <si>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</si>
  <si>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</si>
  <si>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</si>
  <si>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</si>
  <si>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</si>
  <si>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</si>
  <si>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</si>
  <si>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</si>
  <si>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</si>
  <si>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</si>
  <si>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</si>
  <si>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</si>
  <si>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</si>
  <si>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</si>
  <si>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</si>
  <si>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</si>
  <si>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</si>
  <si>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</si>
  <si>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</si>
  <si>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</si>
  <si>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</si>
  <si>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</si>
  <si>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</si>
  <si>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</si>
  <si>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</si>
  <si>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</si>
  <si>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</si>
  <si>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</si>
  <si>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</si>
  <si>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</si>
  <si>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</si>
  <si>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</si>
  <si>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</si>
  <si>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</si>
  <si>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</si>
  <si>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</si>
  <si>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</si>
  <si>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</si>
  <si>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</si>
  <si>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</si>
  <si>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</si>
  <si>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</si>
  <si>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</si>
  <si>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</si>
  <si>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</si>
  <si>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</si>
  <si>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</si>
  <si>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</si>
  <si>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</si>
  <si>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</si>
  <si>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</si>
  <si>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</si>
  <si>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</si>
  <si>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</si>
  <si>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</si>
  <si>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</si>
  <si>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</si>
  <si>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</si>
  <si>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</si>
  <si>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</si>
  <si>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</si>
  <si>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</si>
  <si>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</si>
  <si>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</si>
  <si>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</si>
  <si>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</si>
  <si>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</si>
  <si>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</si>
  <si>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</si>
  <si>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</si>
  <si>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</si>
  <si>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</si>
  <si>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</si>
  <si>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</si>
  <si>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</si>
  <si>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</si>
  <si>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</si>
  <si>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</si>
  <si>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</si>
  <si>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</si>
  <si>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</si>
  <si>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</si>
  <si>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</si>
  <si>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</si>
  <si>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</si>
  <si>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</si>
  <si>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</si>
  <si>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</si>
  <si>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</si>
  <si>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</si>
  <si>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</si>
  <si>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</si>
  <si>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</si>
  <si>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</si>
  <si>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</si>
  <si>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</si>
  <si>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</si>
  <si>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</si>
  <si>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</si>
  <si>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</si>
  <si>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</si>
  <si>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</si>
  <si>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</si>
  <si>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</si>
  <si>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</si>
  <si>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</si>
  <si>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</si>
  <si>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</si>
  <si>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</si>
  <si>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</si>
  <si>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</si>
  <si>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</si>
  <si>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</si>
  <si>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</si>
  <si>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</si>
  <si>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</si>
  <si>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</si>
  <si>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</si>
  <si>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</si>
  <si>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</si>
  <si>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</si>
  <si>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</si>
  <si>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</si>
  <si>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</si>
  <si>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</si>
  <si>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</si>
  <si>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</si>
  <si>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</si>
  <si>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</si>
  <si>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</si>
  <si>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</si>
  <si>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</si>
  <si>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</si>
  <si>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</si>
  <si>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</si>
  <si>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</si>
  <si>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</si>
  <si>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</si>
  <si>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</si>
  <si>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</si>
  <si>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</si>
  <si>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</si>
  <si>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</si>
  <si>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</si>
  <si>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</si>
  <si>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</si>
  <si>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</si>
  <si>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</si>
  <si>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</si>
  <si>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</si>
  <si>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</si>
  <si>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</si>
  <si>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</si>
  <si>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</si>
  <si>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</si>
  <si>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</si>
  <si>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</si>
  <si>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</si>
  <si>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</si>
  <si>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</si>
  <si>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</si>
  <si>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</si>
  <si>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</si>
  <si>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</si>
  <si>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</si>
  <si>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</si>
  <si>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</si>
  <si>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</si>
  <si>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</si>
  <si>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</si>
  <si>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</si>
  <si>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</si>
  <si>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</si>
  <si>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</si>
  <si>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</si>
  <si>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</si>
  <si>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</si>
  <si>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</si>
  <si>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</si>
  <si>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</si>
  <si>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</si>
  <si>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</si>
  <si>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</si>
  <si>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</si>
  <si>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</si>
  <si>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</si>
  <si>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</si>
  <si>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</si>
  <si>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</si>
  <si>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</si>
  <si>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</si>
  <si>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</si>
  <si>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</si>
  <si>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</si>
  <si>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</si>
  <si>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</si>
  <si>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</si>
  <si>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</si>
  <si>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</si>
  <si>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</si>
  <si>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</si>
  <si>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</si>
  <si>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</si>
  <si>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</si>
  <si>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</si>
  <si>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</si>
  <si>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</si>
  <si>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</si>
  <si>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</si>
  <si>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</si>
  <si>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</si>
  <si>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</si>
  <si>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</si>
  <si>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</si>
  <si>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</si>
  <si>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</si>
  <si>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</si>
  <si>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</si>
  <si>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</si>
  <si>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</si>
  <si>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</si>
  <si>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</si>
  <si>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</si>
  <si>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</si>
  <si>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</si>
  <si>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</si>
  <si>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</si>
  <si>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</si>
  <si>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</si>
  <si>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</si>
  <si>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</si>
  <si>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</si>
  <si>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</si>
  <si>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</si>
  <si>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</si>
  <si>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</si>
  <si>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</si>
  <si>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</si>
  <si>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</si>
  <si>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</si>
  <si>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</si>
  <si>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</si>
  <si>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</si>
  <si>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</si>
  <si>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</si>
  <si>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</si>
  <si>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</si>
  <si>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</si>
  <si>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</si>
  <si>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</si>
  <si>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</si>
  <si>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</si>
  <si>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</si>
  <si>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</si>
  <si>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</si>
  <si>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</si>
  <si>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</si>
  <si>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</si>
  <si>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</si>
  <si>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</si>
  <si>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</si>
  <si>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</si>
  <si>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</si>
  <si>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</si>
  <si>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</si>
  <si>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</si>
  <si>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</si>
  <si>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</si>
  <si>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</si>
  <si>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</si>
  <si>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</si>
  <si>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</si>
  <si>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</si>
  <si>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</si>
  <si>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</si>
  <si>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</si>
  <si>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</si>
  <si>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</si>
  <si>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</si>
  <si>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</si>
  <si>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</si>
  <si>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</si>
  <si>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</si>
  <si>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</si>
  <si>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</si>
  <si>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</si>
  <si>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</si>
  <si>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</si>
  <si>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</si>
  <si>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</si>
  <si>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</si>
  <si>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</si>
  <si>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</si>
  <si>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</si>
  <si>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</si>
  <si>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</si>
  <si>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</si>
  <si>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</si>
  <si>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</si>
  <si>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</si>
  <si>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</si>
  <si>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</si>
  <si>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</si>
  <si>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</si>
  <si>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</si>
  <si>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</si>
  <si>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</si>
  <si>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</si>
  <si>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</si>
  <si>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</si>
  <si>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</si>
  <si>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</si>
  <si>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</si>
  <si>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</si>
  <si>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</si>
  <si>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</si>
  <si>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</si>
  <si>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</si>
  <si>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</si>
  <si>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</si>
  <si>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</si>
  <si>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</si>
  <si>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</si>
  <si>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</si>
  <si>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</si>
  <si>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</si>
  <si>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</si>
  <si>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</si>
  <si>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</si>
  <si>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</si>
  <si>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</si>
  <si>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</si>
  <si>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</si>
  <si>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</si>
  <si>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</si>
  <si>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</si>
  <si>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</si>
  <si>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</si>
  <si>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</si>
  <si>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</si>
  <si>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</si>
  <si>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</si>
  <si>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</si>
  <si>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</si>
  <si>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</si>
  <si>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</si>
  <si>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</si>
  <si>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</si>
  <si>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</si>
  <si>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</si>
  <si>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</si>
  <si>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</si>
  <si>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</si>
  <si>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</si>
  <si>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</si>
  <si>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</si>
  <si>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</si>
  <si>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</si>
  <si>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</si>
  <si>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</si>
  <si>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</si>
  <si>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</si>
  <si>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</si>
  <si>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</si>
  <si>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</si>
  <si>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</si>
  <si>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</si>
  <si>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</si>
  <si>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</si>
  <si>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</si>
  <si>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</si>
  <si>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</si>
  <si>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</si>
  <si>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</si>
  <si>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</si>
  <si>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</si>
  <si>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</si>
  <si>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</si>
  <si>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</si>
  <si>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</si>
  <si>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</si>
  <si>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</si>
  <si>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</si>
  <si>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</si>
  <si>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</si>
  <si>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</si>
  <si>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</si>
  <si>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</si>
  <si>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</si>
  <si>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</si>
  <si>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</si>
  <si>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</si>
  <si>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</si>
  <si>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</si>
  <si>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</si>
  <si>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</si>
  <si>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</si>
  <si>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</si>
  <si>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</si>
  <si>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</si>
  <si>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</si>
  <si>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</si>
  <si>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</si>
  <si>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</si>
  <si>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</si>
  <si>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</si>
  <si>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</si>
  <si>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</si>
  <si>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</si>
  <si>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</si>
  <si>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</si>
  <si>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</si>
  <si>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</si>
  <si>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</si>
  <si>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</si>
  <si>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</si>
  <si>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</si>
  <si>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</si>
  <si>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</si>
  <si>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</si>
  <si>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</si>
  <si>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</si>
  <si>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</si>
  <si>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</si>
  <si>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</si>
  <si>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</si>
  <si>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</si>
  <si>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</si>
  <si>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</si>
  <si>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</si>
  <si>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</si>
  <si>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</si>
  <si>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</si>
  <si>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</si>
  <si>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</si>
  <si>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</si>
  <si>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</si>
  <si>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</si>
  <si>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</si>
  <si>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</si>
  <si>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</si>
  <si>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</si>
  <si>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</si>
  <si>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</si>
  <si>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</si>
  <si>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</si>
  <si>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</si>
  <si>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</si>
  <si>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</si>
  <si>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</si>
  <si>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</si>
  <si>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</si>
  <si>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</si>
  <si>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</si>
  <si>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</si>
  <si>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</si>
  <si>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</si>
  <si>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</si>
  <si>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</si>
  <si>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</si>
  <si>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</si>
  <si>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</si>
  <si>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</si>
  <si>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</si>
  <si>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</si>
  <si>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</si>
  <si>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</si>
  <si>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</si>
  <si>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</si>
  <si>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</si>
  <si>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</si>
  <si>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</si>
  <si>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</si>
  <si>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</si>
  <si>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</si>
  <si>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</si>
  <si>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</si>
  <si>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</si>
  <si>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</si>
  <si>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</si>
  <si>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</si>
  <si>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</si>
  <si>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</si>
  <si>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</si>
  <si>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</si>
  <si>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</si>
  <si>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</si>
  <si>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</si>
  <si>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</si>
  <si>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</si>
  <si>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</si>
  <si>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</si>
  <si>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</si>
  <si>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</si>
  <si>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</si>
  <si>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</si>
  <si>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</si>
  <si>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</si>
  <si>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</si>
  <si>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</si>
  <si>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</si>
  <si>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</si>
  <si>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</si>
  <si>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</si>
  <si>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</si>
  <si>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</si>
  <si>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</si>
  <si>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</si>
  <si>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</si>
  <si>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</si>
  <si>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</si>
  <si>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</si>
  <si>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</si>
  <si>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</si>
  <si>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</si>
  <si>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</si>
  <si>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</si>
  <si>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</si>
  <si>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</si>
  <si>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</si>
  <si>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</si>
  <si>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</si>
  <si>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</si>
  <si>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</si>
  <si>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</si>
  <si>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</si>
  <si>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</si>
  <si>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</si>
  <si>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</si>
  <si>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</si>
  <si>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</si>
  <si>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</si>
  <si>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</si>
  <si>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</si>
  <si>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</si>
  <si>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</si>
  <si>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</si>
  <si>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</si>
  <si>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</si>
  <si>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</si>
  <si>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</si>
  <si>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</si>
  <si>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</si>
  <si>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</si>
  <si>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</si>
  <si>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</si>
  <si>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</si>
  <si>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</si>
  <si>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</si>
  <si>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</si>
  <si>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</si>
  <si>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</si>
  <si>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</si>
  <si>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</si>
  <si>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</si>
  <si>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</si>
  <si>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</si>
  <si>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</si>
  <si>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</si>
  <si>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</si>
  <si>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</si>
  <si>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</si>
  <si>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</si>
  <si>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</si>
  <si>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</si>
  <si>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</si>
  <si>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</si>
  <si>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</si>
  <si>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</si>
  <si>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</si>
  <si>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</si>
  <si>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</si>
  <si>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</si>
  <si>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</si>
  <si>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</si>
  <si>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</si>
  <si>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</si>
  <si>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</si>
  <si>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</si>
  <si>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</si>
  <si>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</si>
  <si>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</si>
  <si>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</si>
  <si>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</si>
  <si>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</si>
  <si>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</si>
  <si>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</si>
  <si>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</si>
  <si>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</si>
  <si>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</si>
  <si>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</si>
  <si>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</si>
  <si>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</si>
  <si>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</si>
  <si>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</si>
  <si>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</si>
  <si>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</si>
  <si>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</si>
  <si>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</si>
  <si>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</si>
  <si>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</si>
  <si>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</si>
  <si>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</si>
  <si>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</si>
  <si>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</si>
  <si>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</si>
  <si>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</si>
  <si>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</si>
  <si>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</si>
  <si>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</si>
  <si>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</si>
  <si>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</si>
  <si>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</si>
  <si>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</si>
  <si>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</si>
  <si>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</si>
  <si>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</si>
  <si>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</si>
  <si>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</si>
  <si>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</si>
  <si>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</si>
  <si>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</si>
  <si>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</si>
  <si>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</si>
  <si>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</si>
  <si>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</si>
  <si>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</si>
  <si>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</si>
  <si>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</si>
  <si>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</si>
  <si>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</si>
  <si>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</si>
  <si>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</si>
  <si>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</si>
  <si>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</si>
  <si>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</si>
  <si>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</si>
  <si>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</si>
  <si>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</si>
  <si>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</si>
  <si>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</si>
  <si>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</si>
  <si>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</si>
  <si>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</si>
  <si>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</si>
  <si>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</si>
  <si>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</si>
  <si>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</si>
  <si>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</si>
  <si>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</si>
  <si>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</si>
  <si>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</si>
  <si>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</si>
  <si>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</si>
  <si>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</si>
  <si>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</si>
  <si>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</si>
  <si>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</si>
  <si>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</si>
  <si>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</si>
  <si>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</si>
  <si>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</si>
  <si>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</si>
  <si>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</si>
  <si>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</si>
  <si>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</si>
  <si>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</si>
  <si>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</si>
  <si>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</si>
  <si>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</si>
  <si>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</si>
  <si>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</si>
  <si>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</si>
  <si>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</si>
  <si>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</si>
  <si>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</si>
  <si>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</si>
  <si>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</si>
  <si>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</si>
  <si>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</si>
  <si>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</si>
  <si>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</si>
  <si>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</si>
  <si>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</si>
  <si>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</si>
  <si>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</si>
  <si>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</si>
  <si>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</si>
  <si>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</si>
  <si>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</si>
  <si>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</si>
  <si>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</si>
  <si>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</si>
  <si>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</si>
  <si>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</si>
  <si>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</si>
  <si>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</si>
  <si>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</si>
  <si>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</si>
  <si>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</si>
  <si>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</si>
  <si>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</si>
  <si>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</si>
  <si>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</si>
  <si>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</si>
  <si>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</si>
  <si>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</si>
  <si>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</si>
  <si>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</si>
  <si>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</si>
  <si>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</si>
  <si>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</si>
  <si>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</si>
  <si>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</si>
  <si>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</si>
  <si>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</si>
  <si>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</si>
  <si>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</si>
  <si>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</si>
  <si>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</si>
  <si>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</si>
  <si>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</si>
  <si>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</si>
  <si>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</si>
  <si>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</si>
  <si>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</si>
  <si>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</si>
  <si>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</si>
  <si>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</si>
  <si>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</si>
  <si>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</si>
  <si>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</si>
  <si>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</si>
  <si>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</si>
  <si>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</si>
  <si>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</si>
  <si>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</si>
  <si>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</si>
  <si>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</si>
  <si>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</si>
  <si>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</si>
  <si>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</si>
  <si>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</si>
  <si>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</si>
  <si>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</si>
  <si>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</si>
  <si>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</si>
  <si>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</si>
  <si>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</si>
  <si>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</si>
  <si>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</si>
  <si>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</si>
  <si>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</si>
  <si>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</si>
  <si>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</si>
  <si>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</si>
  <si>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</si>
  <si>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</si>
  <si>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</si>
  <si>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</si>
  <si>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</si>
  <si>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</si>
  <si>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</si>
  <si>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</si>
  <si>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</si>
  <si>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</si>
  <si>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</si>
  <si>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</si>
  <si>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</si>
  <si>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</si>
  <si>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</si>
  <si>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</si>
  <si>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</si>
  <si>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</si>
  <si>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</si>
  <si>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</si>
  <si>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</si>
  <si>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</si>
  <si>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</si>
  <si>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</si>
  <si>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</si>
  <si>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</si>
  <si>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</si>
  <si>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</si>
  <si>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</si>
  <si>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</si>
  <si>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</si>
  <si>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</si>
  <si>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</si>
  <si>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</si>
  <si>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</si>
  <si>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</si>
  <si>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</si>
  <si>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</si>
  <si>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</si>
  <si>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</si>
  <si>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</si>
  <si>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</si>
  <si>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</si>
  <si>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</si>
  <si>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</si>
  <si>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</si>
  <si>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</si>
  <si>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</si>
  <si>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</si>
  <si>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</si>
  <si>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</si>
  <si>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</si>
  <si>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</si>
  <si>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</si>
  <si>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</si>
  <si>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</si>
  <si>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</si>
  <si>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</si>
  <si>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</si>
  <si>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</si>
  <si>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</si>
  <si>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</si>
  <si>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</si>
  <si>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</si>
  <si>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</si>
  <si>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</si>
  <si>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</si>
  <si>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</si>
  <si>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</si>
  <si>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</si>
  <si>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</si>
  <si>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</si>
  <si>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</si>
  <si>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</si>
  <si>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</si>
  <si>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</si>
  <si>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</si>
  <si>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</si>
  <si>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</si>
  <si>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</si>
  <si>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</si>
  <si>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</si>
  <si>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</si>
  <si>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</si>
  <si>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</si>
  <si>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</si>
  <si>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</si>
  <si>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</si>
  <si>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</si>
  <si>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</si>
  <si>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</si>
  <si>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</si>
  <si>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</si>
  <si>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</si>
  <si>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</si>
  <si>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</si>
  <si>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</si>
  <si>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</si>
  <si>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</si>
  <si>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</si>
  <si>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</si>
  <si>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</si>
  <si>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</si>
  <si>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</si>
  <si>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</si>
  <si>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</si>
  <si>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</si>
  <si>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</si>
  <si>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</si>
  <si>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</si>
  <si>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</si>
  <si>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</si>
  <si>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</si>
  <si>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</si>
  <si>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</si>
  <si>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</si>
  <si>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</si>
  <si>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</si>
  <si>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</si>
  <si>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</si>
  <si>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</si>
  <si>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</si>
  <si>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</si>
  <si>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</si>
  <si>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</si>
  <si>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</si>
  <si>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</si>
  <si>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</si>
  <si>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</si>
  <si>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</si>
  <si>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</si>
  <si>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</si>
  <si>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</si>
  <si>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</si>
  <si>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</si>
  <si>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</si>
  <si>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</si>
  <si>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</si>
  <si>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</si>
  <si>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</si>
  <si>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</si>
  <si>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</si>
  <si>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</si>
  <si>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</si>
  <si>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</si>
  <si>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</si>
  <si>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</si>
  <si>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</si>
  <si>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</si>
  <si>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</si>
  <si>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</si>
  <si>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</si>
  <si>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</si>
  <si>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</si>
  <si>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</si>
  <si>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</si>
  <si>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</si>
  <si>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</si>
  <si>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</si>
  <si>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</si>
  <si>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</si>
  <si>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</si>
  <si>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</si>
  <si>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</si>
  <si>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</si>
  <si>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</si>
  <si>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</si>
  <si>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</si>
  <si>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</si>
  <si>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</si>
  <si>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</si>
  <si>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</si>
  <si>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</si>
  <si>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</si>
  <si>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</si>
  <si>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</si>
  <si>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</si>
  <si>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</si>
  <si>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</si>
  <si>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</si>
  <si>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</si>
  <si>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</si>
  <si>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</si>
  <si>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</si>
  <si>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</si>
  <si>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</si>
  <si>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</si>
  <si>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</si>
  <si>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</si>
  <si>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</si>
  <si>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</si>
  <si>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</si>
  <si>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</si>
  <si>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</si>
  <si>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</si>
  <si>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</si>
  <si>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</si>
  <si>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</si>
  <si>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</si>
  <si>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</si>
  <si>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</si>
  <si>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</si>
  <si>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</si>
  <si>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</si>
  <si>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</si>
  <si>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</si>
  <si>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</si>
  <si>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</si>
  <si>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</si>
  <si>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</si>
  <si>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</si>
  <si>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</si>
  <si>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</si>
  <si>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</si>
  <si>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</si>
  <si>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</si>
  <si>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</si>
  <si>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</si>
  <si>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</si>
  <si>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</si>
  <si>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</si>
  <si>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</si>
  <si>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</si>
  <si>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</si>
  <si>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</si>
  <si>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</si>
  <si>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</si>
  <si>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</si>
  <si>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</si>
  <si>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</si>
  <si>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</si>
  <si>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</si>
  <si>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</si>
  <si>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</si>
  <si>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</si>
  <si>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</si>
  <si>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</si>
  <si>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</si>
  <si>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</si>
  <si>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</si>
  <si>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</si>
  <si>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</si>
  <si>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</si>
  <si>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</si>
  <si>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</si>
  <si>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</si>
  <si>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</si>
  <si>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</si>
  <si>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</si>
  <si>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</si>
  <si>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</si>
  <si>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</si>
  <si>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</si>
  <si>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</si>
  <si>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</si>
  <si>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</si>
  <si>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</si>
  <si>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</si>
  <si>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</si>
  <si>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</si>
  <si>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</si>
  <si>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</si>
  <si>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</si>
  <si>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</si>
  <si>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</si>
  <si>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</si>
  <si>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</si>
  <si>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</si>
  <si>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</si>
  <si>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</si>
  <si>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</si>
  <si>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</si>
  <si>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</si>
  <si>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</si>
  <si>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</si>
  <si>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</si>
  <si>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</si>
  <si>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</si>
  <si>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</si>
  <si>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</si>
  <si>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</si>
  <si>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</si>
  <si>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</si>
  <si>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</si>
  <si>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</si>
  <si>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</si>
  <si>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</si>
  <si>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</si>
  <si>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</si>
  <si>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</si>
  <si>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</si>
  <si>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</si>
  <si>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</si>
  <si>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</si>
  <si>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</si>
  <si>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</si>
  <si>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</si>
  <si>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</si>
  <si>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</si>
  <si>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</si>
  <si>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</si>
  <si>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</si>
  <si>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</si>
  <si>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</si>
  <si>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</si>
  <si>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</si>
  <si>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</si>
  <si>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</si>
  <si>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</si>
  <si>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</si>
  <si>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</si>
  <si>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</si>
  <si>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</si>
  <si>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</si>
  <si>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</si>
  <si>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</si>
  <si>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</si>
  <si>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</si>
  <si>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</si>
  <si>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</si>
  <si>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</si>
  <si>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</si>
  <si>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</si>
  <si>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</si>
  <si>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</si>
  <si>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</si>
  <si>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</si>
  <si>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</si>
  <si>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</si>
  <si>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</si>
  <si>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</si>
  <si>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</si>
  <si>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</si>
  <si>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</si>
  <si>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</si>
  <si>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</si>
  <si>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</si>
  <si>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</si>
  <si>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</si>
  <si>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</si>
  <si>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</si>
  <si>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</si>
  <si>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</si>
  <si>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</si>
  <si>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</si>
  <si>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</si>
  <si>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</si>
  <si>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</si>
  <si>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</si>
  <si>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</si>
  <si>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</si>
  <si>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</si>
  <si>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</si>
  <si>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</si>
  <si>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</si>
  <si>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</si>
  <si>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</si>
  <si>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</si>
  <si>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</si>
  <si>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</si>
  <si>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</si>
  <si>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</si>
  <si>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</si>
  <si>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</si>
  <si>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</si>
  <si>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</si>
  <si>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</si>
  <si>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</si>
  <si>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CJ6-T</t>
  </si>
  <si>
    <t>SR 4X16 MM</t>
  </si>
  <si>
    <t>MTR</t>
  </si>
  <si>
    <t>SR APP 33 KVA</t>
  </si>
  <si>
    <t>CJ5-T</t>
  </si>
  <si>
    <t>LVTC 3X70+70</t>
  </si>
  <si>
    <t>SR APP 1P</t>
  </si>
  <si>
    <t xml:space="preserve">-7.071965, 110.950183  </t>
  </si>
  <si>
    <t>PD DR AY ANDRIYAN EKO 32,5-33KVA</t>
  </si>
  <si>
    <t>DS GETAS</t>
  </si>
  <si>
    <t>Daya 33.000 VA</t>
  </si>
  <si>
    <t>B2</t>
  </si>
  <si>
    <t>K2-603/36</t>
  </si>
  <si>
    <t>PWI09</t>
  </si>
  <si>
    <t>K2-603/67A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</si>
</sst>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19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12" fillId="33" borderId="50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107950</xdr:colOff>
      <xdr:row>18</xdr:row>
      <xdr:rowOff>10992</xdr:rowOff>
    </xdr:from>
    <xdr:to>
      <xdr:col>20</xdr:col>
      <xdr:colOff>331788</xdr:colOff>
      <xdr:row>19</xdr:row>
      <xdr:rowOff>40216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298450" y="2709742"/>
          <a:ext cx="7198255" cy="17739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192512</xdr:colOff>
      <xdr:row>20</xdr:row>
      <xdr:rowOff>121922</xdr:rowOff>
    </xdr:from>
    <xdr:to>
      <xdr:col>17</xdr:col>
      <xdr:colOff>337064</xdr:colOff>
      <xdr:row>21</xdr:row>
      <xdr:rowOff>118354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6214429" y="3117005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90804</xdr:colOff>
      <xdr:row>20</xdr:row>
      <xdr:rowOff>124672</xdr:rowOff>
    </xdr:from>
    <xdr:to>
      <xdr:col>12</xdr:col>
      <xdr:colOff>235356</xdr:colOff>
      <xdr:row>21</xdr:row>
      <xdr:rowOff>121104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4207721" y="3119755"/>
          <a:ext cx="144552" cy="144599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127000</xdr:colOff>
      <xdr:row>14</xdr:row>
      <xdr:rowOff>72301</xdr:rowOff>
    </xdr:from>
    <xdr:to>
      <xdr:col>7</xdr:col>
      <xdr:colOff>147111</xdr:colOff>
      <xdr:row>21</xdr:row>
      <xdr:rowOff>2654</xdr:rowOff>
    </xdr:to>
    <xdr:cxnSp macro="">
      <xdr:nvCxnSpPr>
        <xdr:cNvPr id="190" name="Straight Connector 139">
          <a:extLst>
            <a:ext uri="{FF2B5EF4-FFF2-40B4-BE49-F238E27FC236}">
              <a16:creationId xmlns:a16="http://schemas.microsoft.com/office/drawing/2014/main" id="{33153439-9A55-41EF-A51A-F7A4258EA777}"/>
            </a:ext>
          </a:extLst>
        </xdr:cNvPr>
        <xdr:cNvCxnSpPr>
          <a:cxnSpLocks/>
          <a:stCxn id="213" idx="1"/>
          <a:endCxn id="196" idx="2"/>
        </xdr:cNvCxnSpPr>
      </xdr:nvCxnSpPr>
      <xdr:spPr bwMode="auto">
        <a:xfrm flipH="1" flipV="1">
          <a:off x="2338917" y="2178384"/>
          <a:ext cx="20111" cy="9675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232833</xdr:colOff>
      <xdr:row>21</xdr:row>
      <xdr:rowOff>127000</xdr:rowOff>
    </xdr:from>
    <xdr:to>
      <xdr:col>19</xdr:col>
      <xdr:colOff>95250</xdr:colOff>
      <xdr:row>21</xdr:row>
      <xdr:rowOff>127000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>
          <a:off x="1682750" y="3270250"/>
          <a:ext cx="5196417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249325</xdr:colOff>
      <xdr:row>14</xdr:row>
      <xdr:rowOff>110511</xdr:rowOff>
    </xdr:from>
    <xdr:to>
      <xdr:col>7</xdr:col>
      <xdr:colOff>256521</xdr:colOff>
      <xdr:row>21</xdr:row>
      <xdr:rowOff>2654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stCxn id="213" idx="7"/>
        </xdr:cNvCxnSpPr>
      </xdr:nvCxnSpPr>
      <xdr:spPr bwMode="auto">
        <a:xfrm flipV="1">
          <a:off x="2461242" y="2216594"/>
          <a:ext cx="7196" cy="92931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189549</xdr:colOff>
      <xdr:row>22</xdr:row>
      <xdr:rowOff>50906</xdr:rowOff>
    </xdr:from>
    <xdr:to>
      <xdr:col>18</xdr:col>
      <xdr:colOff>39552</xdr:colOff>
      <xdr:row>22</xdr:row>
      <xdr:rowOff>136097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6211466" y="3342323"/>
          <a:ext cx="23100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13</xdr:col>
      <xdr:colOff>205952</xdr:colOff>
      <xdr:row>19</xdr:row>
      <xdr:rowOff>48050</xdr:rowOff>
    </xdr:from>
    <xdr:to>
      <xdr:col>15</xdr:col>
      <xdr:colOff>225362</xdr:colOff>
      <xdr:row>20</xdr:row>
      <xdr:rowOff>83503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4703869" y="2894967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MTR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347557</xdr:colOff>
      <xdr:row>22</xdr:row>
      <xdr:rowOff>135464</xdr:rowOff>
    </xdr:from>
    <xdr:to>
      <xdr:col>8</xdr:col>
      <xdr:colOff>232832</xdr:colOff>
      <xdr:row>30</xdr:row>
      <xdr:rowOff>42332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5761D8C2-8AD5-4488-B58D-94082E7C4550}"/>
            </a:ext>
          </a:extLst>
        </xdr:cNvPr>
        <xdr:cNvSpPr txBox="1"/>
      </xdr:nvSpPr>
      <xdr:spPr>
        <a:xfrm>
          <a:off x="1797474" y="3426881"/>
          <a:ext cx="1028275" cy="109220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K2-603/66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DC-C1-IH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P12-C2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CG105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CJ5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125942</xdr:colOff>
      <xdr:row>20</xdr:row>
      <xdr:rowOff>129645</xdr:rowOff>
    </xdr:from>
    <xdr:to>
      <xdr:col>7</xdr:col>
      <xdr:colOff>270494</xdr:colOff>
      <xdr:row>21</xdr:row>
      <xdr:rowOff>126078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2337859" y="3124728"/>
          <a:ext cx="144552" cy="14460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211667</xdr:colOff>
      <xdr:row>7</xdr:row>
      <xdr:rowOff>31750</xdr:rowOff>
    </xdr:from>
    <xdr:to>
      <xdr:col>6</xdr:col>
      <xdr:colOff>281009</xdr:colOff>
      <xdr:row>12</xdr:row>
      <xdr:rowOff>140336</xdr:rowOff>
    </xdr:to>
    <xdr:sp macro="" textlink="">
      <xdr:nvSpPr>
        <xdr:cNvPr id="221" name="Rectangle 1">
          <a:extLst>
            <a:ext uri="{FF2B5EF4-FFF2-40B4-BE49-F238E27FC236}">
              <a16:creationId xmlns:a16="http://schemas.microsoft.com/office/drawing/2014/main" id="{9151AC0B-AFC0-4848-9920-E28270958314}"/>
            </a:ext>
          </a:extLst>
        </xdr:cNvPr>
        <xdr:cNvSpPr/>
      </xdr:nvSpPr>
      <xdr:spPr>
        <a:xfrm rot="16200000">
          <a:off x="1271545" y="1099122"/>
          <a:ext cx="849420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169334</xdr:colOff>
      <xdr:row>11</xdr:row>
      <xdr:rowOff>126999</xdr:rowOff>
    </xdr:from>
    <xdr:to>
      <xdr:col>5</xdr:col>
      <xdr:colOff>335069</xdr:colOff>
      <xdr:row>12</xdr:row>
      <xdr:rowOff>126999</xdr:rowOff>
    </xdr:to>
    <xdr:sp macro="" textlink="">
      <xdr:nvSpPr>
        <xdr:cNvPr id="225" name="Rectangle 146">
          <a:extLst>
            <a:ext uri="{FF2B5EF4-FFF2-40B4-BE49-F238E27FC236}">
              <a16:creationId xmlns:a16="http://schemas.microsoft.com/office/drawing/2014/main" id="{78F3EB88-5662-4FF6-960F-976B0C171746}"/>
            </a:ext>
          </a:extLst>
        </xdr:cNvPr>
        <xdr:cNvSpPr/>
      </xdr:nvSpPr>
      <xdr:spPr>
        <a:xfrm>
          <a:off x="1619251" y="1777999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7</xdr:col>
      <xdr:colOff>198218</xdr:colOff>
      <xdr:row>20</xdr:row>
      <xdr:rowOff>121922</xdr:rowOff>
    </xdr:from>
    <xdr:to>
      <xdr:col>17</xdr:col>
      <xdr:colOff>264788</xdr:colOff>
      <xdr:row>20</xdr:row>
      <xdr:rowOff>129645</xdr:rowOff>
    </xdr:to>
    <xdr:cxnSp macro="">
      <xdr:nvCxnSpPr>
        <xdr:cNvPr id="236" name="Straight Connector 164">
          <a:extLst>
            <a:ext uri="{FF2B5EF4-FFF2-40B4-BE49-F238E27FC236}">
              <a16:creationId xmlns:a16="http://schemas.microsoft.com/office/drawing/2014/main" id="{D870C096-FA1E-4A58-B5B5-F559989B22C0}"/>
            </a:ext>
          </a:extLst>
        </xdr:cNvPr>
        <xdr:cNvCxnSpPr>
          <a:cxnSpLocks/>
          <a:stCxn id="139" idx="0"/>
          <a:endCxn id="213" idx="0"/>
        </xdr:cNvCxnSpPr>
      </xdr:nvCxnSpPr>
      <xdr:spPr bwMode="auto">
        <a:xfrm flipH="1">
          <a:off x="2410135" y="3117005"/>
          <a:ext cx="3876570" cy="772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201083</xdr:colOff>
      <xdr:row>17</xdr:row>
      <xdr:rowOff>63501</xdr:rowOff>
    </xdr:from>
    <xdr:to>
      <xdr:col>7</xdr:col>
      <xdr:colOff>340218</xdr:colOff>
      <xdr:row>17</xdr:row>
      <xdr:rowOff>126026</xdr:rowOff>
    </xdr:to>
    <xdr:grpSp>
      <xdr:nvGrpSpPr>
        <xdr:cNvPr id="239" name="Grup 244">
          <a:extLst>
            <a:ext uri="{FF2B5EF4-FFF2-40B4-BE49-F238E27FC236}">
              <a16:creationId xmlns:a16="http://schemas.microsoft.com/office/drawing/2014/main" id="{2515D85E-BE6F-44D5-93B6-83CCCED23B4A}"/>
            </a:ext>
          </a:extLst>
        </xdr:cNvPr>
        <xdr:cNvGrpSpPr/>
      </xdr:nvGrpSpPr>
      <xdr:grpSpPr>
        <a:xfrm>
          <a:off x="2413000" y="2614084"/>
          <a:ext cx="139135" cy="62525"/>
          <a:chOff x="13302191" y="2320613"/>
          <a:chExt cx="139135" cy="57233"/>
        </a:xfrm>
      </xdr:grpSpPr>
      <xdr:cxnSp macro="">
        <xdr:nvCxnSpPr>
          <xdr:cNvPr id="240" name="Straight Connector 81">
            <a:extLst>
              <a:ext uri="{FF2B5EF4-FFF2-40B4-BE49-F238E27FC236}">
                <a16:creationId xmlns:a16="http://schemas.microsoft.com/office/drawing/2014/main" id="{5E8BC39E-577B-A89E-9C1D-C23E29A97E9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82">
            <a:extLst>
              <a:ext uri="{FF2B5EF4-FFF2-40B4-BE49-F238E27FC236}">
                <a16:creationId xmlns:a16="http://schemas.microsoft.com/office/drawing/2014/main" id="{9129F7C2-0CA2-B6F6-3EBE-2D77A5703EA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83">
            <a:extLst>
              <a:ext uri="{FF2B5EF4-FFF2-40B4-BE49-F238E27FC236}">
                <a16:creationId xmlns:a16="http://schemas.microsoft.com/office/drawing/2014/main" id="{DFC63EA9-439C-3D9F-D595-058D0C64804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84">
            <a:extLst>
              <a:ext uri="{FF2B5EF4-FFF2-40B4-BE49-F238E27FC236}">
                <a16:creationId xmlns:a16="http://schemas.microsoft.com/office/drawing/2014/main" id="{1EECA40F-4A33-83E7-1FA5-409E2BC254B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95250</xdr:colOff>
      <xdr:row>7</xdr:row>
      <xdr:rowOff>21167</xdr:rowOff>
    </xdr:from>
    <xdr:to>
      <xdr:col>9</xdr:col>
      <xdr:colOff>361525</xdr:colOff>
      <xdr:row>11</xdr:row>
      <xdr:rowOff>2118</xdr:rowOff>
    </xdr:to>
    <xdr:sp macro="" textlink="">
      <xdr:nvSpPr>
        <xdr:cNvPr id="245" name="TextBox 157">
          <a:extLst>
            <a:ext uri="{FF2B5EF4-FFF2-40B4-BE49-F238E27FC236}">
              <a16:creationId xmlns:a16="http://schemas.microsoft.com/office/drawing/2014/main" id="{6D08A632-953A-401E-836D-E9F413D7B439}"/>
            </a:ext>
          </a:extLst>
        </xdr:cNvPr>
        <xdr:cNvSpPr txBox="1"/>
      </xdr:nvSpPr>
      <xdr:spPr>
        <a:xfrm>
          <a:off x="2307167" y="1079500"/>
          <a:ext cx="1028275" cy="57361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K2-66/1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CJ6-T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63501</xdr:colOff>
      <xdr:row>22</xdr:row>
      <xdr:rowOff>31750</xdr:rowOff>
    </xdr:from>
    <xdr:to>
      <xdr:col>7</xdr:col>
      <xdr:colOff>224620</xdr:colOff>
      <xdr:row>22</xdr:row>
      <xdr:rowOff>116941</xdr:rowOff>
    </xdr:to>
    <xdr:sp macro="" textlink="">
      <xdr:nvSpPr>
        <xdr:cNvPr id="246" name="Isosceles Triangle 120">
          <a:extLst>
            <a:ext uri="{FF2B5EF4-FFF2-40B4-BE49-F238E27FC236}">
              <a16:creationId xmlns:a16="http://schemas.microsoft.com/office/drawing/2014/main" id="{D900395D-D855-4DD4-B01A-25CF09D6A04E}"/>
            </a:ext>
          </a:extLst>
        </xdr:cNvPr>
        <xdr:cNvSpPr/>
      </xdr:nvSpPr>
      <xdr:spPr>
        <a:xfrm>
          <a:off x="2275418" y="3323167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95250</xdr:colOff>
      <xdr:row>11</xdr:row>
      <xdr:rowOff>116416</xdr:rowOff>
    </xdr:from>
    <xdr:to>
      <xdr:col>6</xdr:col>
      <xdr:colOff>260985</xdr:colOff>
      <xdr:row>12</xdr:row>
      <xdr:rowOff>116416</xdr:rowOff>
    </xdr:to>
    <xdr:sp macro="" textlink="">
      <xdr:nvSpPr>
        <xdr:cNvPr id="194" name="Rectangle 146">
          <a:extLst>
            <a:ext uri="{FF2B5EF4-FFF2-40B4-BE49-F238E27FC236}">
              <a16:creationId xmlns:a16="http://schemas.microsoft.com/office/drawing/2014/main" id="{06C01AF8-1A1A-46DC-9054-628959A04EEA}"/>
            </a:ext>
          </a:extLst>
        </xdr:cNvPr>
        <xdr:cNvSpPr/>
      </xdr:nvSpPr>
      <xdr:spPr>
        <a:xfrm>
          <a:off x="1926167" y="1767416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7</xdr:col>
      <xdr:colOff>127000</xdr:colOff>
      <xdr:row>14</xdr:row>
      <xdr:rowOff>1</xdr:rowOff>
    </xdr:from>
    <xdr:to>
      <xdr:col>7</xdr:col>
      <xdr:colOff>271552</xdr:colOff>
      <xdr:row>14</xdr:row>
      <xdr:rowOff>144600</xdr:rowOff>
    </xdr:to>
    <xdr:grpSp>
      <xdr:nvGrpSpPr>
        <xdr:cNvPr id="195" name="Group 13">
          <a:extLst>
            <a:ext uri="{FF2B5EF4-FFF2-40B4-BE49-F238E27FC236}">
              <a16:creationId xmlns:a16="http://schemas.microsoft.com/office/drawing/2014/main" id="{BDFA3B0E-32BC-4B93-9E05-301D3233CC98}"/>
            </a:ext>
          </a:extLst>
        </xdr:cNvPr>
        <xdr:cNvGrpSpPr/>
      </xdr:nvGrpSpPr>
      <xdr:grpSpPr>
        <a:xfrm>
          <a:off x="2338917" y="2106084"/>
          <a:ext cx="144552" cy="144599"/>
          <a:chOff x="9937028" y="802652"/>
          <a:chExt cx="83991" cy="77961"/>
        </a:xfrm>
      </xdr:grpSpPr>
      <xdr:sp macro="" textlink="">
        <xdr:nvSpPr>
          <xdr:cNvPr id="196" name="Oval 1">
            <a:extLst>
              <a:ext uri="{FF2B5EF4-FFF2-40B4-BE49-F238E27FC236}">
                <a16:creationId xmlns:a16="http://schemas.microsoft.com/office/drawing/2014/main" id="{0C802B12-E86D-7CDF-8F3A-DF9666A0EE5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7" name="Straight Connector 3">
            <a:extLst>
              <a:ext uri="{FF2B5EF4-FFF2-40B4-BE49-F238E27FC236}">
                <a16:creationId xmlns:a16="http://schemas.microsoft.com/office/drawing/2014/main" id="{914C01E0-8473-1015-A245-A45BB9D6715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7">
            <a:extLst>
              <a:ext uri="{FF2B5EF4-FFF2-40B4-BE49-F238E27FC236}">
                <a16:creationId xmlns:a16="http://schemas.microsoft.com/office/drawing/2014/main" id="{6C6F6DE5-16B2-747B-5BCC-3C2F56B6A4B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95250</xdr:colOff>
      <xdr:row>17</xdr:row>
      <xdr:rowOff>74084</xdr:rowOff>
    </xdr:from>
    <xdr:to>
      <xdr:col>7</xdr:col>
      <xdr:colOff>179072</xdr:colOff>
      <xdr:row>18</xdr:row>
      <xdr:rowOff>4555</xdr:rowOff>
    </xdr:to>
    <xdr:grpSp>
      <xdr:nvGrpSpPr>
        <xdr:cNvPr id="218" name="Group 73">
          <a:extLst>
            <a:ext uri="{FF2B5EF4-FFF2-40B4-BE49-F238E27FC236}">
              <a16:creationId xmlns:a16="http://schemas.microsoft.com/office/drawing/2014/main" id="{60C0BACF-8A29-401A-8E00-84FE4895F45D}"/>
            </a:ext>
          </a:extLst>
        </xdr:cNvPr>
        <xdr:cNvGrpSpPr/>
      </xdr:nvGrpSpPr>
      <xdr:grpSpPr>
        <a:xfrm rot="21429191">
          <a:off x="2307167" y="2624667"/>
          <a:ext cx="83822" cy="78638"/>
          <a:chOff x="12175074" y="2285812"/>
          <a:chExt cx="107252" cy="65186"/>
        </a:xfrm>
      </xdr:grpSpPr>
      <xdr:cxnSp macro="">
        <xdr:nvCxnSpPr>
          <xdr:cNvPr id="219" name="Straight Connector 74">
            <a:extLst>
              <a:ext uri="{FF2B5EF4-FFF2-40B4-BE49-F238E27FC236}">
                <a16:creationId xmlns:a16="http://schemas.microsoft.com/office/drawing/2014/main" id="{2AFE71AD-F6ED-5A86-E408-48BBF8713A6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75">
            <a:extLst>
              <a:ext uri="{FF2B5EF4-FFF2-40B4-BE49-F238E27FC236}">
                <a16:creationId xmlns:a16="http://schemas.microsoft.com/office/drawing/2014/main" id="{D339F945-109E-A145-362B-6C0C05218BA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76">
            <a:extLst>
              <a:ext uri="{FF2B5EF4-FFF2-40B4-BE49-F238E27FC236}">
                <a16:creationId xmlns:a16="http://schemas.microsoft.com/office/drawing/2014/main" id="{9EF80087-13D7-4787-1E32-5D1AFEFE24AE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158750</xdr:colOff>
      <xdr:row>12</xdr:row>
      <xdr:rowOff>74083</xdr:rowOff>
    </xdr:from>
    <xdr:to>
      <xdr:col>7</xdr:col>
      <xdr:colOff>158750</xdr:colOff>
      <xdr:row>14</xdr:row>
      <xdr:rowOff>847</xdr:rowOff>
    </xdr:to>
    <xdr:cxnSp macro="">
      <xdr:nvCxnSpPr>
        <xdr:cNvPr id="223" name="Straight Arrow Connector 166">
          <a:extLst>
            <a:ext uri="{FF2B5EF4-FFF2-40B4-BE49-F238E27FC236}">
              <a16:creationId xmlns:a16="http://schemas.microsoft.com/office/drawing/2014/main" id="{7B76B95A-30A9-4F74-B569-897AED5A33AC}"/>
            </a:ext>
          </a:extLst>
        </xdr:cNvPr>
        <xdr:cNvCxnSpPr>
          <a:cxnSpLocks/>
        </xdr:cNvCxnSpPr>
      </xdr:nvCxnSpPr>
      <xdr:spPr>
        <a:xfrm flipV="1">
          <a:off x="2370667" y="1873250"/>
          <a:ext cx="0" cy="2336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59473</xdr:colOff>
      <xdr:row>20</xdr:row>
      <xdr:rowOff>67529</xdr:rowOff>
    </xdr:from>
    <xdr:to>
      <xdr:col>10</xdr:col>
      <xdr:colOff>121998</xdr:colOff>
      <xdr:row>21</xdr:row>
      <xdr:rowOff>58497</xdr:rowOff>
    </xdr:to>
    <xdr:grpSp>
      <xdr:nvGrpSpPr>
        <xdr:cNvPr id="232" name="Grup 244">
          <a:extLst>
            <a:ext uri="{FF2B5EF4-FFF2-40B4-BE49-F238E27FC236}">
              <a16:creationId xmlns:a16="http://schemas.microsoft.com/office/drawing/2014/main" id="{88DCB752-1FD4-48C4-8B4D-0040D26A467A}"/>
            </a:ext>
          </a:extLst>
        </xdr:cNvPr>
        <xdr:cNvGrpSpPr/>
      </xdr:nvGrpSpPr>
      <xdr:grpSpPr>
        <a:xfrm rot="5565622">
          <a:off x="3376085" y="3100917"/>
          <a:ext cx="139135" cy="62525"/>
          <a:chOff x="13302191" y="2320613"/>
          <a:chExt cx="139135" cy="57233"/>
        </a:xfrm>
      </xdr:grpSpPr>
      <xdr:cxnSp macro="">
        <xdr:nvCxnSpPr>
          <xdr:cNvPr id="235" name="Straight Connector 81">
            <a:extLst>
              <a:ext uri="{FF2B5EF4-FFF2-40B4-BE49-F238E27FC236}">
                <a16:creationId xmlns:a16="http://schemas.microsoft.com/office/drawing/2014/main" id="{166502EB-0488-F68F-0800-FF3B76C0FD0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2">
            <a:extLst>
              <a:ext uri="{FF2B5EF4-FFF2-40B4-BE49-F238E27FC236}">
                <a16:creationId xmlns:a16="http://schemas.microsoft.com/office/drawing/2014/main" id="{E03CE384-3222-E6E2-671B-3203DA16DE4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83">
            <a:extLst>
              <a:ext uri="{FF2B5EF4-FFF2-40B4-BE49-F238E27FC236}">
                <a16:creationId xmlns:a16="http://schemas.microsoft.com/office/drawing/2014/main" id="{4C99CB2E-E4B5-F71A-05FF-A142D967978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84">
            <a:extLst>
              <a:ext uri="{FF2B5EF4-FFF2-40B4-BE49-F238E27FC236}">
                <a16:creationId xmlns:a16="http://schemas.microsoft.com/office/drawing/2014/main" id="{F95B6195-2705-46F7-5975-C7A9BA29CD7F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31955</xdr:colOff>
      <xdr:row>20</xdr:row>
      <xdr:rowOff>50596</xdr:rowOff>
    </xdr:from>
    <xdr:to>
      <xdr:col>15</xdr:col>
      <xdr:colOff>94480</xdr:colOff>
      <xdr:row>21</xdr:row>
      <xdr:rowOff>41564</xdr:rowOff>
    </xdr:to>
    <xdr:grpSp>
      <xdr:nvGrpSpPr>
        <xdr:cNvPr id="247" name="Grup 244">
          <a:extLst>
            <a:ext uri="{FF2B5EF4-FFF2-40B4-BE49-F238E27FC236}">
              <a16:creationId xmlns:a16="http://schemas.microsoft.com/office/drawing/2014/main" id="{23C83C7E-B397-41D8-AC82-644B9AD0A225}"/>
            </a:ext>
          </a:extLst>
        </xdr:cNvPr>
        <xdr:cNvGrpSpPr/>
      </xdr:nvGrpSpPr>
      <xdr:grpSpPr>
        <a:xfrm rot="3964803">
          <a:off x="5253567" y="3083984"/>
          <a:ext cx="139135" cy="62525"/>
          <a:chOff x="13302191" y="2320613"/>
          <a:chExt cx="139135" cy="57233"/>
        </a:xfrm>
      </xdr:grpSpPr>
      <xdr:cxnSp macro="">
        <xdr:nvCxnSpPr>
          <xdr:cNvPr id="248" name="Straight Connector 81">
            <a:extLst>
              <a:ext uri="{FF2B5EF4-FFF2-40B4-BE49-F238E27FC236}">
                <a16:creationId xmlns:a16="http://schemas.microsoft.com/office/drawing/2014/main" id="{AB19D321-E023-8FE3-EA09-AE48508C90D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82">
            <a:extLst>
              <a:ext uri="{FF2B5EF4-FFF2-40B4-BE49-F238E27FC236}">
                <a16:creationId xmlns:a16="http://schemas.microsoft.com/office/drawing/2014/main" id="{1B616A8E-FBE0-8B5A-E489-CEDCF889B49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83">
            <a:extLst>
              <a:ext uri="{FF2B5EF4-FFF2-40B4-BE49-F238E27FC236}">
                <a16:creationId xmlns:a16="http://schemas.microsoft.com/office/drawing/2014/main" id="{9D0E6334-7DBE-A0A8-5E86-BAACC1AFA62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84">
            <a:extLst>
              <a:ext uri="{FF2B5EF4-FFF2-40B4-BE49-F238E27FC236}">
                <a16:creationId xmlns:a16="http://schemas.microsoft.com/office/drawing/2014/main" id="{A8D8046A-5C3D-3C17-E92B-977BD978C2C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165946</xdr:colOff>
      <xdr:row>12</xdr:row>
      <xdr:rowOff>127000</xdr:rowOff>
    </xdr:from>
    <xdr:to>
      <xdr:col>7</xdr:col>
      <xdr:colOff>127000</xdr:colOff>
      <xdr:row>14</xdr:row>
      <xdr:rowOff>72301</xdr:rowOff>
    </xdr:to>
    <xdr:cxnSp macro="">
      <xdr:nvCxnSpPr>
        <xdr:cNvPr id="252" name="Straight Connector 164">
          <a:extLst>
            <a:ext uri="{FF2B5EF4-FFF2-40B4-BE49-F238E27FC236}">
              <a16:creationId xmlns:a16="http://schemas.microsoft.com/office/drawing/2014/main" id="{EDF9DA55-8A06-4C5A-834A-9798A4D9788C}"/>
            </a:ext>
          </a:extLst>
        </xdr:cNvPr>
        <xdr:cNvCxnSpPr>
          <a:cxnSpLocks/>
          <a:stCxn id="196" idx="2"/>
        </xdr:cNvCxnSpPr>
      </xdr:nvCxnSpPr>
      <xdr:spPr bwMode="auto">
        <a:xfrm flipH="1" flipV="1">
          <a:off x="1996863" y="1926167"/>
          <a:ext cx="342054" cy="25221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296332</xdr:colOff>
      <xdr:row>13</xdr:row>
      <xdr:rowOff>31750</xdr:rowOff>
    </xdr:from>
    <xdr:to>
      <xdr:col>6</xdr:col>
      <xdr:colOff>358857</xdr:colOff>
      <xdr:row>14</xdr:row>
      <xdr:rowOff>22719</xdr:rowOff>
    </xdr:to>
    <xdr:grpSp>
      <xdr:nvGrpSpPr>
        <xdr:cNvPr id="255" name="Grup 244">
          <a:extLst>
            <a:ext uri="{FF2B5EF4-FFF2-40B4-BE49-F238E27FC236}">
              <a16:creationId xmlns:a16="http://schemas.microsoft.com/office/drawing/2014/main" id="{1A10EFBC-FDE5-4635-9298-48AFECCDA3F1}"/>
            </a:ext>
          </a:extLst>
        </xdr:cNvPr>
        <xdr:cNvGrpSpPr/>
      </xdr:nvGrpSpPr>
      <xdr:grpSpPr>
        <a:xfrm rot="6377349">
          <a:off x="2088944" y="2027972"/>
          <a:ext cx="139135" cy="62525"/>
          <a:chOff x="13302191" y="2320613"/>
          <a:chExt cx="139135" cy="57233"/>
        </a:xfrm>
      </xdr:grpSpPr>
      <xdr:cxnSp macro="">
        <xdr:nvCxnSpPr>
          <xdr:cNvPr id="256" name="Straight Connector 81">
            <a:extLst>
              <a:ext uri="{FF2B5EF4-FFF2-40B4-BE49-F238E27FC236}">
                <a16:creationId xmlns:a16="http://schemas.microsoft.com/office/drawing/2014/main" id="{59CD33B9-5216-F9EC-BDC3-D8746F796AF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82">
            <a:extLst>
              <a:ext uri="{FF2B5EF4-FFF2-40B4-BE49-F238E27FC236}">
                <a16:creationId xmlns:a16="http://schemas.microsoft.com/office/drawing/2014/main" id="{804975E8-AF88-ACBA-C16B-B34654533AF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83">
            <a:extLst>
              <a:ext uri="{FF2B5EF4-FFF2-40B4-BE49-F238E27FC236}">
                <a16:creationId xmlns:a16="http://schemas.microsoft.com/office/drawing/2014/main" id="{C52D3836-3F40-4E88-0F24-4D2F43BFBCB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84">
            <a:extLst>
              <a:ext uri="{FF2B5EF4-FFF2-40B4-BE49-F238E27FC236}">
                <a16:creationId xmlns:a16="http://schemas.microsoft.com/office/drawing/2014/main" id="{50646E37-8BF6-4109-C0E2-50B704D8EA4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232833</xdr:colOff>
      <xdr:row>22</xdr:row>
      <xdr:rowOff>127001</xdr:rowOff>
    </xdr:from>
    <xdr:to>
      <xdr:col>14</xdr:col>
      <xdr:colOff>118108</xdr:colOff>
      <xdr:row>28</xdr:row>
      <xdr:rowOff>1</xdr:rowOff>
    </xdr:to>
    <xdr:sp macro="" textlink="">
      <xdr:nvSpPr>
        <xdr:cNvPr id="260" name="TextBox 157">
          <a:extLst>
            <a:ext uri="{FF2B5EF4-FFF2-40B4-BE49-F238E27FC236}">
              <a16:creationId xmlns:a16="http://schemas.microsoft.com/office/drawing/2014/main" id="{79AC6B1C-54BD-4CD9-9B55-22360CD96AF2}"/>
            </a:ext>
          </a:extLst>
        </xdr:cNvPr>
        <xdr:cNvSpPr txBox="1"/>
      </xdr:nvSpPr>
      <xdr:spPr>
        <a:xfrm>
          <a:off x="3968750" y="3418418"/>
          <a:ext cx="1028275" cy="7620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K2-603/67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DC-C1-IH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P12-C2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306917</xdr:colOff>
      <xdr:row>23</xdr:row>
      <xdr:rowOff>84667</xdr:rowOff>
    </xdr:from>
    <xdr:to>
      <xdr:col>19</xdr:col>
      <xdr:colOff>192192</xdr:colOff>
      <xdr:row>28</xdr:row>
      <xdr:rowOff>105833</xdr:rowOff>
    </xdr:to>
    <xdr:sp macro="" textlink="">
      <xdr:nvSpPr>
        <xdr:cNvPr id="261" name="TextBox 157">
          <a:extLst>
            <a:ext uri="{FF2B5EF4-FFF2-40B4-BE49-F238E27FC236}">
              <a16:creationId xmlns:a16="http://schemas.microsoft.com/office/drawing/2014/main" id="{92CB6911-2540-461C-AF8B-FE3B56CB2EAF}"/>
            </a:ext>
          </a:extLst>
        </xdr:cNvPr>
        <xdr:cNvSpPr txBox="1"/>
      </xdr:nvSpPr>
      <xdr:spPr>
        <a:xfrm>
          <a:off x="5947834" y="3524250"/>
          <a:ext cx="1028275" cy="7620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K2-603/67A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DC-C1-IH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CG312-A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50KVA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105833</xdr:colOff>
      <xdr:row>6</xdr:row>
      <xdr:rowOff>105834</xdr:rowOff>
    </xdr:from>
    <xdr:to>
      <xdr:col>6</xdr:col>
      <xdr:colOff>229446</xdr:colOff>
      <xdr:row>9</xdr:row>
      <xdr:rowOff>138855</xdr:rowOff>
    </xdr:to>
    <xdr:sp macro="" textlink="">
      <xdr:nvSpPr>
        <xdr:cNvPr id="262" name="TextBox 157">
          <a:extLst>
            <a:ext uri="{FF2B5EF4-FFF2-40B4-BE49-F238E27FC236}">
              <a16:creationId xmlns:a16="http://schemas.microsoft.com/office/drawing/2014/main" id="{BEBBFD1E-5E08-41F5-BEDC-E32AABB922A1}"/>
            </a:ext>
          </a:extLst>
        </xdr:cNvPr>
        <xdr:cNvSpPr txBox="1"/>
      </xdr:nvSpPr>
      <xdr:spPr>
        <a:xfrm>
          <a:off x="793750" y="1016001"/>
          <a:ext cx="1266613" cy="477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33KVA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4X16MM = 45 M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328083</xdr:colOff>
      <xdr:row>19</xdr:row>
      <xdr:rowOff>10582</xdr:rowOff>
    </xdr:from>
    <xdr:to>
      <xdr:col>10</xdr:col>
      <xdr:colOff>347493</xdr:colOff>
      <xdr:row>20</xdr:row>
      <xdr:rowOff>46035</xdr:rowOff>
    </xdr:to>
    <xdr:sp macro="" textlink="">
      <xdr:nvSpPr>
        <xdr:cNvPr id="263" name="TextBox 160">
          <a:extLst>
            <a:ext uri="{FF2B5EF4-FFF2-40B4-BE49-F238E27FC236}">
              <a16:creationId xmlns:a16="http://schemas.microsoft.com/office/drawing/2014/main" id="{2098A4E8-9770-489A-ACB3-240207D0C91B}"/>
            </a:ext>
          </a:extLst>
        </xdr:cNvPr>
        <xdr:cNvSpPr txBox="1"/>
      </xdr:nvSpPr>
      <xdr:spPr>
        <a:xfrm>
          <a:off x="2921000" y="2857499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</a:t>
          </a:r>
          <a:r>
            <a:rPr lang="en-ID" sz="800" baseline="0">
              <a:solidFill>
                <a:srgbClr val="FF0000"/>
              </a:solidFill>
              <a:effectLst/>
            </a:rPr>
            <a:t> MTR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13144</xdr:colOff>
      <xdr:row>15</xdr:row>
      <xdr:rowOff>71522</xdr:rowOff>
    </xdr:from>
    <xdr:to>
      <xdr:col>8</xdr:col>
      <xdr:colOff>196763</xdr:colOff>
      <xdr:row>20</xdr:row>
      <xdr:rowOff>112099</xdr:rowOff>
    </xdr:to>
    <xdr:sp macro="" textlink="">
      <xdr:nvSpPr>
        <xdr:cNvPr id="264" name="TextBox 160">
          <a:extLst>
            <a:ext uri="{FF2B5EF4-FFF2-40B4-BE49-F238E27FC236}">
              <a16:creationId xmlns:a16="http://schemas.microsoft.com/office/drawing/2014/main" id="{6C47A115-C41C-4D67-BAC3-DBDB46FB98AC}"/>
            </a:ext>
          </a:extLst>
        </xdr:cNvPr>
        <xdr:cNvSpPr txBox="1"/>
      </xdr:nvSpPr>
      <xdr:spPr>
        <a:xfrm rot="5589418">
          <a:off x="2307166" y="2624667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50 MTR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27</xdr:col>
      <xdr:colOff>141862</xdr:colOff>
      <xdr:row>51</xdr:row>
      <xdr:rowOff>20266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4A1BA0-EF43-152A-71AC-AA192BD28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972766"/>
          <a:ext cx="14429362" cy="731601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6</xdr:row>
      <xdr:rowOff>-1</xdr:rowOff>
    </xdr:from>
    <xdr:to>
      <xdr:col>26</xdr:col>
      <xdr:colOff>310116</xdr:colOff>
      <xdr:row>58</xdr:row>
      <xdr:rowOff>-1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27D9C9-63AD-2D06-A4DA-F5130AF8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908197"/>
          <a:ext cx="14065988" cy="806302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1133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1134</v>
      </c>
      <c r="G7" s="524" t="s">
        <v>41</v>
      </c>
      <c r="H7" s="520" t="s">
        <v>1042</v>
      </c>
      <c r="I7" s="520" t="s">
        <v>1136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170</v>
      </c>
      <c r="G14" s="41">
        <f ca="1">IF(ISERROR(OFFSET('HARGA SATUAN'!$I$6,MATCH(C14,'HARGA SATUAN'!$C$7:$C$1495,0),0)),"",OFFSET('HARGA SATUAN'!$I$6,MATCH(C14,'HARGA SATUAN'!$C$7:$C$1495,0),0))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4 x 16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45</v>
      </c>
      <c r="G15" s="41">
        <f ca="1">IF(ISERROR(OFFSET('HARGA SATUAN'!$I$6,MATCH(C15,'HARGA SATUAN'!$C$7:$C$1495,0),0)),"",OFFSET('HARGA SATUAN'!$I$6,MATCH(C15,'HARGA SATUAN'!$C$7:$C$1495,0),0))</f>
        <v>13500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Modem 3G/4G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Unit</v>
      </c>
      <c r="F16" s="138">
        <f t="shared" ca="1" si="2"/>
        <v>1</v>
      </c>
      <c r="G16" s="41">
        <f ca="1">IF(ISERROR(OFFSET('HARGA SATUAN'!$I$6,MATCH(C16,'HARGA SATUAN'!$C$7:$C$1495,0),0)),"",OFFSET('HARGA SATUAN'!$I$6,MATCH(C16,'HARGA SATUAN'!$C$7:$C$1495,0),0))</f>
        <v>1113900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SUMIFS(RAB!$F$14:$F$76,RAB!$C$14:$C$76,C714)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SUMIFS(RAB!$F$14:$F$76,RAB!$C$14:$C$76,C715)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SUMIFS(RAB!$F$14:$F$76,RAB!$C$14:$C$76,C716)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SUMIFS(RAB!$F$14:$F$76,RAB!$C$14:$C$76,C717)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SUMIFS(RAB!$F$14:$F$76,RAB!$C$14:$C$76,C718)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SUMIFS(RAB!$F$14:$F$76,RAB!$C$14:$C$76,C719)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SUMIFS(RAB!$F$14:$F$76,RAB!$C$14:$C$76,C720)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SUMIFS(RAB!$F$14:$F$76,RAB!$C$14:$C$76,C721)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SUMIFS(RAB!$F$14:$F$76,RAB!$C$14:$C$76,C722)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SUMIFS(RAB!$F$14:$F$76,RAB!$C$14:$C$76,C723)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SUMIFS(RAB!$F$14:$F$76,RAB!$C$14:$C$76,C724)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SUMIFS(RAB!$F$14:$F$76,RAB!$C$14:$C$76,C725)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SUMIFS(RAB!$F$14:$F$76,RAB!$C$14:$C$76,C726)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SUMIFS(RAB!$F$14:$F$76,RAB!$C$14:$C$76,C727)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SUMIFS(RAB!$F$14:$F$76,RAB!$C$14:$C$76,C728)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SUMIFS(RAB!$F$14:$F$76,RAB!$C$14:$C$76,C729)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SUMIFS(RAB!$F$14:$F$76,RAB!$C$14:$C$76,C730)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SUMIFS(RAB!$F$14:$F$76,RAB!$C$14:$C$76,C731)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SUMIFS(RAB!$F$14:$F$76,RAB!$C$14:$C$76,C732)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SUMIFS(RAB!$F$14:$F$76,RAB!$C$14:$C$76,C733)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SUMIFS(RAB!$F$14:$F$76,RAB!$C$14:$C$76,C734)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SUMIFS(RAB!$F$14:$F$76,RAB!$C$14:$C$76,C735)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SUMIFS(RAB!$F$14:$F$76,RAB!$C$14:$C$76,C736)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SUMIFS(RAB!$F$14:$F$76,RAB!$C$14:$C$76,C737)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SUMIFS(RAB!$F$14:$F$76,RAB!$C$14:$C$76,C738)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SUMIFS(RAB!$F$14:$F$76,RAB!$C$14:$C$76,C739)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SUMIFS(RAB!$F$14:$F$76,RAB!$C$14:$C$76,C740)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SUMIFS(RAB!$F$14:$F$76,RAB!$C$14:$C$76,C741)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SUMIFS(RAB!$F$14:$F$76,RAB!$C$14:$C$76,C742)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SUMIFS(RAB!$F$14:$F$76,RAB!$C$14:$C$76,C743)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SUMIFS(RAB!$F$14:$F$76,RAB!$C$14:$C$76,C744)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SUMIFS(RAB!$F$14:$F$76,RAB!$C$14:$C$76,C745)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SUMIFS(RAB!$F$14:$F$76,RAB!$C$14:$C$76,C746)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SUMIFS(RAB!$F$14:$F$76,RAB!$C$14:$C$76,C747)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SUMIFS(RAB!$F$14:$F$76,RAB!$C$14:$C$76,C748)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SUMIFS(RAB!$F$14:$F$76,RAB!$C$14:$C$76,C749)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SUMIFS(RAB!$F$14:$F$76,RAB!$C$14:$C$76,C750)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SUMIFS(RAB!$F$14:$F$76,RAB!$C$14:$C$76,C751)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SUMIFS(RAB!$F$14:$F$76,RAB!$C$14:$C$76,C752)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SUMIFS(RAB!$F$14:$F$76,RAB!$C$14:$C$76,C753)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SUMIFS(RAB!$F$14:$F$76,RAB!$C$14:$C$76,C754)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SUMIFS(RAB!$F$14:$F$76,RAB!$C$14:$C$76,C755)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SUMIFS(RAB!$F$14:$F$76,RAB!$C$14:$C$76,C756)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SUMIFS(RAB!$F$14:$F$76,RAB!$C$14:$C$76,C757)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SUMIFS(RAB!$F$14:$F$76,RAB!$C$14:$C$76,C758)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SUMIFS(RAB!$F$14:$F$76,RAB!$C$14:$C$76,C759)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SUMIFS(RAB!$F$14:$F$76,RAB!$C$14:$C$76,C760)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SUMIFS(RAB!$F$14:$F$76,RAB!$C$14:$C$76,C761)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SUMIFS(RAB!$F$14:$F$76,RAB!$C$14:$C$76,C762)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SUMIFS(RAB!$F$14:$F$76,RAB!$C$14:$C$76,C763)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SUMIFS(RAB!$F$14:$F$76,RAB!$C$14:$C$76,C764)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SUMIFS(RAB!$F$14:$F$76,RAB!$C$14:$C$76,C765)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SUMIFS(RAB!$F$14:$F$76,RAB!$C$14:$C$76,C766)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SUMIFS(RAB!$F$14:$F$76,RAB!$C$14:$C$76,C767)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SUMIFS(RAB!$F$14:$F$76,RAB!$C$14:$C$76,C768)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SUMIFS(RAB!$F$14:$F$76,RAB!$C$14:$C$76,C769)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SUMIFS(RAB!$F$14:$F$76,RAB!$C$14:$C$76,C770)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SUMIFS(RAB!$F$14:$F$76,RAB!$C$14:$C$76,C771)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SUMIFS(RAB!$F$14:$F$76,RAB!$C$14:$C$76,C772)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SUMIFS(RAB!$F$14:$F$76,RAB!$C$14:$C$76,C773)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SUMIFS(RAB!$F$14:$F$76,RAB!$C$14:$C$76,C774)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SUMIFS(RAB!$F$14:$F$76,RAB!$C$14:$C$76,C775)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SUMIFS(RAB!$F$14:$F$76,RAB!$C$14:$C$76,C776)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SUMIFS(RAB!$F$14:$F$76,RAB!$C$14:$C$76,C777)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SUMIFS(RAB!$F$14:$F$76,RAB!$C$14:$C$76,C778)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SUMIFS(RAB!$F$14:$F$76,RAB!$C$14:$C$76,C779)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SUMIFS(RAB!$F$14:$F$76,RAB!$C$14:$C$76,C780)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SUMIFS(RAB!$F$14:$F$76,RAB!$C$14:$C$76,C781)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SUMIFS(RAB!$F$14:$F$76,RAB!$C$14:$C$76,C782)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SUMIFS(RAB!$F$14:$F$76,RAB!$C$14:$C$76,C783)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SUMIFS(RAB!$F$14:$F$76,RAB!$C$14:$C$76,C784)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SUMIFS(RAB!$F$14:$F$76,RAB!$C$14:$C$76,C785)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SUMIFS(RAB!$F$14:$F$76,RAB!$C$14:$C$76,C786)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SUMIFS(RAB!$F$14:$F$76,RAB!$C$14:$C$76,C787)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SUMIFS(RAB!$F$14:$F$76,RAB!$C$14:$C$76,C788)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SUMIFS(RAB!$F$14:$F$76,RAB!$C$14:$C$76,C789)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SUMIFS(RAB!$F$14:$F$76,RAB!$C$14:$C$76,C790)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SUMIFS(RAB!$F$14:$F$76,RAB!$C$14:$C$76,C791)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SUMIFS(RAB!$F$14:$F$76,RAB!$C$14:$C$76,C792)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SUMIFS(RAB!$F$14:$F$76,RAB!$C$14:$C$76,C793)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SUMIFS(RAB!$F$14:$F$76,RAB!$C$14:$C$76,C794)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SUMIFS(RAB!$F$14:$F$76,RAB!$C$14:$C$76,C795)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SUMIFS(RAB!$F$14:$F$76,RAB!$C$14:$C$76,C796)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SUMIFS(RAB!$F$14:$F$76,RAB!$C$14:$C$76,C797)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SUMIFS(RAB!$F$14:$F$76,RAB!$C$14:$C$76,C798)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SUMIFS(RAB!$F$14:$F$76,RAB!$C$14:$C$76,C799)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SUMIFS(RAB!$F$14:$F$76,RAB!$C$14:$C$76,C800)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SUMIFS(RAB!$F$14:$F$76,RAB!$C$14:$C$76,C801)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SUMIFS(RAB!$F$14:$F$76,RAB!$C$14:$C$76,C802)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SUMIFS(RAB!$F$14:$F$76,RAB!$C$14:$C$76,C803)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SUMIFS(RAB!$F$14:$F$76,RAB!$C$14:$C$76,C804)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SUMIFS(RAB!$F$14:$F$76,RAB!$C$14:$C$76,C805)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SUMIFS(RAB!$F$14:$F$76,RAB!$C$14:$C$76,C806)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SUMIFS(RAB!$F$14:$F$76,RAB!$C$14:$C$76,C807)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SUMIFS(RAB!$F$14:$F$76,RAB!$C$14:$C$76,C808)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SUMIFS(RAB!$F$14:$F$76,RAB!$C$14:$C$76,C809)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SUMIFS(RAB!$F$14:$F$76,RAB!$C$14:$C$76,C810)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SUMIFS(RAB!$F$14:$F$76,RAB!$C$14:$C$76,C811)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SUMIFS(RAB!$F$14:$F$76,RAB!$C$14:$C$76,C812)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SUMIFS(RAB!$F$14:$F$76,RAB!$C$14:$C$76,C813)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SUMIFS(RAB!$F$14:$F$76,RAB!$C$14:$C$76,C814)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SUMIFS(RAB!$F$14:$F$76,RAB!$C$14:$C$76,C815)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SUMIFS(RAB!$F$14:$F$76,RAB!$C$14:$C$76,C816)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SUMIFS(RAB!$F$14:$F$76,RAB!$C$14:$C$76,C817)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SUMIFS(RAB!$F$14:$F$76,RAB!$C$14:$C$76,C818)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SUMIFS(RAB!$F$14:$F$76,RAB!$C$14:$C$76,C819)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SUMIFS(RAB!$F$14:$F$76,RAB!$C$14:$C$76,C820)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SUMIFS(RAB!$F$14:$F$76,RAB!$C$14:$C$76,C821)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SUMIFS(RAB!$F$14:$F$76,RAB!$C$14:$C$76,C822)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SUMIFS(RAB!$F$14:$F$76,RAB!$C$14:$C$76,C823)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SUMIFS(RAB!$F$14:$F$76,RAB!$C$14:$C$76,C824)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SUMIFS(RAB!$F$14:$F$76,RAB!$C$14:$C$76,C825)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SUMIFS(RAB!$F$14:$F$76,RAB!$C$14:$C$76,C826)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SUMIFS(RAB!$F$14:$F$76,RAB!$C$14:$C$76,C827)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SUMIFS(RAB!$F$14:$F$76,RAB!$C$14:$C$76,C828)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SUMIFS(RAB!$F$14:$F$76,RAB!$C$14:$C$76,C829)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SUMIFS(RAB!$F$14:$F$76,RAB!$C$14:$C$76,C830)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SUMIFS(RAB!$F$14:$F$76,RAB!$C$14:$C$76,C831)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SUMIFS(RAB!$F$14:$F$76,RAB!$C$14:$C$76,C832)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SUMIFS(RAB!$F$14:$F$76,RAB!$C$14:$C$76,C833)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SUMIFS(RAB!$F$14:$F$76,RAB!$C$14:$C$76,C834)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SUMIFS(RAB!$F$14:$F$76,RAB!$C$14:$C$76,C835)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SUMIFS(RAB!$F$14:$F$76,RAB!$C$14:$C$76,C836)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SUMIFS(RAB!$F$14:$F$76,RAB!$C$14:$C$76,C837)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SUMIFS(RAB!$F$14:$F$76,RAB!$C$14:$C$76,C838)</f>
        <v>170</v>
      </c>
      <c r="E838" s="26">
        <f t="shared" ca="1" si="34"/>
        <v>1</v>
      </c>
      <c r="F838" s="26">
        <f ca="1">IF(D838=0,0,SUM($E$713:E838))</f>
        <v>3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SUMIFS(RAB!$F$14:$F$76,RAB!$C$14:$C$76,C839)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SUMIFS(RAB!$F$14:$F$76,RAB!$C$14:$C$76,C840)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SUMIFS(RAB!$F$14:$F$76,RAB!$C$14:$C$76,C841)</f>
        <v>45</v>
      </c>
      <c r="E841" s="26">
        <f t="shared" ca="1" si="34"/>
        <v>1</v>
      </c>
      <c r="F841" s="26">
        <f ca="1">IF(D841=0,0,SUM($E$713:E841))</f>
        <v>4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SUMIFS(RAB!$F$14:$F$76,RAB!$C$14:$C$76,C842)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SUMIFS(RAB!$F$14:$F$76,RAB!$C$14:$C$76,C843)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SUMIFS(RAB!$F$14:$F$76,RAB!$C$14:$C$76,C844)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SUMIFS(RAB!$F$14:$F$76,RAB!$C$14:$C$76,C845)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SUMIFS(RAB!$F$14:$F$76,RAB!$C$14:$C$76,C846)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SUMIFS(RAB!$F$14:$F$76,RAB!$C$14:$C$76,C847)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SUMIFS(RAB!$F$14:$F$76,RAB!$C$14:$C$76,C848)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SUMIFS(RAB!$F$14:$F$76,RAB!$C$14:$C$76,C849)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SUMIFS(RAB!$F$14:$F$76,RAB!$C$14:$C$76,C850)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SUMIFS(RAB!$F$14:$F$76,RAB!$C$14:$C$76,C851)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SUMIFS(RAB!$F$14:$F$76,RAB!$C$14:$C$76,C852)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SUMIFS(RAB!$F$14:$F$76,RAB!$C$14:$C$76,C853)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SUMIFS(RAB!$F$14:$F$76,RAB!$C$14:$C$76,C854)</f>
        <v>1</v>
      </c>
      <c r="E854" s="26">
        <f t="shared" ca="1" si="35"/>
        <v>1</v>
      </c>
      <c r="F854" s="26">
        <f ca="1">IF(D854=0,0,SUM($E$713:E854))</f>
        <v>5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SUMIFS(RAB!$F$14:$F$76,RAB!$C$14:$C$76,C855)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SUMIFS(RAB!$F$14:$F$76,RAB!$C$14:$C$76,C856)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SUMIFS(RAB!$F$14:$F$76,RAB!$C$14:$C$76,C857)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SUMIFS(RAB!$F$14:$F$76,RAB!$C$14:$C$76,C858)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SUMIFS(RAB!$F$14:$F$76,RAB!$C$14:$C$76,C859)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SUMIFS(RAB!$F$14:$F$76,RAB!$C$14:$C$76,C860)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SUMIFS(RAB!$F$14:$F$76,RAB!$C$14:$C$76,C861)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SUMIFS(RAB!$F$14:$F$76,RAB!$C$14:$C$76,C862)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SUMIFS(RAB!$F$14:$F$76,RAB!$C$14:$C$76,C863)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SUMIFS(RAB!$F$14:$F$76,RAB!$C$14:$C$76,C864)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SUMIFS(RAB!$F$14:$F$76,RAB!$C$14:$C$76,C865)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SUMIFS(RAB!$F$14:$F$76,RAB!$C$14:$C$76,C866)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SUMIFS(RAB!$F$14:$F$76,RAB!$C$14:$C$76,C867)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SUMIFS(RAB!$F$14:$F$76,RAB!$C$14:$C$76,C868)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SUMIFS(RAB!$F$14:$F$76,RAB!$C$14:$C$76,C869)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SUMIFS(RAB!$F$14:$F$76,RAB!$C$14:$C$76,C870)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SUMIFS(RAB!$F$14:$F$76,RAB!$C$14:$C$76,C871)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SUMIFS(RAB!$F$14:$F$76,RAB!$C$14:$C$76,C872)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SUMIFS(RAB!$F$14:$F$76,RAB!$C$14:$C$76,C873)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SUMIFS(RAB!$F$14:$F$76,RAB!$C$14:$C$76,C874)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SUMIFS(RAB!$F$14:$F$76,RAB!$C$14:$C$76,C875)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SUMIFS(RAB!$F$14:$F$76,RAB!$C$14:$C$76,C876)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SUMIFS(RAB!$F$14:$F$76,RAB!$C$14:$C$76,C877)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SUMIFS(RAB!$F$14:$F$76,RAB!$C$14:$C$76,C878)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SUMIFS(RAB!$F$14:$F$76,RAB!$C$14:$C$76,C879)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SUMIFS(RAB!$F$14:$F$76,RAB!$C$14:$C$76,C880)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SUMIFS(RAB!$F$14:$F$76,RAB!$C$14:$C$76,C881)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SUMIFS(RAB!$F$14:$F$76,RAB!$C$14:$C$76,C882)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SUMIFS(RAB!$F$14:$F$76,RAB!$C$14:$C$76,C883)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SUMIFS(RAB!$F$14:$F$76,RAB!$C$14:$C$76,C884)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SUMIFS(RAB!$F$14:$F$76,RAB!$C$14:$C$76,C885)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SUMIFS(RAB!$F$14:$F$76,RAB!$C$14:$C$76,C886)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SUMIFS(RAB!$F$14:$F$76,RAB!$C$14:$C$76,C887)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SUMIFS(RAB!$F$14:$F$76,RAB!$C$14:$C$76,C888)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SUMIFS(RAB!$F$14:$F$76,RAB!$C$14:$C$76,C889)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SUMIFS(RAB!$F$14:$F$76,RAB!$C$14:$C$76,C890)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SUMIFS(RAB!$F$14:$F$76,RAB!$C$14:$C$76,C891)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SUMIFS(RAB!$F$14:$F$76,RAB!$C$14:$C$76,C892)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SUMIFS(RAB!$F$14:$F$76,RAB!$C$14:$C$76,C893)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SUMIFS(RAB!$F$14:$F$76,RAB!$C$14:$C$76,C894)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SUMIFS(RAB!$F$14:$F$76,RAB!$C$14:$C$76,C895)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SUMIFS(RAB!$F$14:$F$76,RAB!$C$14:$C$76,C896)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SUMIFS(RAB!$F$14:$F$76,RAB!$C$14:$C$76,C897)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SUMIFS(RAB!$F$14:$F$76,RAB!$C$14:$C$76,C898)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SUMIFS(RAB!$F$14:$F$76,RAB!$C$14:$C$76,C899)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SUMIFS(RAB!$F$14:$F$76,RAB!$C$14:$C$76,C900)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SUMIFS(RAB!$F$14:$F$76,RAB!$C$14:$C$76,C901)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SUMIFS(RAB!$F$14:$F$76,RAB!$C$14:$C$76,C902)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SUMIFS(RAB!$F$14:$F$76,RAB!$C$14:$C$76,C903)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SUMIFS(RAB!$F$14:$F$76,RAB!$C$14:$C$76,C904)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SUMIFS(RAB!$F$14:$F$76,RAB!$C$14:$C$76,C905)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SUMIFS(RAB!$F$14:$F$76,RAB!$C$14:$C$76,C906)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SUMIFS(RAB!$F$14:$F$76,RAB!$C$14:$C$76,C907)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SUMIFS(RAB!$F$14:$F$76,RAB!$C$14:$C$76,C908)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SUMIFS(RAB!$F$14:$F$76,RAB!$C$14:$C$76,C909)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SUMIFS(RAB!$F$14:$F$76,RAB!$C$14:$C$76,C910)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SUMIFS(RAB!$F$14:$F$76,RAB!$C$14:$C$76,C911)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SUMIFS(RAB!$F$14:$F$76,RAB!$C$14:$C$76,C912)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SUMIFS(RAB!$F$14:$F$76,RAB!$C$14:$C$76,C913)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SUMIFS(RAB!$F$14:$F$76,RAB!$C$14:$C$76,C914)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SUMIFS(RAB!$F$14:$F$76,RAB!$C$14:$C$76,C915)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SUMIFS(RAB!$F$14:$F$76,RAB!$C$14:$C$76,C916)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SUMIFS(RAB!$F$14:$F$76,RAB!$C$14:$C$76,C917)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SUMIFS(RAB!$F$14:$F$76,RAB!$C$14:$C$76,C918)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SUMIFS(RAB!$F$14:$F$76,RAB!$C$14:$C$76,C919)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SUMIFS(RAB!$F$14:$F$76,RAB!$C$14:$C$76,C920)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SUMIFS(RAB!$F$14:$F$76,RAB!$C$14:$C$76,C921)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SUMIFS(RAB!$F$14:$F$76,RAB!$C$14:$C$76,C922)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SUMIFS(RAB!$F$14:$F$76,RAB!$C$14:$C$76,C923)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SUMIFS(RAB!$F$14:$F$76,RAB!$C$14:$C$76,C924)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SUMIFS(RAB!$F$14:$F$76,RAB!$C$14:$C$76,C925)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SUMIFS(RAB!$F$14:$F$76,RAB!$C$14:$C$76,C926)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SUMIFS(RAB!$F$14:$F$76,RAB!$C$14:$C$76,C927)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SUMIFS(RAB!$F$14:$F$76,RAB!$C$14:$C$76,C928)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SUMIFS(RAB!$F$14:$F$76,RAB!$C$14:$C$76,C929)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SUMIFS(RAB!$F$14:$F$76,RAB!$C$14:$C$76,C930)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SUMIFS(RAB!$F$14:$F$76,RAB!$C$14:$C$76,C931)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SUMIFS(RAB!$F$14:$F$76,RAB!$C$14:$C$76,C932)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SUMIFS(RAB!$F$14:$F$76,RAB!$C$14:$C$76,C933)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SUMIFS(RAB!$F$14:$F$76,RAB!$C$14:$C$76,C934)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SUMIFS(RAB!$F$14:$F$76,RAB!$C$14:$C$76,C935)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SUMIFS(RAB!$F$14:$F$76,RAB!$C$14:$C$76,C936)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SUMIFS(RAB!$F$14:$F$76,RAB!$C$14:$C$76,C937)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SUMIFS(RAB!$F$14:$F$76,RAB!$C$14:$C$76,C938)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SUMIFS(RAB!$F$14:$F$76,RAB!$C$14:$C$76,C939)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SUMIFS(RAB!$F$14:$F$76,RAB!$C$14:$C$76,C940)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SUMIFS(RAB!$F$14:$F$76,RAB!$C$14:$C$76,C941)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SUMIFS(RAB!$F$14:$F$76,RAB!$C$14:$C$76,C942)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SUMIFS(RAB!$F$14:$F$76,RAB!$C$14:$C$76,C943)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SUMIFS(RAB!$F$14:$F$76,RAB!$C$14:$C$76,C944)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SUMIFS(RAB!$F$14:$F$76,RAB!$C$14:$C$76,C945)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SUMIFS(RAB!$F$14:$F$76,RAB!$C$14:$C$76,C946)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SUMIFS(RAB!$F$14:$F$76,RAB!$C$14:$C$76,C947)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SUMIFS(RAB!$F$14:$F$76,RAB!$C$14:$C$76,C948)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SUMIFS(RAB!$F$14:$F$76,RAB!$C$14:$C$76,C949)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SUMIFS(RAB!$F$14:$F$76,RAB!$C$14:$C$76,C950)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SUMIFS(RAB!$F$14:$F$76,RAB!$C$14:$C$76,C951)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SUMIFS(RAB!$F$14:$F$76,RAB!$C$14:$C$76,C952)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SUMIFS(RAB!$F$14:$F$76,RAB!$C$14:$C$76,C953)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SUMIFS(RAB!$F$14:$F$76,RAB!$C$14:$C$76,C954)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SUMIFS(RAB!$F$14:$F$76,RAB!$C$14:$C$76,C955)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SUMIFS(RAB!$F$14:$F$76,RAB!$C$14:$C$76,C956)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SUMIFS(RAB!$F$14:$F$76,RAB!$C$14:$C$76,C957)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SUMIFS(RAB!$F$14:$F$76,RAB!$C$14:$C$76,C958)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SUMIFS(RAB!$F$14:$F$76,RAB!$C$14:$C$76,C959)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SUMIFS(RAB!$F$14:$F$76,RAB!$C$14:$C$76,C960)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SUMIFS(RAB!$F$14:$F$76,RAB!$C$14:$C$76,C961)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SUMIFS(RAB!$F$14:$F$76,RAB!$C$14:$C$76,C962)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SUMIFS(RAB!$F$14:$F$76,RAB!$C$14:$C$76,C963)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SUMIFS(RAB!$F$14:$F$76,RAB!$C$14:$C$76,C964)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SUMIFS(RAB!$F$14:$F$76,RAB!$C$14:$C$76,C965)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SUMIFS(RAB!$F$14:$F$76,RAB!$C$14:$C$76,C966)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SUMIFS(RAB!$F$14:$F$76,RAB!$C$14:$C$76,C967)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SUMIFS(RAB!$F$14:$F$76,RAB!$C$14:$C$76,C968)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SUMIFS(RAB!$F$14:$F$76,RAB!$C$14:$C$76,C969)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SUMIFS(RAB!$F$14:$F$76,RAB!$C$14:$C$76,C970)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SUMIFS(RAB!$F$14:$F$76,RAB!$C$14:$C$76,C971)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SUMIFS(RAB!$F$14:$F$76,RAB!$C$14:$C$76,C972)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SUMIFS(RAB!$F$14:$F$76,RAB!$C$14:$C$76,C973)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SUMIFS(RAB!$F$14:$F$76,RAB!$C$14:$C$76,C974)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SUMIFS(RAB!$F$14:$F$76,RAB!$C$14:$C$76,C975)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SUMIFS(RAB!$F$14:$F$76,RAB!$C$14:$C$76,C976)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SUMIFS(RAB!$F$14:$F$76,RAB!$C$14:$C$76,C977)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SUMIFS(RAB!$F$14:$F$76,RAB!$C$14:$C$76,C978)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SUMIFS(RAB!$F$14:$F$76,RAB!$C$14:$C$76,C979)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SUMIFS(RAB!$F$14:$F$76,RAB!$C$14:$C$76,C980)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SUMIFS(RAB!$F$14:$F$76,RAB!$C$14:$C$76,C981)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SUMIFS(RAB!$F$14:$F$76,RAB!$C$14:$C$76,C982)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SUMIFS(RAB!$F$14:$F$76,RAB!$C$14:$C$76,C983)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SUMIFS(RAB!$F$14:$F$76,RAB!$C$14:$C$76,C984)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SUMIFS(RAB!$F$14:$F$76,RAB!$C$14:$C$76,C985)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SUMIFS(RAB!$F$14:$F$76,RAB!$C$14:$C$76,C986)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SUMIFS(RAB!$F$14:$F$76,RAB!$C$14:$C$76,C987)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SUMIFS(RAB!$F$14:$F$76,RAB!$C$14:$C$76,C988)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SUMIFS(RAB!$F$14:$F$76,RAB!$C$14:$C$76,C989)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SUMIFS(RAB!$F$14:$F$76,RAB!$C$14:$C$76,C990)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SUMIFS(RAB!$F$14:$F$76,RAB!$C$14:$C$76,C991)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SUMIFS(RAB!$F$14:$F$76,RAB!$C$14:$C$76,C992)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SUMIFS(RAB!$F$14:$F$76,RAB!$C$14:$C$76,C993)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SUMIFS(RAB!$F$14:$F$76,RAB!$C$14:$C$76,C994)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SUMIFS(RAB!$F$14:$F$76,RAB!$C$14:$C$76,C995)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SUMIFS(RAB!$F$14:$F$76,RAB!$C$14:$C$76,C996)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SUMIFS(RAB!$F$14:$F$76,RAB!$C$14:$C$76,C997)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SUMIFS(RAB!$F$14:$F$76,RAB!$C$14:$C$76,C998)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SUMIFS(RAB!$F$14:$F$76,RAB!$C$14:$C$76,C999)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SUMIFS(RAB!$F$14:$F$76,RAB!$C$14:$C$76,C1000)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SUMIFS(RAB!$F$14:$F$76,RAB!$C$14:$C$76,C1001)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SUMIFS(RAB!$F$14:$F$76,RAB!$C$14:$C$76,C1002)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SUMIFS(RAB!$F$14:$F$76,RAB!$C$14:$C$76,C1003)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SUMIFS(RAB!$F$14:$F$76,RAB!$C$14:$C$76,C1004)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SUMIFS(RAB!$F$14:$F$76,RAB!$C$14:$C$76,C1005)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SUMIFS(RAB!$F$14:$F$76,RAB!$C$14:$C$76,C1006)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SUMIFS(RAB!$F$14:$F$76,RAB!$C$14:$C$76,C1007)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SUMIFS(RAB!$F$14:$F$76,RAB!$C$14:$C$76,C1008)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SUMIFS(RAB!$F$14:$F$76,RAB!$C$14:$C$76,C1009)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SUMIFS(RAB!$F$14:$F$76,RAB!$C$14:$C$76,C1010)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SUMIFS(RAB!$F$14:$F$76,RAB!$C$14:$C$76,C1011)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SUMIFS(RAB!$F$14:$F$76,RAB!$C$14:$C$76,C1012)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SUMIFS(RAB!$F$14:$F$76,RAB!$C$14:$C$76,C1013)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SUMIFS(RAB!$F$14:$F$76,RAB!$C$14:$C$76,C1014)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SUMIFS(RAB!$F$14:$F$76,RAB!$C$14:$C$76,C1015)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SUMIFS(RAB!$F$14:$F$76,RAB!$C$14:$C$76,C1016)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SUMIFS(RAB!$F$14:$F$76,RAB!$C$14:$C$76,C1017)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SUMIFS(RAB!$F$14:$F$76,RAB!$C$14:$C$76,C1018)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SUMIFS(RAB!$F$14:$F$76,RAB!$C$14:$C$76,C1019)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SUMIFS(RAB!$F$14:$F$76,RAB!$C$14:$C$76,C1020)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SUMIFS(RAB!$F$14:$F$76,RAB!$C$14:$C$76,C1021)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SUMIFS(RAB!$F$14:$F$76,RAB!$C$14:$C$76,C1022)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SUMIFS(RAB!$F$14:$F$76,RAB!$C$14:$C$76,C1023)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SUMIFS(RAB!$F$14:$F$76,RAB!$C$14:$C$76,C1024)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SUMIFS(RAB!$F$14:$F$76,RAB!$C$14:$C$76,C1025)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SUMIFS(RAB!$F$14:$F$76,RAB!$C$14:$C$76,C1026)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SUMIFS(RAB!$F$14:$F$76,RAB!$C$14:$C$76,C1027)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SUMIFS(RAB!$F$14:$F$76,RAB!$C$14:$C$76,C1028)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SUMIFS(RAB!$F$14:$F$76,RAB!$C$14:$C$76,C1029)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SUMIFS(RAB!$F$14:$F$76,RAB!$C$14:$C$76,C1030)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SUMIFS(RAB!$F$14:$F$76,RAB!$C$14:$C$76,C1031)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SUMIFS(RAB!$F$14:$F$76,RAB!$C$14:$C$76,C1032)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SUMIFS(RAB!$F$14:$F$76,RAB!$C$14:$C$76,C1033)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SUMIFS(RAB!$F$14:$F$76,RAB!$C$14:$C$76,C1034)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SUMIFS(RAB!$F$14:$F$76,RAB!$C$14:$C$76,C1035)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SUMIFS(RAB!$F$14:$F$76,RAB!$C$14:$C$76,C1036)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SUMIFS(RAB!$F$14:$F$76,RAB!$C$14:$C$76,C1037)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SUMIFS(RAB!$F$14:$F$76,RAB!$C$14:$C$76,C1038)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SUMIFS(RAB!$F$14:$F$76,RAB!$C$14:$C$76,C1039)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SUMIFS(RAB!$F$14:$F$76,RAB!$C$14:$C$76,C1040)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SUMIFS(RAB!$F$14:$F$76,RAB!$C$14:$C$76,C1041)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SUMIFS(RAB!$F$14:$F$76,RAB!$C$14:$C$76,C1042)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SUMIFS(RAB!$F$14:$F$76,RAB!$C$14:$C$76,C1043)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SUMIFS(RAB!$F$14:$F$76,RAB!$C$14:$C$76,C1044)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SUMIFS(RAB!$F$14:$F$76,RAB!$C$14:$C$76,C1045)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SUMIFS(RAB!$F$14:$F$76,RAB!$C$14:$C$76,C1046)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SUMIFS(RAB!$F$14:$F$76,RAB!$C$14:$C$76,C1047)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SUMIFS(RAB!$F$14:$F$76,RAB!$C$14:$C$76,C1048)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SUMIFS(RAB!$F$14:$F$76,RAB!$C$14:$C$76,C1049)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SUMIFS(RAB!$F$14:$F$76,RAB!$C$14:$C$76,C1050)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SUMIFS(RAB!$F$14:$F$76,RAB!$C$14:$C$76,C1051)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SUMIFS(RAB!$F$14:$F$76,RAB!$C$14:$C$76,C1052)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SUMIFS(RAB!$F$14:$F$76,RAB!$C$14:$C$76,C1053)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SUMIFS(RAB!$F$14:$F$76,RAB!$C$14:$C$76,C1054)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SUMIFS(RAB!$F$14:$F$76,RAB!$C$14:$C$76,C1055)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SUMIFS(RAB!$F$14:$F$76,RAB!$C$14:$C$76,C1056)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SUMIFS(RAB!$F$14:$F$76,RAB!$C$14:$C$76,C1057)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SUMIFS(RAB!$F$14:$F$76,RAB!$C$14:$C$76,C1058)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SUMIFS(RAB!$F$14:$F$76,RAB!$C$14:$C$76,C1059)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SUMIFS(RAB!$F$14:$F$76,RAB!$C$14:$C$76,C1060)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SUMIFS(RAB!$F$14:$F$76,RAB!$C$14:$C$76,C1061)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SUMIFS(RAB!$F$14:$F$76,RAB!$C$14:$C$76,C1062)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SUMIFS(RAB!$F$14:$F$76,RAB!$C$14:$C$76,C1063)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SUMIFS(RAB!$F$14:$F$76,RAB!$C$14:$C$76,C1064)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SUMIFS(RAB!$F$14:$F$76,RAB!$C$14:$C$76,C1065)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SUMIFS(RAB!$F$14:$F$76,RAB!$C$14:$C$76,C1066)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SUMIFS(RAB!$F$14:$F$76,RAB!$C$14:$C$76,C1067)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SUMIFS(RAB!$F$14:$F$76,RAB!$C$14:$C$76,C1068)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SUMIFS(RAB!$F$14:$F$76,RAB!$C$14:$C$76,C1069)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SUMIFS(RAB!$F$14:$F$76,RAB!$C$14:$C$76,C1070)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SUMIFS(RAB!$F$14:$F$76,RAB!$C$14:$C$76,C1071)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SUMIFS(RAB!$F$14:$F$76,RAB!$C$14:$C$76,C1072)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SUMIFS(RAB!$F$14:$F$76,RAB!$C$14:$C$76,C1073)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SUMIFS(RAB!$F$14:$F$76,RAB!$C$14:$C$76,C1074)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SUMIFS(RAB!$F$14:$F$76,RAB!$C$14:$C$76,C1075)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SUMIFS(RAB!$F$14:$F$76,RAB!$C$14:$C$76,C1076)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SUMIFS(RAB!$F$14:$F$76,RAB!$C$14:$C$76,C1077)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SUMIFS(RAB!$F$14:$F$76,RAB!$C$14:$C$76,C1078)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SUMIFS(RAB!$F$14:$F$76,RAB!$C$14:$C$76,C1079)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SUMIFS(RAB!$F$14:$F$76,RAB!$C$14:$C$76,C1080)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SUMIFS(RAB!$F$14:$F$76,RAB!$C$14:$C$76,C1081)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SUMIFS(RAB!$F$14:$F$76,RAB!$C$14:$C$76,C1082)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SUMIFS(RAB!$F$14:$F$76,RAB!$C$14:$C$76,C1083)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SUMIFS(RAB!$F$14:$F$76,RAB!$C$14:$C$76,C1084)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SUMIFS(RAB!$F$14:$F$76,RAB!$C$14:$C$76,C1085)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SUMIFS(RAB!$F$14:$F$76,RAB!$C$14:$C$76,C1086)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SUMIFS(RAB!$F$14:$F$76,RAB!$C$14:$C$76,C1087)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SUMIFS(RAB!$F$14:$F$76,RAB!$C$14:$C$76,C1088)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SUMIFS(RAB!$F$14:$F$76,RAB!$C$14:$C$76,C1089)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SUMIFS(RAB!$F$14:$F$76,RAB!$C$14:$C$76,C1090)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SUMIFS(RAB!$F$14:$F$76,RAB!$C$14:$C$76,C1091)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SUMIFS(RAB!$F$14:$F$76,RAB!$C$14:$C$76,C1092)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SUMIFS(RAB!$F$14:$F$76,RAB!$C$14:$C$76,C1093)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SUMIFS(RAB!$F$14:$F$76,RAB!$C$14:$C$76,C1094)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SUMIFS(RAB!$F$14:$F$76,RAB!$C$14:$C$76,C1095)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SUMIFS(RAB!$F$14:$F$76,RAB!$C$14:$C$76,C1096)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SUMIFS(RAB!$F$14:$F$76,RAB!$C$14:$C$76,C1097)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SUMIFS(RAB!$F$14:$F$76,RAB!$C$14:$C$76,C1098)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SUMIFS(RAB!$F$14:$F$76,RAB!$C$14:$C$76,C1099)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SUMIFS(RAB!$F$14:$F$76,RAB!$C$14:$C$76,C1100)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SUMIFS(RAB!$F$14:$F$76,RAB!$C$14:$C$76,C1101)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SUMIFS(RAB!$F$14:$F$76,RAB!$C$14:$C$76,C1102)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SUMIFS(RAB!$F$14:$F$76,RAB!$C$14:$C$76,C1103)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SUMIFS(RAB!$F$14:$F$76,RAB!$C$14:$C$76,C1104)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SUMIFS(RAB!$F$14:$F$76,RAB!$C$14:$C$76,C1105)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SUMIFS(RAB!$F$14:$F$76,RAB!$C$14:$C$76,C1106)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SUMIFS(RAB!$F$14:$F$76,RAB!$C$14:$C$76,C1107)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SUMIFS(RAB!$F$14:$F$76,RAB!$C$14:$C$76,C1108)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SUMIFS(RAB!$F$14:$F$76,RAB!$C$14:$C$76,C1109)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SUMIFS(RAB!$F$14:$F$76,RAB!$C$14:$C$76,C1110)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SUMIFS(RAB!$F$14:$F$76,RAB!$C$14:$C$76,C1111)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SUMIFS(RAB!$F$14:$F$76,RAB!$C$14:$C$76,C1112)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SUMIFS(RAB!$F$14:$F$76,RAB!$C$14:$C$76,C1113)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SUMIFS(RAB!$F$14:$F$76,RAB!$C$14:$C$76,C1114)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SUMIFS(RAB!$F$14:$F$76,RAB!$C$14:$C$76,C1115)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SUMIFS(RAB!$F$14:$F$76,RAB!$C$14:$C$76,C1116)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SUMIFS(RAB!$F$14:$F$76,RAB!$C$14:$C$76,C1117)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SUMIFS(RAB!$F$14:$F$76,RAB!$C$14:$C$76,C1118)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SUMIFS(RAB!$F$14:$F$76,RAB!$C$14:$C$76,C1119)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SUMIFS(RAB!$F$14:$F$76,RAB!$C$14:$C$76,C1120)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SUMIFS(RAB!$F$14:$F$76,RAB!$C$14:$C$76,C1121)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SUMIFS(RAB!$F$14:$F$76,RAB!$C$14:$C$76,C1122)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SUMIFS(RAB!$F$14:$F$76,RAB!$C$14:$C$76,C1123)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SUMIFS(RAB!$F$14:$F$76,RAB!$C$14:$C$76,C1124)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SUMIFS(RAB!$F$14:$F$76,RAB!$C$14:$C$76,C1125)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SUMIFS(RAB!$F$14:$F$76,RAB!$C$14:$C$76,C1126)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SUMIFS(RAB!$F$14:$F$76,RAB!$C$14:$C$76,C1127)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SUMIFS(RAB!$F$14:$F$76,RAB!$C$14:$C$76,C1128)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SUMIFS(RAB!$F$14:$F$76,RAB!$C$14:$C$76,C1129)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SUMIFS(RAB!$F$14:$F$76,RAB!$C$14:$C$76,C1130)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SUMIFS(RAB!$F$14:$F$76,RAB!$C$14:$C$76,C1131)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SUMIFS(RAB!$F$14:$F$76,RAB!$C$14:$C$76,C1132)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SUMIFS(RAB!$F$14:$F$76,RAB!$C$14:$C$76,C1133)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SUMIFS(RAB!$F$14:$F$76,RAB!$C$14:$C$76,C1134)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SUMIFS(RAB!$F$14:$F$76,RAB!$C$14:$C$76,C1135)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SUMIFS(RAB!$F$14:$F$76,RAB!$C$14:$C$76,C1136)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SUMIFS(RAB!$F$14:$F$76,RAB!$C$14:$C$76,C1137)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SUMIFS(RAB!$F$14:$F$76,RAB!$C$14:$C$76,C1138)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SUMIFS(RAB!$F$14:$F$76,RAB!$C$14:$C$76,C1139)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SUMIFS(RAB!$F$14:$F$76,RAB!$C$14:$C$76,C1140)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SUMIFS(RAB!$F$14:$F$76,RAB!$C$14:$C$76,C1141)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SUMIFS(RAB!$F$14:$F$76,RAB!$C$14:$C$76,C1142)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SUMIFS(RAB!$F$14:$F$76,RAB!$C$14:$C$76,C1143)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SUMIFS(RAB!$F$14:$F$76,RAB!$C$14:$C$76,C1144)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SUMIFS(RAB!$F$14:$F$76,RAB!$C$14:$C$76,C1145)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SUMIFS(RAB!$F$14:$F$76,RAB!$C$14:$C$76,C1146)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SUMIFS(RAB!$F$14:$F$76,RAB!$C$14:$C$76,C1147)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SUMIFS(RAB!$F$14:$F$76,RAB!$C$14:$C$76,C1148)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SUMIFS(RAB!$F$14:$F$76,RAB!$C$14:$C$76,C1149)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SUMIFS(RAB!$F$14:$F$76,RAB!$C$14:$C$76,C1150)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SUMIFS(RAB!$F$14:$F$76,RAB!$C$14:$C$76,C1151)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SUMIFS(RAB!$F$14:$F$76,RAB!$C$14:$C$76,C1152)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SUMIFS(RAB!$F$14:$F$76,RAB!$C$14:$C$76,C1153)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SUMIFS(RAB!$F$14:$F$76,RAB!$C$14:$C$76,C1154)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SUMIFS(RAB!$F$14:$F$76,RAB!$C$14:$C$76,C1155)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SUMIFS(RAB!$F$14:$F$76,RAB!$C$14:$C$76,C1156)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SUMIFS(RAB!$F$14:$F$76,RAB!$C$14:$C$76,C1157)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SUMIFS(RAB!$F$14:$F$76,RAB!$C$14:$C$76,C1158)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SUMIFS(RAB!$F$14:$F$76,RAB!$C$14:$C$76,C1159)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SUMIFS(RAB!$F$14:$F$76,RAB!$C$14:$C$76,C1160)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SUMIFS(RAB!$F$14:$F$76,RAB!$C$14:$C$76,C1161)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SUMIFS(RAB!$F$14:$F$76,RAB!$C$14:$C$76,C1162)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SUMIFS(RAB!$F$14:$F$76,RAB!$C$14:$C$76,C1163)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SUMIFS(RAB!$F$14:$F$76,RAB!$C$14:$C$76,C1164)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SUMIFS(RAB!$F$14:$F$76,RAB!$C$14:$C$76,C1165)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SUMIFS(RAB!$F$14:$F$76,RAB!$C$14:$C$76,C1166)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SUMIFS(RAB!$F$14:$F$76,RAB!$C$14:$C$76,C1167)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SUMIFS(RAB!$F$14:$F$76,RAB!$C$14:$C$76,C1168)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SUMIFS(RAB!$F$14:$F$76,RAB!$C$14:$C$76,C1169)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SUMIFS(RAB!$F$14:$F$76,RAB!$C$14:$C$76,C1170)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SUMIFS(RAB!$F$14:$F$76,RAB!$C$14:$C$76,C1171)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SUMIFS(RAB!$F$14:$F$76,RAB!$C$14:$C$76,C1172)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SUMIFS(RAB!$F$14:$F$76,RAB!$C$14:$C$76,C1173)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SUMIFS(RAB!$F$14:$F$76,RAB!$C$14:$C$76,C1174)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SUMIFS(RAB!$F$14:$F$76,RAB!$C$14:$C$76,C1175)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SUMIFS(RAB!$F$14:$F$76,RAB!$C$14:$C$76,C1176)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SUMIFS(RAB!$F$14:$F$76,RAB!$C$14:$C$76,C1177)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SUMIFS(RAB!$F$14:$F$76,RAB!$C$14:$C$76,C1178)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SUMIFS(RAB!$F$14:$F$76,RAB!$C$14:$C$76,C1179)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SUMIFS(RAB!$F$14:$F$76,RAB!$C$14:$C$76,C1180)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SUMIFS(RAB!$F$14:$F$76,RAB!$C$14:$C$76,C1181)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SUMIFS(RAB!$F$14:$F$76,RAB!$C$14:$C$76,C1182)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SUMIFS(RAB!$F$14:$F$76,RAB!$C$14:$C$76,C1183)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SUMIFS(RAB!$F$14:$F$76,RAB!$C$14:$C$76,C1184)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SUMIFS(RAB!$F$14:$F$76,RAB!$C$14:$C$76,C1185)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SUMIFS(RAB!$F$14:$F$76,RAB!$C$14:$C$76,C1186)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SUMIFS(RAB!$F$14:$F$76,RAB!$C$14:$C$76,C1187)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SUMIFS(RAB!$F$14:$F$76,RAB!$C$14:$C$76,C1188)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SUMIFS(RAB!$F$14:$F$76,RAB!$C$14:$C$76,C1189)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SUMIFS(RAB!$F$14:$F$76,RAB!$C$14:$C$76,C1190)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SUMIFS(RAB!$F$14:$F$76,RAB!$C$14:$C$76,C1191)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SUMIFS(RAB!$F$14:$F$76,RAB!$C$14:$C$76,C1192)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SUMIFS(RAB!$F$14:$F$76,RAB!$C$14:$C$76,C1193)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SUMIFS(RAB!$F$14:$F$76,RAB!$C$14:$C$76,C1194)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SUMIFS(RAB!$F$14:$F$76,RAB!$C$14:$C$76,C1195)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SUMIFS(RAB!$F$14:$F$76,RAB!$C$14:$C$76,C1196)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SUMIFS(RAB!$F$14:$F$76,RAB!$C$14:$C$76,C1197)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SUMIFS(RAB!$F$14:$F$76,RAB!$C$14:$C$76,C1198)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SUMIFS(RAB!$F$14:$F$76,RAB!$C$14:$C$76,C1199)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SUMIFS(RAB!$F$14:$F$76,RAB!$C$14:$C$76,C1200)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SUMIFS(RAB!$F$14:$F$76,RAB!$C$14:$C$76,C1201)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SUMIFS(RAB!$F$14:$F$76,RAB!$C$14:$C$76,C1202)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SUMIFS(RAB!$F$14:$F$76,RAB!$C$14:$C$76,C1203)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SUMIFS(RAB!$F$14:$F$76,RAB!$C$14:$C$76,C1204)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SUMIFS(RAB!$F$14:$F$76,RAB!$C$14:$C$76,C1205)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SUMIFS(RAB!$F$14:$F$76,RAB!$C$14:$C$76,C1206)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SUMIFS(RAB!$F$14:$F$76,RAB!$C$14:$C$76,C1207)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SUMIFS(RAB!$F$14:$F$76,RAB!$C$14:$C$76,C1208)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SUMIFS(RAB!$F$14:$F$76,RAB!$C$14:$C$76,C1209)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SUMIFS(RAB!$F$14:$F$76,RAB!$C$14:$C$76,C1210)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SUMIFS(RAB!$F$14:$F$76,RAB!$C$14:$C$76,C1211)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SUMIFS(RAB!$F$14:$F$76,RAB!$C$14:$C$76,C1212)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SUMIFS(RAB!$F$14:$F$76,RAB!$C$14:$C$76,C1213)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SUMIFS(RAB!$F$14:$F$76,RAB!$C$14:$C$76,C1214)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SUMIFS(RAB!$F$14:$F$76,RAB!$C$14:$C$76,C1215)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SUMIFS(RAB!$F$14:$F$76,RAB!$C$14:$C$76,C1216)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SUMIFS(RAB!$F$14:$F$76,RAB!$C$14:$C$76,C1217)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SUMIFS(RAB!$F$14:$F$76,RAB!$C$14:$C$76,C1218)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SUMIFS(RAB!$F$14:$F$76,RAB!$C$14:$C$76,C1219)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SUMIFS(RAB!$F$14:$F$76,RAB!$C$14:$C$76,C1220)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SUMIFS(RAB!$F$14:$F$76,RAB!$C$14:$C$76,C1221)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SUMIFS(RAB!$F$14:$F$76,RAB!$C$14:$C$76,C1222)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SUMIFS(RAB!$F$14:$F$76,RAB!$C$14:$C$76,C1223)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SUMIFS(RAB!$F$14:$F$76,RAB!$C$14:$C$76,C1224)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SUMIFS(RAB!$F$14:$F$76,RAB!$C$14:$C$76,C1225)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SUMIFS(RAB!$F$14:$F$76,RAB!$C$14:$C$76,C1226)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SUMIFS(RAB!$F$14:$F$76,RAB!$C$14:$C$76,C1227)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SUMIFS(RAB!$F$14:$F$76,RAB!$C$14:$C$76,C1228)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SUMIFS(RAB!$F$14:$F$76,RAB!$C$14:$C$76,C1229)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SUMIFS(RAB!$F$14:$F$76,RAB!$C$14:$C$76,C1230)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SUMIFS(RAB!$F$14:$F$76,RAB!$C$14:$C$76,C1231)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SUMIFS(RAB!$F$14:$F$76,RAB!$C$14:$C$76,C1232)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SUMIFS(RAB!$F$14:$F$76,RAB!$C$14:$C$76,C1233)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SUMIFS(RAB!$F$14:$F$76,RAB!$C$14:$C$76,C1234)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SUMIFS(RAB!$F$14:$F$76,RAB!$C$14:$C$76,C1235)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SUMIFS(RAB!$F$14:$F$76,RAB!$C$14:$C$76,C1236)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SUMIFS(RAB!$F$14:$F$76,RAB!$C$14:$C$76,C1237)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SUMIFS(RAB!$F$14:$F$76,RAB!$C$14:$C$76,C1238)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SUMIFS(RAB!$F$14:$F$76,RAB!$C$14:$C$76,C1239)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SUMIFS(RAB!$F$14:$F$76,RAB!$C$14:$C$76,C1240)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SUMIFS(RAB!$F$14:$F$76,RAB!$C$14:$C$76,C1241)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SUMIFS(RAB!$F$14:$F$76,RAB!$C$14:$C$76,C1242)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SUMIFS(RAB!$F$14:$F$76,RAB!$C$14:$C$76,C1243)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SUMIFS(RAB!$F$14:$F$76,RAB!$C$14:$C$76,C1244)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SUMIFS(RAB!$F$14:$F$76,RAB!$C$14:$C$76,C1245)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SUMIFS(RAB!$F$14:$F$76,RAB!$C$14:$C$76,C1246)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SUMIFS(RAB!$F$14:$F$76,RAB!$C$14:$C$76,C1247)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SUMIFS(RAB!$F$14:$F$76,RAB!$C$14:$C$76,C1248)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SUMIFS(RAB!$F$14:$F$76,RAB!$C$14:$C$76,C1249)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SUMIFS(RAB!$F$14:$F$76,RAB!$C$14:$C$76,C1250)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SUMIFS(RAB!$F$14:$F$76,RAB!$C$14:$C$76,C1251)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SUMIFS(RAB!$F$14:$F$76,RAB!$C$14:$C$76,C1252)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SUMIFS(RAB!$F$14:$F$76,RAB!$C$14:$C$76,C1253)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SUMIFS(RAB!$F$14:$F$76,RAB!$C$14:$C$76,C1254)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SUMIFS(RAB!$F$14:$F$76,RAB!$C$14:$C$76,C1255)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SUMIFS(RAB!$F$14:$F$76,RAB!$C$14:$C$76,C1256)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SUMIFS(RAB!$F$14:$F$76,RAB!$C$14:$C$76,C1257)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SUMIFS(RAB!$F$14:$F$76,RAB!$C$14:$C$76,C1258)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SUMIFS(RAB!$F$14:$F$76,RAB!$C$14:$C$76,C1259)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SUMIFS(RAB!$F$14:$F$76,RAB!$C$14:$C$76,C1260)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SUMIFS(RAB!$F$14:$F$76,RAB!$C$14:$C$76,C1261)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SUMIFS(RAB!$F$14:$F$76,RAB!$C$14:$C$76,C1262)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SUMIFS(RAB!$F$14:$F$76,RAB!$C$14:$C$76,C1263)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SUMIFS(RAB!$F$14:$F$76,RAB!$C$14:$C$76,C1264)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SUMIFS(RAB!$F$14:$F$76,RAB!$C$14:$C$76,C1265)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SUMIFS(RAB!$F$14:$F$76,RAB!$C$14:$C$76,C1266)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SUMIFS(RAB!$F$14:$F$76,RAB!$C$14:$C$76,C1267)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SUMIFS(RAB!$F$14:$F$76,RAB!$C$14:$C$76,C1268)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SUMIFS(RAB!$F$14:$F$76,RAB!$C$14:$C$76,C1269)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SUMIFS(RAB!$F$14:$F$76,RAB!$C$14:$C$76,C1270)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SUMIFS(RAB!$F$14:$F$76,RAB!$C$14:$C$76,C1271)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SUMIFS(RAB!$F$14:$F$76,RAB!$C$14:$C$76,C1272)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SUMIFS(RAB!$F$14:$F$76,RAB!$C$14:$C$76,C1273)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SUMIFS(RAB!$F$14:$F$76,RAB!$C$14:$C$76,C1274)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SUMIFS(RAB!$F$14:$F$76,RAB!$C$14:$C$76,C1275)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SUMIFS(RAB!$F$14:$F$76,RAB!$C$14:$C$76,C1276)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SUMIFS(RAB!$F$14:$F$76,RAB!$C$14:$C$76,C1277)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SUMIFS(RAB!$F$14:$F$76,RAB!$C$14:$C$76,C1278)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SUMIFS(RAB!$F$14:$F$76,RAB!$C$14:$C$76,C1279)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SUMIFS(RAB!$F$14:$F$76,RAB!$C$14:$C$76,C1280)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SUMIFS(RAB!$F$14:$F$76,RAB!$C$14:$C$76,C1281)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SUMIFS(RAB!$F$14:$F$76,RAB!$C$14:$C$76,C1282)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SUMIFS(RAB!$F$14:$F$76,RAB!$C$14:$C$76,C1283)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SUMIFS(RAB!$F$14:$F$76,RAB!$C$14:$C$76,C1284)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SUMIFS(RAB!$F$14:$F$76,RAB!$C$14:$C$76,C1285)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SUMIFS(RAB!$F$14:$F$76,RAB!$C$14:$C$76,C1286)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SUMIFS(RAB!$F$14:$F$76,RAB!$C$14:$C$76,C1287)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SUMIFS(RAB!$F$14:$F$76,RAB!$C$14:$C$76,C1288)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SUMIFS(RAB!$F$14:$F$76,RAB!$C$14:$C$76,C1289)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SUMIFS(RAB!$F$14:$F$76,RAB!$C$14:$C$76,C1290)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SUMIFS(RAB!$F$14:$F$76,RAB!$C$14:$C$76,C1291)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SUMIFS(RAB!$F$14:$F$76,RAB!$C$14:$C$76,C1292)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SUMIFS(RAB!$F$14:$F$76,RAB!$C$14:$C$76,C1293)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SUMIFS(RAB!$F$14:$F$76,RAB!$C$14:$C$76,C1294)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SUMIFS(RAB!$F$14:$F$76,RAB!$C$14:$C$76,C1295)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SUMIFS(RAB!$F$14:$F$76,RAB!$C$14:$C$76,C1296)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SUMIFS(RAB!$F$14:$F$76,RAB!$C$14:$C$76,C1297)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SUMIFS(RAB!$F$14:$F$76,RAB!$C$14:$C$76,C1298)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SUMIFS(RAB!$F$14:$F$76,RAB!$C$14:$C$76,C1299)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SUMIFS(RAB!$F$14:$F$76,RAB!$C$14:$C$76,C1300)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SUMIFS(RAB!$F$14:$F$76,RAB!$C$14:$C$76,C1301)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SUMIFS(RAB!$F$14:$F$76,RAB!$C$14:$C$76,C1302)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SUMIFS(RAB!$F$14:$F$76,RAB!$C$14:$C$76,C1303)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SUMIFS(RAB!$F$14:$F$76,RAB!$C$14:$C$76,C1304)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SUMIFS(RAB!$F$14:$F$76,RAB!$C$14:$C$76,C1305)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SUMIFS(RAB!$F$14:$F$76,RAB!$C$14:$C$76,C1306)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SUMIFS(RAB!$F$14:$F$76,RAB!$C$14:$C$76,C1307)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SUMIFS(RAB!$F$14:$F$76,RAB!$C$14:$C$76,C1308)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SUMIFS(RAB!$F$14:$F$76,RAB!$C$14:$C$76,C1309)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SUMIFS(RAB!$F$14:$F$76,RAB!$C$14:$C$76,C1310)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SUMIFS(RAB!$F$14:$F$76,RAB!$C$14:$C$76,C1311)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SUMIFS(RAB!$F$14:$F$76,RAB!$C$14:$C$76,C1312)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SUMIFS(RAB!$F$14:$F$76,RAB!$C$14:$C$76,C1313)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SUMIFS(RAB!$F$14:$F$76,RAB!$C$14:$C$76,C1314)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SUMIFS(RAB!$F$14:$F$76,RAB!$C$14:$C$76,C1315)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SUMIFS(RAB!$F$14:$F$76,RAB!$C$14:$C$76,C1316)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SUMIFS(RAB!$F$14:$F$76,RAB!$C$14:$C$76,C1317)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SUMIFS(RAB!$F$14:$F$76,RAB!$C$14:$C$76,C1318)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SUMIFS(RAB!$F$14:$F$76,RAB!$C$14:$C$76,C1319)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SUMIFS(RAB!$F$14:$F$76,RAB!$C$14:$C$76,C1320)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1127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PD DR AY ANDRIYAN EKO 32,5-33KVA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GETAS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5" t="s">
        <v>1008</v>
      </c>
      <c r="D38" s="535"/>
      <c r="E38" s="535"/>
      <c r="F38" s="535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6" t="s">
        <v>462</v>
      </c>
      <c r="D39" s="536"/>
      <c r="E39" s="536"/>
      <c r="F39" s="536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5" t="s">
        <v>463</v>
      </c>
      <c r="D40" s="525"/>
      <c r="E40" s="525"/>
      <c r="F40" s="52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8" t="e">
        <f ca="1">"Terbilang : ( "&amp;L42&amp;" Rupiah )"</f>
        <v>#NAME?</v>
      </c>
      <c r="C41" s="529"/>
      <c r="D41" s="529"/>
      <c r="E41" s="529"/>
      <c r="F41" s="529"/>
      <c r="G41" s="529"/>
      <c r="H41" s="529"/>
      <c r="I41" s="529"/>
      <c r="J41" s="529"/>
      <c r="K41" s="530"/>
      <c r="L41" s="44"/>
      <c r="R41" s="58"/>
      <c r="S41" s="58"/>
      <c r="T41" s="58"/>
    </row>
    <row r="42" spans="1:20" s="36" customFormat="1">
      <c r="A42" s="30"/>
      <c r="B42" s="531"/>
      <c r="C42" s="532"/>
      <c r="D42" s="532"/>
      <c r="E42" s="532"/>
      <c r="F42" s="532"/>
      <c r="G42" s="532"/>
      <c r="H42" s="532"/>
      <c r="I42" s="532"/>
      <c r="J42" s="532"/>
      <c r="K42" s="53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6"/>
      <c r="I45" s="526"/>
      <c r="J45" s="527"/>
      <c r="K45" s="52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6"/>
      <c r="I46" s="526"/>
      <c r="J46" s="527"/>
      <c r="K46" s="52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6"/>
      <c r="I47" s="526"/>
      <c r="J47" s="527"/>
      <c r="K47" s="52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6"/>
      <c r="I52" s="526"/>
      <c r="J52" s="527"/>
      <c r="K52" s="52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SUMIFS(RAB!$F$14:$F$76,RAB!$C$14:$C$76,'REKAP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SUMIFS(RAB!$F$14:$F$76,RAB!$C$14:$C$76,'REKAP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SUMIFS(RAB!$F$14:$F$76,RAB!$C$14:$C$76,'REKAP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SUMIFS(RAB!$F$14:$F$76,RAB!$C$14:$C$76,'REKAP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SUMIFS(RAB!$F$14:$F$76,RAB!$C$14:$C$76,'REKAP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SUMIFS(RAB!$F$14:$F$76,RAB!$C$14:$C$76,'REKAP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SUMIFS(RAB!$F$14:$F$76,RAB!$C$14:$C$76,'REKAP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SUMIFS(RAB!$F$14:$F$76,RAB!$C$14:$C$76,'REKAP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SUMIFS(RAB!$F$14:$F$76,RAB!$C$14:$C$76,'REKAP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SUMIFS(RAB!$F$14:$F$76,RAB!$C$14:$C$76,'REKAP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SUMIFS(RAB!$F$14:$F$76,RAB!$C$14:$C$76,'REKAP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SUMIFS(RAB!$F$14:$F$76,RAB!$C$14:$C$76,'REKAP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SUMIFS(RAB!$F$14:$F$76,RAB!$C$14:$C$76,'REKAP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SUMIFS(RAB!$F$14:$F$76,RAB!$C$14:$C$76,'REKAP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SUMIFS(RAB!$F$14:$F$76,RAB!$C$14:$C$76,'REKAP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SUMIFS(RAB!$F$14:$F$76,RAB!$C$14:$C$76,'REKAP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SUMIFS(RAB!$F$14:$F$76,RAB!$C$14:$C$76,'REKAP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SUMIFS(RAB!$F$14:$F$76,RAB!$C$14:$C$76,'REKAP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SUMIFS(RAB!$F$14:$F$76,RAB!$C$14:$C$76,'REKAP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SUMIFS(RAB!$F$14:$F$76,RAB!$C$14:$C$76,'REKAP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6" activePane="bottomRight" state="frozen"/>
      <selection activeCell="D209" sqref="D209"/>
      <selection pane="topRight" activeCell="D209" sqref="D209"/>
      <selection pane="bottomLeft" activeCell="D209" sqref="D209"/>
      <selection pane="bottomRight" activeCell="E23" sqref="E23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1034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PD DR AY ANDRIYAN EKO 32,5-33KVA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GETAS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170</v>
      </c>
      <c r="G18" s="41">
        <f ca="1">IF(ISERROR(OFFSET('HARGA SATUAN'!$I$6,MATCH(C18,'HARGA SATUAN'!$C$7:$C$1495,0),0)),"",OFFSET('HARGA SATUAN'!$I$6,MATCH(C18,'HARGA SATUAN'!$C$7:$C$1495,0),0))</f>
        <v>54500</v>
      </c>
      <c r="H18" s="42">
        <f t="shared" ca="1" si="1"/>
        <v>9265000</v>
      </c>
      <c r="I18" s="42">
        <f t="shared" ca="1" si="2"/>
        <v>0</v>
      </c>
      <c r="J18" s="42">
        <f t="shared" ca="1" si="3"/>
        <v>0</v>
      </c>
      <c r="K18" s="43">
        <f t="shared" ca="1" si="0"/>
        <v>9265000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4 x 16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45</v>
      </c>
      <c r="G19" s="41">
        <f ca="1">IF(ISERROR(OFFSET('HARGA SATUAN'!$I$6,MATCH(C19,'HARGA SATUAN'!$C$7:$C$1495,0),0)),"",OFFSET('HARGA SATUAN'!$I$6,MATCH(C19,'HARGA SATUAN'!$C$7:$C$1495,0),0))</f>
        <v>13500</v>
      </c>
      <c r="H19" s="42">
        <f t="shared" ca="1" si="1"/>
        <v>607500</v>
      </c>
      <c r="I19" s="42">
        <f t="shared" ca="1" si="2"/>
        <v>0</v>
      </c>
      <c r="J19" s="42">
        <f t="shared" ca="1" si="3"/>
        <v>0</v>
      </c>
      <c r="K19" s="43">
        <f t="shared" ca="1" si="0"/>
        <v>607500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5" t="s">
        <v>1008</v>
      </c>
      <c r="D168" s="535"/>
      <c r="E168" s="535"/>
      <c r="F168" s="535"/>
      <c r="G168" s="77" t="s">
        <v>9</v>
      </c>
      <c r="H168" s="55">
        <f ca="1">SUM(H14:H167)</f>
        <v>14864800</v>
      </c>
      <c r="I168" s="55">
        <f ca="1">SUM(I14:I167)</f>
        <v>0</v>
      </c>
      <c r="J168" s="55">
        <f ca="1">SUM(J14:J167)</f>
        <v>0</v>
      </c>
      <c r="K168" s="55">
        <f ca="1">SUM(K14:K167)</f>
        <v>14864800</v>
      </c>
      <c r="L168" s="44"/>
      <c r="R168" s="99"/>
      <c r="S168" s="99"/>
      <c r="T168" s="99"/>
    </row>
    <row r="169" spans="1:20" s="36" customFormat="1">
      <c r="A169" s="30"/>
      <c r="B169" s="56"/>
      <c r="C169" s="536" t="s">
        <v>462</v>
      </c>
      <c r="D169" s="536"/>
      <c r="E169" s="536"/>
      <c r="F169" s="536"/>
      <c r="G169" s="59" t="s">
        <v>9</v>
      </c>
      <c r="H169" s="60">
        <f ca="1">H168*0.1</f>
        <v>1486480</v>
      </c>
      <c r="I169" s="60">
        <f ca="1">I168*0.1</f>
        <v>0</v>
      </c>
      <c r="J169" s="60">
        <f ca="1">J168*0.1</f>
        <v>0</v>
      </c>
      <c r="K169" s="60">
        <f ca="1">K168*0.1</f>
        <v>1486480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5" t="s">
        <v>463</v>
      </c>
      <c r="D170" s="525"/>
      <c r="E170" s="525"/>
      <c r="F170" s="525"/>
      <c r="G170" s="61" t="s">
        <v>9</v>
      </c>
      <c r="H170" s="78">
        <f ca="1">SUM(H168:H169)</f>
        <v>16351280</v>
      </c>
      <c r="I170" s="78">
        <f ca="1">SUM(I168:I169)</f>
        <v>0</v>
      </c>
      <c r="J170" s="61">
        <f ca="1">SUM(J168:J169)</f>
        <v>0</v>
      </c>
      <c r="K170" s="61">
        <f ca="1">SUM(K168:K169)</f>
        <v>16351280</v>
      </c>
      <c r="L170" s="44"/>
      <c r="R170" s="99"/>
      <c r="S170" s="99"/>
      <c r="T170" s="99"/>
    </row>
    <row r="171" spans="1:20" s="36" customFormat="1">
      <c r="A171" s="30"/>
      <c r="B171" s="528" t="e">
        <f ca="1">"Terbilang : ( "&amp;L172&amp;" Rupiah )"</f>
        <v>#NAME?</v>
      </c>
      <c r="C171" s="529"/>
      <c r="D171" s="529"/>
      <c r="E171" s="529"/>
      <c r="F171" s="529"/>
      <c r="G171" s="529"/>
      <c r="H171" s="529"/>
      <c r="I171" s="529"/>
      <c r="J171" s="529"/>
      <c r="K171" s="530"/>
      <c r="L171" s="44"/>
      <c r="R171" s="58"/>
      <c r="S171" s="58"/>
      <c r="T171" s="58"/>
    </row>
    <row r="172" spans="1:20" s="36" customFormat="1">
      <c r="A172" s="30"/>
      <c r="B172" s="531"/>
      <c r="C172" s="532"/>
      <c r="D172" s="532"/>
      <c r="E172" s="532"/>
      <c r="F172" s="532"/>
      <c r="G172" s="532"/>
      <c r="H172" s="532"/>
      <c r="I172" s="532"/>
      <c r="J172" s="532"/>
      <c r="K172" s="53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6"/>
      <c r="I175" s="526"/>
      <c r="J175" s="527"/>
      <c r="K175" s="52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6"/>
      <c r="I176" s="526"/>
      <c r="J176" s="527"/>
      <c r="K176" s="52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6"/>
      <c r="I177" s="526"/>
      <c r="J177" s="527"/>
      <c r="K177" s="52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6"/>
      <c r="I182" s="526"/>
      <c r="J182" s="527"/>
      <c r="K182" s="52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SUMIFS(RAB!$F$14:$F$76,RAB!$C$14:$C$76,C224)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SUMIFS(RAB!$F$14:$F$76,RAB!$C$14:$C$76,C225)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SUMIFS(RAB!$F$14:$F$76,RAB!$C$14:$C$76,C226)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SUMIFS(RAB!$F$14:$F$76,RAB!$C$14:$C$76,C227)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SUMIFS(RAB!$F$14:$F$76,RAB!$C$14:$C$76,C228)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SUMIFS(RAB!$F$14:$F$76,RAB!$C$14:$C$76,C229)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SUMIFS(RAB!$F$14:$F$76,RAB!$C$14:$C$76,C230)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SUMIFS(RAB!$F$14:$F$76,RAB!$C$14:$C$76,C231)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SUMIFS(RAB!$F$14:$F$76,RAB!$C$14:$C$76,C232)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SUMIFS(RAB!$F$14:$F$76,RAB!$C$14:$C$76,C233)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SUMIFS(RAB!$F$14:$F$76,RAB!$C$14:$C$76,C234)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SUMIFS(RAB!$F$14:$F$76,RAB!$C$14:$C$76,C235)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SUMIFS(RAB!$F$14:$F$76,RAB!$C$14:$C$76,C236)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SUMIFS(RAB!$F$14:$F$76,RAB!$C$14:$C$76,C237)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SUMIFS(RAB!$F$14:$F$76,RAB!$C$14:$C$76,C238)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SUMIFS(RAB!$F$14:$F$76,RAB!$C$14:$C$76,C239)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SUMIFS(RAB!$F$14:$F$76,RAB!$C$14:$C$76,C240)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SUMIFS(RAB!$F$14:$F$76,RAB!$C$14:$C$76,C241)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SUMIFS(RAB!$F$14:$F$76,RAB!$C$14:$C$76,C242)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SUMIFS(RAB!$F$14:$F$76,RAB!$C$14:$C$76,C243)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SUMIFS(RAB!$F$14:$F$76,RAB!$C$14:$C$76,C244)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SUMIFS(RAB!$F$14:$F$76,RAB!$C$14:$C$76,C245)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SUMIFS(RAB!$F$14:$F$76,RAB!$C$14:$C$76,C246)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SUMIFS(RAB!$F$14:$F$76,RAB!$C$14:$C$76,C247)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SUMIFS(RAB!$F$14:$F$76,RAB!$C$14:$C$76,C248)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SUMIFS(RAB!$F$14:$F$76,RAB!$C$14:$C$76,C249)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SUMIFS(RAB!$F$14:$F$76,RAB!$C$14:$C$76,C250)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SUMIFS(RAB!$F$14:$F$76,RAB!$C$14:$C$76,C251)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SUMIFS(RAB!$F$14:$F$76,RAB!$C$14:$C$76,C252)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SUMIFS(RAB!$F$14:$F$76,RAB!$C$14:$C$76,C253)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SUMIFS(RAB!$F$14:$F$76,RAB!$C$14:$C$76,C254)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SUMIFS(RAB!$F$14:$F$76,RAB!$C$14:$C$76,C255)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SUMIFS(RAB!$F$14:$F$76,RAB!$C$14:$C$76,C256)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SUMIFS(RAB!$F$14:$F$76,RAB!$C$14:$C$76,C257)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SUMIFS(RAB!$F$14:$F$76,RAB!$C$14:$C$76,C258)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SUMIFS(RAB!$F$14:$F$76,RAB!$C$14:$C$76,C259)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SUMIFS(RAB!$F$14:$F$76,RAB!$C$14:$C$76,C260)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SUMIFS(RAB!$F$14:$F$76,RAB!$C$14:$C$76,C261)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SUMIFS(RAB!$F$14:$F$76,RAB!$C$14:$C$76,C262)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SUMIFS(RAB!$F$14:$F$76,RAB!$C$14:$C$76,C263)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SUMIFS(RAB!$F$14:$F$76,RAB!$C$14:$C$76,C264)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SUMIFS(RAB!$F$14:$F$76,RAB!$C$14:$C$76,C265)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SUMIFS(RAB!$F$14:$F$76,RAB!$C$14:$C$76,C266)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SUMIFS(RAB!$F$14:$F$76,RAB!$C$14:$C$76,C267)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SUMIFS(RAB!$F$14:$F$76,RAB!$C$14:$C$76,C268)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SUMIFS(RAB!$F$14:$F$76,RAB!$C$14:$C$76,C269)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SUMIFS(RAB!$F$14:$F$76,RAB!$C$14:$C$76,C270)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SUMIFS(RAB!$F$14:$F$76,RAB!$C$14:$C$76,C271)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SUMIFS(RAB!$F$14:$F$76,RAB!$C$14:$C$76,C272)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SUMIFS(RAB!$F$14:$F$76,RAB!$C$14:$C$76,C273)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SUMIFS(RAB!$F$14:$F$76,RAB!$C$14:$C$76,C274)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SUMIFS(RAB!$F$14:$F$76,RAB!$C$14:$C$76,C275)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SUMIFS(RAB!$F$14:$F$76,RAB!$C$14:$C$76,C276)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SUMIFS(RAB!$F$14:$F$76,RAB!$C$14:$C$76,C277)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SUMIFS(RAB!$F$14:$F$76,RAB!$C$14:$C$76,C278)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SUMIFS(RAB!$F$14:$F$76,RAB!$C$14:$C$76,C279)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SUMIFS(RAB!$F$14:$F$76,RAB!$C$14:$C$76,C280)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SUMIFS(RAB!$F$14:$F$76,RAB!$C$14:$C$76,C281)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SUMIFS(RAB!$F$14:$F$76,RAB!$C$14:$C$76,C282)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SUMIFS(RAB!$F$14:$F$76,RAB!$C$14:$C$76,C283)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SUMIFS(RAB!$F$14:$F$76,RAB!$C$14:$C$76,C284)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SUMIFS(RAB!$F$14:$F$76,RAB!$C$14:$C$76,C285)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SUMIFS(RAB!$F$14:$F$76,RAB!$C$14:$C$76,C286)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SUMIFS(RAB!$F$14:$F$76,RAB!$C$14:$C$76,C287)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SUMIFS(RAB!$F$14:$F$76,RAB!$C$14:$C$76,C288)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SUMIFS(RAB!$F$14:$F$76,RAB!$C$14:$C$76,C289)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SUMIFS(RAB!$F$14:$F$76,RAB!$C$14:$C$76,C290)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SUMIFS(RAB!$F$14:$F$76,RAB!$C$14:$C$76,C291)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SUMIFS(RAB!$F$14:$F$76,RAB!$C$14:$C$76,C292)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SUMIFS(RAB!$F$14:$F$76,RAB!$C$14:$C$76,C293)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SUMIFS(RAB!$F$14:$F$76,RAB!$C$14:$C$76,C294)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SUMIFS(RAB!$F$14:$F$76,RAB!$C$14:$C$76,C295)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SUMIFS(RAB!$F$14:$F$76,RAB!$C$14:$C$76,C296)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SUMIFS(RAB!$F$14:$F$76,RAB!$C$14:$C$76,C297)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SUMIFS(RAB!$F$14:$F$76,RAB!$C$14:$C$76,C298)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SUMIFS(RAB!$F$14:$F$76,RAB!$C$14:$C$76,C299)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SUMIFS(RAB!$F$14:$F$76,RAB!$C$14:$C$76,C300)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SUMIFS(RAB!$F$14:$F$76,RAB!$C$14:$C$76,C301)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SUMIFS(RAB!$F$14:$F$76,RAB!$C$14:$C$76,C302)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SUMIFS(RAB!$F$14:$F$76,RAB!$C$14:$C$76,C303)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SUMIFS(RAB!$F$14:$F$76,RAB!$C$14:$C$76,C304)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SUMIFS(RAB!$F$14:$F$76,RAB!$C$14:$C$76,C305)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SUMIFS(RAB!$F$14:$F$76,RAB!$C$14:$C$76,C306)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SUMIFS(RAB!$F$14:$F$76,RAB!$C$14:$C$76,C307)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SUMIFS(RAB!$F$14:$F$76,RAB!$C$14:$C$76,C308)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SUMIFS(RAB!$F$14:$F$76,RAB!$C$14:$C$76,C309)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SUMIFS(RAB!$F$14:$F$76,RAB!$C$14:$C$76,C310)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SUMIFS(RAB!$F$14:$F$76,RAB!$C$14:$C$76,C311)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SUMIFS(RAB!$F$14:$F$76,RAB!$C$14:$C$76,C312)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SUMIFS(RAB!$F$14:$F$76,RAB!$C$14:$C$76,C313)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SUMIFS(RAB!$F$14:$F$76,RAB!$C$14:$C$76,C314)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SUMIFS(RAB!$F$14:$F$76,RAB!$C$14:$C$76,C315)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SUMIFS(RAB!$F$14:$F$76,RAB!$C$14:$C$76,C316)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SUMIFS(RAB!$F$14:$F$76,RAB!$C$14:$C$76,C317)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SUMIFS(RAB!$F$14:$F$76,RAB!$C$14:$C$76,C318)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SUMIFS(RAB!$F$14:$F$76,RAB!$C$14:$C$76,C319)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SUMIFS(RAB!$F$14:$F$76,RAB!$C$14:$C$76,C320)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SUMIFS(RAB!$F$14:$F$76,RAB!$C$14:$C$76,C321)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SUMIFS(RAB!$F$14:$F$76,RAB!$C$14:$C$76,C322)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SUMIFS(RAB!$F$14:$F$76,RAB!$C$14:$C$76,C323)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SUMIFS(RAB!$F$14:$F$76,RAB!$C$14:$C$76,C324)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SUMIFS(RAB!$F$14:$F$76,RAB!$C$14:$C$76,C325)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SUMIFS(RAB!$F$14:$F$76,RAB!$C$14:$C$76,C326)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SUMIFS(RAB!$F$14:$F$76,RAB!$C$14:$C$76,C327)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SUMIFS(RAB!$F$14:$F$76,RAB!$C$14:$C$76,C328)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SUMIFS(RAB!$F$14:$F$76,RAB!$C$14:$C$76,C329)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SUMIFS(RAB!$F$14:$F$76,RAB!$C$14:$C$76,C330)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SUMIFS(RAB!$F$14:$F$76,RAB!$C$14:$C$76,C331)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SUMIFS(RAB!$F$14:$F$76,RAB!$C$14:$C$76,C332)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SUMIFS(RAB!$F$14:$F$76,RAB!$C$14:$C$76,C333)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SUMIFS(RAB!$F$14:$F$76,RAB!$C$14:$C$76,C334)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SUMIFS(RAB!$F$14:$F$76,RAB!$C$14:$C$76,C335)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SUMIFS(RAB!$F$14:$F$76,RAB!$C$14:$C$76,C336)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SUMIFS(RAB!$F$14:$F$76,RAB!$C$14:$C$76,C337)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SUMIFS(RAB!$F$14:$F$76,RAB!$C$14:$C$76,C338)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SUMIFS(RAB!$F$14:$F$76,RAB!$C$14:$C$76,C339)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SUMIFS(RAB!$F$14:$F$76,RAB!$C$14:$C$76,C340)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SUMIFS(RAB!$F$14:$F$76,RAB!$C$14:$C$76,C341)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SUMIFS(RAB!$F$14:$F$76,RAB!$C$14:$C$76,C342)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SUMIFS(RAB!$F$14:$F$76,RAB!$C$14:$C$76,C343)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SUMIFS(RAB!$F$14:$F$76,RAB!$C$14:$C$76,C344)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SUMIFS(RAB!$F$14:$F$76,RAB!$C$14:$C$76,C345)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SUMIFS(RAB!$F$14:$F$76,RAB!$C$14:$C$76,C346)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SUMIFS(RAB!$F$14:$F$76,RAB!$C$14:$C$76,C347)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SUMIFS(RAB!$F$14:$F$76,RAB!$C$14:$C$76,C348)</f>
        <v>170</v>
      </c>
      <c r="E348" s="24">
        <f t="shared" ca="1" si="22"/>
        <v>1</v>
      </c>
      <c r="F348" s="24">
        <f ca="1">IF(D348=0,0,SUM($E$223:E348))</f>
        <v>3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SUMIFS(RAB!$F$14:$F$76,RAB!$C$14:$C$76,C349)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SUMIFS(RAB!$F$14:$F$76,RAB!$C$14:$C$76,C350)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SUMIFS(RAB!$F$14:$F$76,RAB!$C$14:$C$76,C351)</f>
        <v>45</v>
      </c>
      <c r="E351" s="24">
        <f t="shared" ca="1" si="22"/>
        <v>1</v>
      </c>
      <c r="F351" s="24">
        <f ca="1">IF(D351=0,0,SUM($E$223:E351))</f>
        <v>4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SUMIFS(RAB!$F$14:$F$76,RAB!$C$14:$C$76,C352)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SUMIFS(RAB!$F$14:$F$76,RAB!$C$14:$C$76,C353)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SUMIFS(RAB!$F$14:$F$76,RAB!$C$14:$C$76,C354)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SUMIFS(RAB!$F$14:$F$76,RAB!$C$14:$C$76,C355)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SUMIFS(RAB!$F$14:$F$76,RAB!$C$14:$C$76,C356)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SUMIFS(RAB!$F$14:$F$76,RAB!$C$14:$C$76,C357)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SUMIFS(RAB!$F$14:$F$76,RAB!$C$14:$C$76,C358)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SUMIFS(RAB!$F$14:$F$76,RAB!$C$14:$C$76,C359)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SUMIFS(RAB!$F$14:$F$76,RAB!$C$14:$C$76,C360)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SUMIFS(RAB!$F$14:$F$76,RAB!$C$14:$C$76,C361)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SUMIFS(RAB!$F$14:$F$76,RAB!$C$14:$C$76,C362)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SUMIFS(RAB!$F$14:$F$76,RAB!$C$14:$C$76,C363)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SUMIFS(RAB!$F$14:$F$76,RAB!$C$14:$C$76,C364)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SUMIFS(RAB!$F$14:$F$76,RAB!$C$14:$C$76,C365)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SUMIFS(RAB!$F$14:$F$76,RAB!$C$14:$C$76,C366)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SUMIFS(RAB!$F$14:$F$76,RAB!$C$14:$C$76,C367)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SUMIFS(RAB!$F$14:$F$76,RAB!$C$14:$C$76,C368)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SUMIFS(RAB!$F$14:$F$76,RAB!$C$14:$C$76,C369)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SUMIFS(RAB!$F$14:$F$76,RAB!$C$14:$C$76,C370)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SUMIFS(RAB!$F$14:$F$76,RAB!$C$14:$C$76,C371)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SUMIFS(RAB!$F$14:$F$76,RAB!$C$14:$C$76,C372)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SUMIFS(RAB!$F$14:$F$76,RAB!$C$14:$C$76,C373)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5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1" sqref="C144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1599</v>
      </c>
      <c r="G4" s="108" t="s">
        <v>1598</v>
      </c>
      <c r="H4" s="552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3" priority="4" operator="equal">
      <formula>0</formula>
    </cfRule>
  </conditionalFormatting>
  <conditionalFormatting sqref="B217 D217:G217">
    <cfRule type="cellIs" dxfId="32" priority="11" operator="equal">
      <formula>0</formula>
    </cfRule>
  </conditionalFormatting>
  <conditionalFormatting sqref="B8:C135">
    <cfRule type="cellIs" dxfId="31" priority="66" operator="equal">
      <formula>0</formula>
    </cfRule>
  </conditionalFormatting>
  <conditionalFormatting sqref="B216:G216">
    <cfRule type="cellIs" dxfId="30" priority="16" operator="equal">
      <formula>0</formula>
    </cfRule>
  </conditionalFormatting>
  <conditionalFormatting sqref="B218:G1496">
    <cfRule type="cellIs" dxfId="29" priority="1" operator="equal">
      <formula>0</formula>
    </cfRule>
  </conditionalFormatting>
  <conditionalFormatting sqref="C143:G149">
    <cfRule type="cellIs" dxfId="28" priority="20" operator="equal">
      <formula>0</formula>
    </cfRule>
  </conditionalFormatting>
  <conditionalFormatting sqref="D9:G142">
    <cfRule type="cellIs" dxfId="27" priority="26" operator="equal">
      <formula>0</formula>
    </cfRule>
  </conditionalFormatting>
  <conditionalFormatting sqref="D1:IV5 A1:C7 D6:K6 H1458:IV1460 H1461:XFD1488 H1489:H1496 I1489:XFD1497 A1497:H1497 A1498:XFD65539">
    <cfRule type="cellIs" dxfId="26" priority="178" operator="equal">
      <formula>0</formula>
    </cfRule>
  </conditionalFormatting>
  <conditionalFormatting sqref="D7:IV8 C136:C142 B136:B149 B150:G213 B214:B215 D214:G215">
    <cfRule type="cellIs" dxfId="25" priority="77" operator="equal">
      <formula>0</formula>
    </cfRule>
  </conditionalFormatting>
  <conditionalFormatting sqref="H9:H1421">
    <cfRule type="cellIs" dxfId="24" priority="3" operator="equal">
      <formula>0</formula>
    </cfRule>
  </conditionalFormatting>
  <conditionalFormatting sqref="H1422:I1457">
    <cfRule type="cellIs" dxfId="23" priority="143" operator="equal">
      <formula>0</formula>
    </cfRule>
  </conditionalFormatting>
  <conditionalFormatting sqref="I108:I1421">
    <cfRule type="cellIs" dxfId="22" priority="2" operator="equal">
      <formula>0</formula>
    </cfRule>
  </conditionalFormatting>
  <conditionalFormatting sqref="I9:IV107">
    <cfRule type="cellIs" dxfId="21" priority="153" operator="equal">
      <formula>0</formula>
    </cfRule>
  </conditionalFormatting>
  <conditionalFormatting sqref="J108:IV1457">
    <cfRule type="cellIs" dxfId="20" priority="5" operator="equal">
      <formula>0</formula>
    </cfRule>
  </conditionalFormatting>
  <conditionalFormatting sqref="M6:IV6">
    <cfRule type="cellIs" dxfId="19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6" sqref="N16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0" t="s">
        <v>1453</v>
      </c>
      <c r="C2" s="560"/>
      <c r="D2" s="560"/>
      <c r="E2" s="560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5" t="s">
        <v>1528</v>
      </c>
      <c r="C4" s="566"/>
      <c r="D4" s="566"/>
      <c r="E4" s="567"/>
      <c r="F4" s="372"/>
      <c r="G4" s="372"/>
      <c r="H4" s="373"/>
      <c r="I4" s="592" t="s">
        <v>1529</v>
      </c>
      <c r="J4" s="593"/>
      <c r="K4" s="593"/>
      <c r="L4" s="594"/>
    </row>
    <row r="5" spans="1:12" ht="34.5" customHeight="1">
      <c r="A5" s="193"/>
      <c r="B5" s="375" t="s">
        <v>1378</v>
      </c>
      <c r="C5" s="224" t="s">
        <v>9</v>
      </c>
      <c r="D5" s="561" t="str">
        <f>DATA!D14</f>
        <v>PD DR AY ANDRIYAN EKO 32,5-33KVA</v>
      </c>
      <c r="E5" s="562"/>
      <c r="F5" s="197"/>
      <c r="G5" s="197"/>
      <c r="I5" s="376" t="s">
        <v>1378</v>
      </c>
      <c r="J5" s="224" t="s">
        <v>9</v>
      </c>
      <c r="K5" s="595" t="str">
        <f>D5</f>
        <v>PD DR AY ANDRIYAN EKO 32,5-33KVA</v>
      </c>
      <c r="L5" s="596"/>
    </row>
    <row r="6" spans="1:12" ht="31.5" customHeight="1">
      <c r="A6" s="193"/>
      <c r="B6" s="375" t="s">
        <v>1525</v>
      </c>
      <c r="C6" s="224" t="s">
        <v>9</v>
      </c>
      <c r="D6" s="570">
        <f>DATA!D17*1000</f>
        <v>35200</v>
      </c>
      <c r="E6" s="571"/>
      <c r="F6" s="197"/>
      <c r="G6" s="197"/>
      <c r="I6" s="376" t="s">
        <v>1526</v>
      </c>
      <c r="J6" s="224" t="s">
        <v>9</v>
      </c>
      <c r="K6" s="597">
        <f>DATA!D20*1000</f>
        <v>33000</v>
      </c>
      <c r="L6" s="598"/>
    </row>
    <row r="7" spans="1:12" ht="30.75" customHeight="1">
      <c r="A7" s="193"/>
      <c r="B7" s="375" t="s">
        <v>1440</v>
      </c>
      <c r="C7" s="224" t="s">
        <v>9</v>
      </c>
      <c r="D7" s="568">
        <f>DATA!D18</f>
        <v>3</v>
      </c>
      <c r="E7" s="569"/>
      <c r="F7" s="374" t="s">
        <v>1452</v>
      </c>
      <c r="I7" s="376" t="s">
        <v>1440</v>
      </c>
      <c r="J7" s="224" t="s">
        <v>9</v>
      </c>
      <c r="K7" s="599">
        <f>DATA!D21</f>
        <v>3</v>
      </c>
      <c r="L7" s="600"/>
    </row>
    <row r="8" spans="1:12" ht="51" customHeight="1">
      <c r="A8" s="193"/>
      <c r="B8" s="375" t="s">
        <v>1441</v>
      </c>
      <c r="C8" s="224" t="s">
        <v>9</v>
      </c>
      <c r="D8" s="568">
        <f>DATA!D19</f>
        <v>380</v>
      </c>
      <c r="E8" s="569"/>
      <c r="F8" s="374" t="s">
        <v>1452</v>
      </c>
      <c r="G8" s="369">
        <v>220</v>
      </c>
      <c r="I8" s="376" t="s">
        <v>1441</v>
      </c>
      <c r="J8" s="224" t="s">
        <v>9</v>
      </c>
      <c r="K8" s="599">
        <f>DATA!D22</f>
        <v>380</v>
      </c>
      <c r="L8" s="600"/>
    </row>
    <row r="9" spans="1:12" ht="30" customHeight="1" thickBot="1">
      <c r="A9" s="193"/>
      <c r="B9" s="381" t="s">
        <v>1537</v>
      </c>
      <c r="C9" s="371" t="s">
        <v>9</v>
      </c>
      <c r="D9" s="563">
        <f>IF(D7=1,D6/(380/3^0.5),(D6/(380*3^0.5)))</f>
        <v>53.480867040723233</v>
      </c>
      <c r="E9" s="564"/>
      <c r="F9" s="196"/>
      <c r="G9" s="370">
        <v>380</v>
      </c>
      <c r="I9" s="382" t="s">
        <v>1537</v>
      </c>
      <c r="J9" s="371" t="s">
        <v>9</v>
      </c>
      <c r="K9" s="601">
        <f>IF(K7=1,K6/(380/3^0.5),(K6/(380*3^0.5)))</f>
        <v>50.138312850678034</v>
      </c>
      <c r="L9" s="602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72" t="s">
        <v>1637</v>
      </c>
      <c r="E12" s="573"/>
      <c r="F12" s="197"/>
      <c r="G12" s="197"/>
      <c r="I12" s="398" t="s">
        <v>1530</v>
      </c>
      <c r="J12" s="399" t="s">
        <v>9</v>
      </c>
      <c r="K12" s="572" t="s">
        <v>1639</v>
      </c>
      <c r="L12" s="573"/>
    </row>
    <row r="13" spans="1:12" ht="31.5" customHeight="1">
      <c r="A13" s="193"/>
      <c r="B13" s="406" t="s">
        <v>1379</v>
      </c>
      <c r="C13" s="386" t="s">
        <v>9</v>
      </c>
      <c r="D13" s="576" t="s">
        <v>1638</v>
      </c>
      <c r="E13" s="577"/>
      <c r="F13" s="197"/>
      <c r="G13" s="197"/>
      <c r="I13" s="400" t="s">
        <v>1379</v>
      </c>
      <c r="J13" s="386" t="s">
        <v>9</v>
      </c>
      <c r="K13" s="576" t="s">
        <v>1638</v>
      </c>
      <c r="L13" s="577"/>
    </row>
    <row r="14" spans="1:12" ht="30.75" customHeight="1">
      <c r="A14" s="193"/>
      <c r="B14" s="406" t="s">
        <v>1531</v>
      </c>
      <c r="C14" s="386" t="s">
        <v>9</v>
      </c>
      <c r="D14" s="584">
        <v>50</v>
      </c>
      <c r="E14" s="585"/>
      <c r="F14" s="374" t="s">
        <v>1452</v>
      </c>
      <c r="G14" s="378">
        <v>50</v>
      </c>
      <c r="I14" s="400" t="s">
        <v>1531</v>
      </c>
      <c r="J14" s="386" t="s">
        <v>9</v>
      </c>
      <c r="K14" s="586">
        <v>50</v>
      </c>
      <c r="L14" s="587"/>
    </row>
    <row r="15" spans="1:12" ht="57" customHeight="1">
      <c r="A15" s="193"/>
      <c r="B15" s="406" t="s">
        <v>1440</v>
      </c>
      <c r="C15" s="386" t="s">
        <v>9</v>
      </c>
      <c r="D15" s="392">
        <v>1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88">
        <v>0</v>
      </c>
      <c r="E16" s="589"/>
      <c r="F16" s="374"/>
      <c r="G16" s="378">
        <v>160</v>
      </c>
      <c r="I16" s="400" t="s">
        <v>1533</v>
      </c>
      <c r="J16" s="386" t="s">
        <v>9</v>
      </c>
      <c r="K16" s="590">
        <f>K9</f>
        <v>50.138312850678034</v>
      </c>
      <c r="L16" s="591"/>
    </row>
    <row r="17" spans="1:12" ht="34.5" customHeight="1">
      <c r="A17" s="193"/>
      <c r="B17" s="406" t="s">
        <v>1534</v>
      </c>
      <c r="C17" s="386" t="s">
        <v>9</v>
      </c>
      <c r="D17" s="578">
        <f>IF(D15=1,D14/(20/3^0.5),(D14/(20*3^0.5)))</f>
        <v>4.3301270189221928</v>
      </c>
      <c r="E17" s="579"/>
      <c r="F17" s="374" t="s">
        <v>1452</v>
      </c>
      <c r="G17" s="379">
        <v>200</v>
      </c>
      <c r="I17" s="400" t="s">
        <v>1534</v>
      </c>
      <c r="J17" s="386" t="s">
        <v>9</v>
      </c>
      <c r="K17" s="582">
        <f>IF(K15=1,K14/(20/3^0.5),(K14/(20*3^0.5)))</f>
        <v>1.4433756729740645</v>
      </c>
      <c r="L17" s="583"/>
    </row>
    <row r="18" spans="1:12" ht="34.5" customHeight="1">
      <c r="A18" s="193"/>
      <c r="B18" s="406" t="s">
        <v>1535</v>
      </c>
      <c r="C18" s="386" t="s">
        <v>9</v>
      </c>
      <c r="D18" s="578">
        <f>IF(D15=1,D14/(380/3^0.5),(D14/(380*3^0.5)))*1000</f>
        <v>227.90142204853646</v>
      </c>
      <c r="E18" s="579"/>
      <c r="F18" s="374" t="s">
        <v>1452</v>
      </c>
      <c r="G18" s="379">
        <v>250</v>
      </c>
      <c r="I18" s="400" t="s">
        <v>1535</v>
      </c>
      <c r="J18" s="386" t="s">
        <v>9</v>
      </c>
      <c r="K18" s="582">
        <f>IF(K15=1,K14/(380/3^0.5),(K14/(380*3^0.5)))*1000</f>
        <v>75.96714068284551</v>
      </c>
      <c r="L18" s="583"/>
    </row>
    <row r="19" spans="1:12" ht="30" customHeight="1">
      <c r="A19" s="193"/>
      <c r="B19" s="407" t="s">
        <v>1527</v>
      </c>
      <c r="C19" s="385" t="s">
        <v>9</v>
      </c>
      <c r="D19" s="578">
        <f>IF(D15=1,D14/(380/3^0.5),(D14/(380*3^0.5)))</f>
        <v>0.22790142204853647</v>
      </c>
      <c r="E19" s="579"/>
      <c r="F19" s="196"/>
      <c r="G19" s="370"/>
      <c r="I19" s="402" t="s">
        <v>1527</v>
      </c>
      <c r="J19" s="385" t="s">
        <v>9</v>
      </c>
      <c r="K19" s="582">
        <f>IF(K15=1,K14/(380/3^0.5),(K14/(380*3^0.5)))</f>
        <v>7.5967140682845505E-2</v>
      </c>
      <c r="L19" s="583"/>
    </row>
    <row r="20" spans="1:12" ht="30" customHeight="1" thickBot="1">
      <c r="A20" s="193"/>
      <c r="B20" s="408" t="s">
        <v>1536</v>
      </c>
      <c r="C20" s="404" t="s">
        <v>9</v>
      </c>
      <c r="D20" s="574">
        <f>D16/D18</f>
        <v>0</v>
      </c>
      <c r="E20" s="575"/>
      <c r="F20" s="196"/>
      <c r="G20" s="370"/>
      <c r="I20" s="403" t="s">
        <v>1527</v>
      </c>
      <c r="J20" s="404" t="s">
        <v>9</v>
      </c>
      <c r="K20" s="580">
        <f>K16/K18</f>
        <v>0.65999999999999992</v>
      </c>
      <c r="L20" s="581"/>
    </row>
    <row r="21" spans="1:12" ht="9.75" customHeight="1">
      <c r="A21" s="193"/>
      <c r="B21" s="393" t="s">
        <v>1536</v>
      </c>
      <c r="C21" s="394" t="s">
        <v>9</v>
      </c>
      <c r="D21" s="559">
        <v>1</v>
      </c>
      <c r="E21" s="559"/>
      <c r="F21" s="395"/>
      <c r="G21" s="396"/>
      <c r="H21" s="397"/>
      <c r="I21" s="393" t="s">
        <v>1527</v>
      </c>
      <c r="J21" s="394" t="s">
        <v>9</v>
      </c>
      <c r="K21" s="559">
        <v>1</v>
      </c>
      <c r="L21" s="559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56"/>
      <c r="C24" s="557"/>
      <c r="D24" s="557"/>
      <c r="E24" s="558"/>
      <c r="I24" s="556"/>
      <c r="J24" s="557"/>
      <c r="K24" s="557"/>
      <c r="L24" s="558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6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3"/>
      <c r="C1" s="603"/>
      <c r="D1" s="603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-2.2000000000000028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-2131800.0000000028</v>
      </c>
    </row>
    <row r="10" spans="2:11" ht="20.100000000000001" customHeight="1">
      <c r="B10" s="238" t="s">
        <v>1445</v>
      </c>
      <c r="C10" s="239" t="s">
        <v>9</v>
      </c>
      <c r="D10" s="245">
        <f ca="1">RAB!K82</f>
        <v>20407831.989750002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408156.63979500002</v>
      </c>
    </row>
    <row r="12" spans="2:11" ht="9" customHeight="1">
      <c r="B12" s="604"/>
      <c r="C12" s="604"/>
      <c r="D12" s="604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DR AY ANDRIYAN EKO 32,5-33KVA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1636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35.200000000000003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3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380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33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5" t="s">
        <v>1356</v>
      </c>
      <c r="C3" s="605"/>
      <c r="D3" s="605"/>
      <c r="E3" s="605"/>
      <c r="F3" s="252" t="str">
        <f>DATA!D14</f>
        <v>PD DR AY ANDRIYAN EKO 32,5-33KVA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6" t="s">
        <v>1348</v>
      </c>
      <c r="C5" s="606" t="s">
        <v>1357</v>
      </c>
      <c r="D5" s="607" t="s">
        <v>1358</v>
      </c>
      <c r="E5" s="607" t="s">
        <v>1359</v>
      </c>
      <c r="F5" s="606" t="s">
        <v>1360</v>
      </c>
      <c r="G5" s="606"/>
      <c r="H5" s="606"/>
      <c r="I5" s="606"/>
      <c r="J5" s="606"/>
      <c r="K5" s="606" t="s">
        <v>1361</v>
      </c>
      <c r="L5" s="606"/>
      <c r="M5" s="254"/>
      <c r="N5" s="610" t="s">
        <v>1362</v>
      </c>
      <c r="O5" s="607" t="s">
        <v>1363</v>
      </c>
      <c r="P5" s="607" t="s">
        <v>1364</v>
      </c>
      <c r="Q5" s="607" t="s">
        <v>1365</v>
      </c>
      <c r="R5" s="255"/>
      <c r="S5" s="256"/>
      <c r="T5" s="608" t="s">
        <v>1366</v>
      </c>
      <c r="U5" s="257"/>
    </row>
    <row r="6" spans="1:21" ht="20.100000000000001" customHeight="1">
      <c r="B6" s="606"/>
      <c r="C6" s="606"/>
      <c r="D6" s="606"/>
      <c r="E6" s="606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1"/>
      <c r="O6" s="606"/>
      <c r="P6" s="606"/>
      <c r="Q6" s="606"/>
      <c r="R6" s="255"/>
      <c r="S6" s="256"/>
      <c r="T6" s="606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-352.00000000000045</v>
      </c>
      <c r="D7" s="263">
        <f>C7*4/24</f>
        <v>-58.666666666666742</v>
      </c>
      <c r="E7" s="263">
        <f>C7-D7</f>
        <v>-293.33333333333371</v>
      </c>
      <c r="F7" s="264">
        <f ca="1">DATA!D10/1000000</f>
        <v>20.407831989750001</v>
      </c>
      <c r="G7" s="265">
        <f ca="1">DATA!$D$11/1000000</f>
        <v>0.408156639795</v>
      </c>
      <c r="H7" s="265">
        <f>C7*DATA!$D$5/1000000</f>
        <v>-0.38161201615207813</v>
      </c>
      <c r="I7" s="265">
        <f>(C7*DATA!$D$5*DATA!$D$7)/1000000</f>
        <v>-8.586270363421758E-3</v>
      </c>
      <c r="J7" s="263">
        <f ca="1">SUM(F7:I7)</f>
        <v>20.425790343029497</v>
      </c>
      <c r="K7" s="266">
        <f>DATA!D9/1000000</f>
        <v>-2.1318000000000028</v>
      </c>
      <c r="L7" s="263">
        <f>((D7*DATA!$D$23)/1000000)+((E7*DATA!$D$24)/1000000)</f>
        <v>-0.50853440000000061</v>
      </c>
      <c r="M7" s="263">
        <f>K7+L7</f>
        <v>-2.6403344000000035</v>
      </c>
      <c r="N7" s="263">
        <f ca="1">M7-J7</f>
        <v>-23.066124743029501</v>
      </c>
      <c r="O7" s="261">
        <v>1</v>
      </c>
      <c r="P7" s="263">
        <f ca="1">O7*N7</f>
        <v>-23.066124743029501</v>
      </c>
      <c r="Q7" s="263">
        <f ca="1">P7</f>
        <v>-23.066124743029501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-1056.0000000000014</v>
      </c>
      <c r="D8" s="263">
        <f>C8*4/24</f>
        <v>-176.00000000000023</v>
      </c>
      <c r="E8" s="263">
        <f t="shared" ref="E8:E32" si="0">C8-D8</f>
        <v>-880.00000000000114</v>
      </c>
      <c r="F8" s="261"/>
      <c r="G8" s="265">
        <f ca="1">DATA!$D$11/1000000</f>
        <v>0.408156639795</v>
      </c>
      <c r="H8" s="265">
        <f>C8*DATA!$D$5/1000000</f>
        <v>-1.1448360484562341</v>
      </c>
      <c r="I8" s="265">
        <f>(C8*DATA!$D$5*DATA!$D$7)/1000000</f>
        <v>-2.5758811090265267E-2</v>
      </c>
      <c r="J8" s="263">
        <f t="shared" ref="J8:J32" ca="1" si="1">SUM(F8:I8)</f>
        <v>-0.76243821975149928</v>
      </c>
      <c r="K8" s="268"/>
      <c r="L8" s="263">
        <f>((D8*DATA!$D$23)/1000000)+((E8*DATA!$D$24)/1000000)</f>
        <v>-1.5256032000000019</v>
      </c>
      <c r="M8" s="263">
        <f t="shared" ref="M8:M32" si="2">K8+L8</f>
        <v>-1.5256032000000019</v>
      </c>
      <c r="N8" s="263">
        <f ca="1">M8-J8</f>
        <v>-0.76316498024850266</v>
      </c>
      <c r="O8" s="262">
        <f>1/(1+'[93]Asumsi I'!$C$3)^(KKF!A8)</f>
        <v>0.89285714285714279</v>
      </c>
      <c r="P8" s="263">
        <f ca="1">O8*N8</f>
        <v>-0.68139730379330588</v>
      </c>
      <c r="Q8" s="263">
        <f ca="1">Q7+P8</f>
        <v>-23.747522046822809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-1056.0000000000014</v>
      </c>
      <c r="D9" s="263">
        <f t="shared" ref="D9:D32" si="5">C9*4/24</f>
        <v>-176.00000000000023</v>
      </c>
      <c r="E9" s="263">
        <f t="shared" si="0"/>
        <v>-880.00000000000114</v>
      </c>
      <c r="F9" s="261"/>
      <c r="G9" s="265">
        <f ca="1">DATA!$D$11/1000000</f>
        <v>0.408156639795</v>
      </c>
      <c r="H9" s="265">
        <f>C9*DATA!$D$5/1000000</f>
        <v>-1.1448360484562341</v>
      </c>
      <c r="I9" s="265">
        <f>(C9*DATA!$D$5*DATA!$D$7)/1000000</f>
        <v>-2.5758811090265267E-2</v>
      </c>
      <c r="J9" s="263">
        <f t="shared" ca="1" si="1"/>
        <v>-0.76243821975149928</v>
      </c>
      <c r="K9" s="263"/>
      <c r="L9" s="263">
        <f>((D9*DATA!$D$23)/1000000)+((E9*DATA!$D$24)/1000000)</f>
        <v>-1.5256032000000019</v>
      </c>
      <c r="M9" s="263">
        <f t="shared" si="2"/>
        <v>-1.5256032000000019</v>
      </c>
      <c r="N9" s="263">
        <f t="shared" ref="N9:N32" ca="1" si="6">M9-J9</f>
        <v>-0.76316498024850266</v>
      </c>
      <c r="O9" s="269">
        <f>1/(1+'[93]Asumsi I'!$C$3)^(KKF!A9)</f>
        <v>0.79719387755102034</v>
      </c>
      <c r="P9" s="263">
        <f t="shared" ref="P9:P32" ca="1" si="7">O9*N9</f>
        <v>-0.60839044981545165</v>
      </c>
      <c r="Q9" s="263">
        <f ca="1">Q8+P9</f>
        <v>-24.355912496638261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-1056.0000000000014</v>
      </c>
      <c r="D10" s="263">
        <f t="shared" si="5"/>
        <v>-176.00000000000023</v>
      </c>
      <c r="E10" s="263">
        <f t="shared" si="0"/>
        <v>-880.00000000000114</v>
      </c>
      <c r="F10" s="261"/>
      <c r="G10" s="265">
        <f ca="1">DATA!$D$11/1000000</f>
        <v>0.408156639795</v>
      </c>
      <c r="H10" s="265">
        <f>C10*DATA!$D$5/1000000</f>
        <v>-1.1448360484562341</v>
      </c>
      <c r="I10" s="265">
        <f>(C10*DATA!$D$5*DATA!$D$7)/1000000</f>
        <v>-2.5758811090265267E-2</v>
      </c>
      <c r="J10" s="263">
        <f t="shared" ca="1" si="1"/>
        <v>-0.76243821975149928</v>
      </c>
      <c r="K10" s="261"/>
      <c r="L10" s="263">
        <f>((D10*DATA!$D$23)/1000000)+((E10*DATA!$D$24)/1000000)</f>
        <v>-1.5256032000000019</v>
      </c>
      <c r="M10" s="263">
        <f t="shared" si="2"/>
        <v>-1.5256032000000019</v>
      </c>
      <c r="N10" s="263">
        <f t="shared" ca="1" si="6"/>
        <v>-0.76316498024850266</v>
      </c>
      <c r="O10" s="262">
        <f>1/(1+'[93]Asumsi I'!$C$3)^(KKF!A10)</f>
        <v>0.71178024781341087</v>
      </c>
      <c r="P10" s="263">
        <f t="shared" ca="1" si="7"/>
        <v>-0.54320575876379606</v>
      </c>
      <c r="Q10" s="263">
        <f t="shared" ref="Q10:Q30" ca="1" si="9">Q9+P10</f>
        <v>-24.899118255402058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-1056.0000000000014</v>
      </c>
      <c r="D11" s="263">
        <f t="shared" si="5"/>
        <v>-176.00000000000023</v>
      </c>
      <c r="E11" s="263">
        <f t="shared" si="0"/>
        <v>-880.00000000000114</v>
      </c>
      <c r="F11" s="261"/>
      <c r="G11" s="265">
        <f ca="1">DATA!$D$11/1000000</f>
        <v>0.408156639795</v>
      </c>
      <c r="H11" s="265">
        <f>C11*DATA!$D$5/1000000</f>
        <v>-1.1448360484562341</v>
      </c>
      <c r="I11" s="265">
        <f>(C11*DATA!$D$5*DATA!$D$7)/1000000</f>
        <v>-2.5758811090265267E-2</v>
      </c>
      <c r="J11" s="263">
        <f t="shared" ca="1" si="1"/>
        <v>-0.76243821975149928</v>
      </c>
      <c r="K11" s="261"/>
      <c r="L11" s="263">
        <f>((D11*DATA!$D$23)/1000000)+((E11*DATA!$D$24)/1000000)</f>
        <v>-1.5256032000000019</v>
      </c>
      <c r="M11" s="263">
        <f t="shared" si="2"/>
        <v>-1.5256032000000019</v>
      </c>
      <c r="N11" s="263">
        <f t="shared" ca="1" si="6"/>
        <v>-0.76316498024850266</v>
      </c>
      <c r="O11" s="262">
        <f>1/(1+'[93]Asumsi I'!$C$3)^(KKF!A11)</f>
        <v>0.63551807840483121</v>
      </c>
      <c r="P11" s="263">
        <f t="shared" ca="1" si="7"/>
        <v>-0.48500514175338938</v>
      </c>
      <c r="Q11" s="263">
        <f t="shared" ca="1" si="9"/>
        <v>-25.384123397155449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-1056.0000000000014</v>
      </c>
      <c r="D12" s="263">
        <f t="shared" si="5"/>
        <v>-176.00000000000023</v>
      </c>
      <c r="E12" s="263">
        <f t="shared" si="0"/>
        <v>-880.00000000000114</v>
      </c>
      <c r="F12" s="261"/>
      <c r="G12" s="265">
        <f ca="1">DATA!$D$11/1000000</f>
        <v>0.408156639795</v>
      </c>
      <c r="H12" s="265">
        <f>C12*DATA!$D$5/1000000</f>
        <v>-1.1448360484562341</v>
      </c>
      <c r="I12" s="265">
        <f>(C12*DATA!$D$5*DATA!$D$7)/1000000</f>
        <v>-2.5758811090265267E-2</v>
      </c>
      <c r="J12" s="263">
        <f t="shared" ca="1" si="1"/>
        <v>-0.76243821975149928</v>
      </c>
      <c r="K12" s="261"/>
      <c r="L12" s="263">
        <f>((D12*DATA!$D$23)/1000000)+((E12*DATA!$D$24)/1000000)</f>
        <v>-1.5256032000000019</v>
      </c>
      <c r="M12" s="263">
        <f t="shared" si="2"/>
        <v>-1.5256032000000019</v>
      </c>
      <c r="N12" s="263">
        <f t="shared" ca="1" si="6"/>
        <v>-0.76316498024850266</v>
      </c>
      <c r="O12" s="262">
        <f>1/(1+'[93]Asumsi I'!$C$3)^(KKF!A12)</f>
        <v>0.56742685571859919</v>
      </c>
      <c r="P12" s="263">
        <f t="shared" ca="1" si="7"/>
        <v>-0.43304030513695474</v>
      </c>
      <c r="Q12" s="263">
        <f t="shared" ca="1" si="9"/>
        <v>-25.817163702292405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-1056.0000000000014</v>
      </c>
      <c r="D13" s="263">
        <f t="shared" si="5"/>
        <v>-176.00000000000023</v>
      </c>
      <c r="E13" s="263">
        <f t="shared" si="0"/>
        <v>-880.00000000000114</v>
      </c>
      <c r="F13" s="261"/>
      <c r="G13" s="265">
        <f ca="1">DATA!$D$11/1000000</f>
        <v>0.408156639795</v>
      </c>
      <c r="H13" s="265">
        <f>C13*DATA!$D$5/1000000</f>
        <v>-1.1448360484562341</v>
      </c>
      <c r="I13" s="265">
        <f>(C13*DATA!$D$5*DATA!$D$7)/1000000</f>
        <v>-2.5758811090265267E-2</v>
      </c>
      <c r="J13" s="263">
        <f t="shared" ca="1" si="1"/>
        <v>-0.76243821975149928</v>
      </c>
      <c r="K13" s="261"/>
      <c r="L13" s="263">
        <f>((D13*DATA!$D$23)/1000000)+((E13*DATA!$D$24)/1000000)</f>
        <v>-1.5256032000000019</v>
      </c>
      <c r="M13" s="263">
        <f t="shared" si="2"/>
        <v>-1.5256032000000019</v>
      </c>
      <c r="N13" s="263">
        <f t="shared" ca="1" si="6"/>
        <v>-0.76316498024850266</v>
      </c>
      <c r="O13" s="262">
        <f>1/(1+'[93]Asumsi I'!$C$3)^(KKF!A13)</f>
        <v>0.50663112117732068</v>
      </c>
      <c r="P13" s="263">
        <f t="shared" ca="1" si="7"/>
        <v>-0.38664312958656671</v>
      </c>
      <c r="Q13" s="263">
        <f t="shared" ca="1" si="9"/>
        <v>-26.203806831878971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-1056.0000000000014</v>
      </c>
      <c r="D14" s="263">
        <f t="shared" si="5"/>
        <v>-176.00000000000023</v>
      </c>
      <c r="E14" s="263">
        <f t="shared" si="0"/>
        <v>-880.00000000000114</v>
      </c>
      <c r="F14" s="261"/>
      <c r="G14" s="265">
        <f ca="1">DATA!$D$11/1000000</f>
        <v>0.408156639795</v>
      </c>
      <c r="H14" s="265">
        <f>C14*DATA!$D$5/1000000</f>
        <v>-1.1448360484562341</v>
      </c>
      <c r="I14" s="265">
        <f>(C14*DATA!$D$5*DATA!$D$7)/1000000</f>
        <v>-2.5758811090265267E-2</v>
      </c>
      <c r="J14" s="263">
        <f t="shared" ca="1" si="1"/>
        <v>-0.76243821975149928</v>
      </c>
      <c r="K14" s="261"/>
      <c r="L14" s="263">
        <f>((D14*DATA!$D$23)/1000000)+((E14*DATA!$D$24)/1000000)</f>
        <v>-1.5256032000000019</v>
      </c>
      <c r="M14" s="263">
        <f t="shared" si="2"/>
        <v>-1.5256032000000019</v>
      </c>
      <c r="N14" s="263">
        <f t="shared" ca="1" si="6"/>
        <v>-0.76316498024850266</v>
      </c>
      <c r="O14" s="262">
        <f>1/(1+'[93]Asumsi I'!$C$3)^(KKF!A14)</f>
        <v>0.45234921533689343</v>
      </c>
      <c r="P14" s="263">
        <f t="shared" ca="1" si="7"/>
        <v>-0.34521707998800594</v>
      </c>
      <c r="Q14" s="263">
        <f t="shared" ca="1" si="9"/>
        <v>-26.549023911866978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-1056.0000000000014</v>
      </c>
      <c r="D15" s="263">
        <f t="shared" si="5"/>
        <v>-176.00000000000023</v>
      </c>
      <c r="E15" s="263">
        <f t="shared" si="0"/>
        <v>-880.00000000000114</v>
      </c>
      <c r="F15" s="261"/>
      <c r="G15" s="265">
        <f ca="1">DATA!$D$11/1000000</f>
        <v>0.408156639795</v>
      </c>
      <c r="H15" s="265">
        <f>C15*DATA!$D$5/1000000</f>
        <v>-1.1448360484562341</v>
      </c>
      <c r="I15" s="265">
        <f>(C15*DATA!$D$5*DATA!$D$7)/1000000</f>
        <v>-2.5758811090265267E-2</v>
      </c>
      <c r="J15" s="263">
        <f t="shared" ca="1" si="1"/>
        <v>-0.76243821975149928</v>
      </c>
      <c r="K15" s="261"/>
      <c r="L15" s="263">
        <f>((D15*DATA!$D$23)/1000000)+((E15*DATA!$D$24)/1000000)</f>
        <v>-1.5256032000000019</v>
      </c>
      <c r="M15" s="263">
        <f t="shared" si="2"/>
        <v>-1.5256032000000019</v>
      </c>
      <c r="N15" s="263">
        <f t="shared" ca="1" si="6"/>
        <v>-0.76316498024850266</v>
      </c>
      <c r="O15" s="262">
        <f>1/(1+'[93]Asumsi I'!$C$3)^(KKF!A15)</f>
        <v>0.4038832279793691</v>
      </c>
      <c r="P15" s="263">
        <f t="shared" ca="1" si="7"/>
        <v>-0.3082295357035767</v>
      </c>
      <c r="Q15" s="263">
        <f t="shared" ca="1" si="9"/>
        <v>-26.857253447570557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-1056.0000000000014</v>
      </c>
      <c r="D16" s="263">
        <f t="shared" si="5"/>
        <v>-176.00000000000023</v>
      </c>
      <c r="E16" s="263">
        <f t="shared" si="0"/>
        <v>-880.00000000000114</v>
      </c>
      <c r="F16" s="261"/>
      <c r="G16" s="265">
        <f ca="1">DATA!$D$11/1000000</f>
        <v>0.408156639795</v>
      </c>
      <c r="H16" s="265">
        <f>C16*DATA!$D$5/1000000</f>
        <v>-1.1448360484562341</v>
      </c>
      <c r="I16" s="265">
        <f>(C16*DATA!$D$5*DATA!$D$7)/1000000</f>
        <v>-2.5758811090265267E-2</v>
      </c>
      <c r="J16" s="263">
        <f t="shared" ca="1" si="1"/>
        <v>-0.76243821975149928</v>
      </c>
      <c r="K16" s="261"/>
      <c r="L16" s="263">
        <f>((D16*DATA!$D$23)/1000000)+((E16*DATA!$D$24)/1000000)</f>
        <v>-1.5256032000000019</v>
      </c>
      <c r="M16" s="263">
        <f t="shared" si="2"/>
        <v>-1.5256032000000019</v>
      </c>
      <c r="N16" s="263">
        <f t="shared" ca="1" si="6"/>
        <v>-0.76316498024850266</v>
      </c>
      <c r="O16" s="262">
        <f>1/(1+'[93]Asumsi I'!$C$3)^(KKF!A16)</f>
        <v>0.36061002498157957</v>
      </c>
      <c r="P16" s="263">
        <f t="shared" ca="1" si="7"/>
        <v>-0.27520494259247924</v>
      </c>
      <c r="Q16" s="263">
        <f t="shared" ca="1" si="9"/>
        <v>-27.132458390163038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-1056.0000000000014</v>
      </c>
      <c r="D17" s="263">
        <f t="shared" si="5"/>
        <v>-176.00000000000023</v>
      </c>
      <c r="E17" s="263">
        <f t="shared" si="0"/>
        <v>-880.00000000000114</v>
      </c>
      <c r="F17" s="261"/>
      <c r="G17" s="265">
        <f ca="1">DATA!$D$11/1000000</f>
        <v>0.408156639795</v>
      </c>
      <c r="H17" s="265">
        <f>C17*DATA!$D$5/1000000</f>
        <v>-1.1448360484562341</v>
      </c>
      <c r="I17" s="265">
        <f>(C17*DATA!$D$5*DATA!$D$7)/1000000</f>
        <v>-2.5758811090265267E-2</v>
      </c>
      <c r="J17" s="263">
        <f t="shared" ca="1" si="1"/>
        <v>-0.76243821975149928</v>
      </c>
      <c r="K17" s="261"/>
      <c r="L17" s="263">
        <f>((D17*DATA!$D$23)/1000000)+((E17*DATA!$D$24)/1000000)</f>
        <v>-1.5256032000000019</v>
      </c>
      <c r="M17" s="263">
        <f t="shared" si="2"/>
        <v>-1.5256032000000019</v>
      </c>
      <c r="N17" s="263">
        <f t="shared" ca="1" si="6"/>
        <v>-0.76316498024850266</v>
      </c>
      <c r="O17" s="262">
        <f>1/(1+'[93]Asumsi I'!$C$3)^(KKF!A17)</f>
        <v>0.32197323659069599</v>
      </c>
      <c r="P17" s="263">
        <f t="shared" ca="1" si="7"/>
        <v>-0.24571869874328497</v>
      </c>
      <c r="Q17" s="263">
        <f t="shared" ca="1" si="9"/>
        <v>-27.378177088906323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-1056.0000000000014</v>
      </c>
      <c r="D18" s="263">
        <f t="shared" si="5"/>
        <v>-176.00000000000023</v>
      </c>
      <c r="E18" s="263">
        <f t="shared" si="0"/>
        <v>-880.00000000000114</v>
      </c>
      <c r="F18" s="261"/>
      <c r="G18" s="265">
        <f ca="1">DATA!$D$11/1000000</f>
        <v>0.408156639795</v>
      </c>
      <c r="H18" s="265">
        <f>C18*DATA!$D$5/1000000</f>
        <v>-1.1448360484562341</v>
      </c>
      <c r="I18" s="265">
        <f>(C18*DATA!$D$5*DATA!$D$7)/1000000</f>
        <v>-2.5758811090265267E-2</v>
      </c>
      <c r="J18" s="263">
        <f t="shared" ca="1" si="1"/>
        <v>-0.76243821975149928</v>
      </c>
      <c r="K18" s="261"/>
      <c r="L18" s="263">
        <f>((D18*DATA!$D$23)/1000000)+((E18*DATA!$D$24)/1000000)</f>
        <v>-1.5256032000000019</v>
      </c>
      <c r="M18" s="263">
        <f t="shared" si="2"/>
        <v>-1.5256032000000019</v>
      </c>
      <c r="N18" s="263">
        <f t="shared" ca="1" si="6"/>
        <v>-0.76316498024850266</v>
      </c>
      <c r="O18" s="262">
        <f>1/(1+'[93]Asumsi I'!$C$3)^(KKF!A18)</f>
        <v>0.28747610409883567</v>
      </c>
      <c r="P18" s="263">
        <f t="shared" ca="1" si="7"/>
        <v>-0.21939169530650443</v>
      </c>
      <c r="Q18" s="263">
        <f t="shared" ca="1" si="9"/>
        <v>-27.597568784212829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-1056.0000000000014</v>
      </c>
      <c r="D19" s="263">
        <f t="shared" si="5"/>
        <v>-176.00000000000023</v>
      </c>
      <c r="E19" s="263">
        <f t="shared" si="0"/>
        <v>-880.00000000000114</v>
      </c>
      <c r="F19" s="261"/>
      <c r="G19" s="265">
        <f ca="1">DATA!$D$11/1000000</f>
        <v>0.408156639795</v>
      </c>
      <c r="H19" s="265">
        <f>C19*DATA!$D$5/1000000</f>
        <v>-1.1448360484562341</v>
      </c>
      <c r="I19" s="265">
        <f>(C19*DATA!$D$5*DATA!$D$7)/1000000</f>
        <v>-2.5758811090265267E-2</v>
      </c>
      <c r="J19" s="263">
        <f t="shared" ca="1" si="1"/>
        <v>-0.76243821975149928</v>
      </c>
      <c r="K19" s="261"/>
      <c r="L19" s="263">
        <f>((D19*DATA!$D$23)/1000000)+((E19*DATA!$D$24)/1000000)</f>
        <v>-1.5256032000000019</v>
      </c>
      <c r="M19" s="263">
        <f t="shared" si="2"/>
        <v>-1.5256032000000019</v>
      </c>
      <c r="N19" s="263">
        <f t="shared" ca="1" si="6"/>
        <v>-0.76316498024850266</v>
      </c>
      <c r="O19" s="262">
        <f>1/(1+'[93]Asumsi I'!$C$3)^(KKF!A19)</f>
        <v>0.25667509294538904</v>
      </c>
      <c r="P19" s="263">
        <f t="shared" ca="1" si="7"/>
        <v>-0.1958854422379504</v>
      </c>
      <c r="Q19" s="263">
        <f t="shared" ca="1" si="9"/>
        <v>-27.79345422645078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-1056.0000000000014</v>
      </c>
      <c r="D20" s="263">
        <f t="shared" si="5"/>
        <v>-176.00000000000023</v>
      </c>
      <c r="E20" s="263">
        <f t="shared" si="0"/>
        <v>-880.00000000000114</v>
      </c>
      <c r="F20" s="261"/>
      <c r="G20" s="265">
        <f ca="1">DATA!$D$11/1000000</f>
        <v>0.408156639795</v>
      </c>
      <c r="H20" s="265">
        <f>C20*DATA!$D$5/1000000</f>
        <v>-1.1448360484562341</v>
      </c>
      <c r="I20" s="265">
        <f>(C20*DATA!$D$5*DATA!$D$7)/1000000</f>
        <v>-2.5758811090265267E-2</v>
      </c>
      <c r="J20" s="263">
        <f t="shared" ca="1" si="1"/>
        <v>-0.76243821975149928</v>
      </c>
      <c r="K20" s="261"/>
      <c r="L20" s="263">
        <f>((D20*DATA!$D$23)/1000000)+((E20*DATA!$D$24)/1000000)</f>
        <v>-1.5256032000000019</v>
      </c>
      <c r="M20" s="263">
        <f t="shared" si="2"/>
        <v>-1.5256032000000019</v>
      </c>
      <c r="N20" s="263">
        <f t="shared" ca="1" si="6"/>
        <v>-0.76316498024850266</v>
      </c>
      <c r="O20" s="262">
        <f>1/(1+'[93]Asumsi I'!$C$3)^(KKF!A20)</f>
        <v>0.22917419012981158</v>
      </c>
      <c r="P20" s="263">
        <f t="shared" ca="1" si="7"/>
        <v>-0.17489771628388426</v>
      </c>
      <c r="Q20" s="263">
        <f t="shared" ca="1" si="9"/>
        <v>-27.968351942734664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-1056.0000000000014</v>
      </c>
      <c r="D21" s="263">
        <f t="shared" si="5"/>
        <v>-176.00000000000023</v>
      </c>
      <c r="E21" s="263">
        <f t="shared" si="0"/>
        <v>-880.00000000000114</v>
      </c>
      <c r="F21" s="261"/>
      <c r="G21" s="265">
        <f ca="1">DATA!$D$11/1000000</f>
        <v>0.408156639795</v>
      </c>
      <c r="H21" s="265">
        <f>C21*DATA!$D$5/1000000</f>
        <v>-1.1448360484562341</v>
      </c>
      <c r="I21" s="265">
        <f>(C21*DATA!$D$5*DATA!$D$7)/1000000</f>
        <v>-2.5758811090265267E-2</v>
      </c>
      <c r="J21" s="263">
        <f t="shared" ca="1" si="1"/>
        <v>-0.76243821975149928</v>
      </c>
      <c r="K21" s="261"/>
      <c r="L21" s="263">
        <f>((D21*DATA!$D$23)/1000000)+((E21*DATA!$D$24)/1000000)</f>
        <v>-1.5256032000000019</v>
      </c>
      <c r="M21" s="263">
        <f t="shared" si="2"/>
        <v>-1.5256032000000019</v>
      </c>
      <c r="N21" s="263">
        <f t="shared" ca="1" si="6"/>
        <v>-0.76316498024850266</v>
      </c>
      <c r="O21" s="262">
        <f>1/(1+'[93]Asumsi I'!$C$3)^(KKF!A21)</f>
        <v>0.20461981261590317</v>
      </c>
      <c r="P21" s="263">
        <f t="shared" ca="1" si="7"/>
        <v>-0.15615867525346805</v>
      </c>
      <c r="Q21" s="263">
        <f t="shared" ca="1" si="9"/>
        <v>-28.124510617988133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-1056.0000000000014</v>
      </c>
      <c r="D22" s="263">
        <f t="shared" si="5"/>
        <v>-176.00000000000023</v>
      </c>
      <c r="E22" s="263">
        <f t="shared" si="0"/>
        <v>-880.00000000000114</v>
      </c>
      <c r="F22" s="261"/>
      <c r="G22" s="265">
        <f ca="1">DATA!$D$11/1000000</f>
        <v>0.408156639795</v>
      </c>
      <c r="H22" s="265">
        <f>C22*DATA!$D$5/1000000</f>
        <v>-1.1448360484562341</v>
      </c>
      <c r="I22" s="265">
        <f>(C22*DATA!$D$5*DATA!$D$7)/1000000</f>
        <v>-2.5758811090265267E-2</v>
      </c>
      <c r="J22" s="263">
        <f t="shared" ca="1" si="1"/>
        <v>-0.76243821975149928</v>
      </c>
      <c r="K22" s="261"/>
      <c r="L22" s="263">
        <f>((D22*DATA!$D$23)/1000000)+((E22*DATA!$D$24)/1000000)</f>
        <v>-1.5256032000000019</v>
      </c>
      <c r="M22" s="263">
        <f t="shared" si="2"/>
        <v>-1.5256032000000019</v>
      </c>
      <c r="N22" s="263">
        <f t="shared" ca="1" si="6"/>
        <v>-0.76316498024850266</v>
      </c>
      <c r="O22" s="262">
        <f>1/(1+'[93]Asumsi I'!$C$3)^(KKF!A22)</f>
        <v>0.18269626126419927</v>
      </c>
      <c r="P22" s="263">
        <f t="shared" ca="1" si="7"/>
        <v>-0.13942738861916792</v>
      </c>
      <c r="Q22" s="263">
        <f t="shared" ca="1" si="9"/>
        <v>-28.263938006607301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-1056.0000000000014</v>
      </c>
      <c r="D23" s="263">
        <f t="shared" si="5"/>
        <v>-176.00000000000023</v>
      </c>
      <c r="E23" s="263">
        <f t="shared" si="0"/>
        <v>-880.00000000000114</v>
      </c>
      <c r="F23" s="261"/>
      <c r="G23" s="265">
        <f ca="1">DATA!$D$11/1000000</f>
        <v>0.408156639795</v>
      </c>
      <c r="H23" s="265">
        <f>C23*DATA!$D$5/1000000</f>
        <v>-1.1448360484562341</v>
      </c>
      <c r="I23" s="265">
        <f>(C23*DATA!$D$5*DATA!$D$7)/1000000</f>
        <v>-2.5758811090265267E-2</v>
      </c>
      <c r="J23" s="263">
        <f t="shared" ca="1" si="1"/>
        <v>-0.76243821975149928</v>
      </c>
      <c r="K23" s="261"/>
      <c r="L23" s="263">
        <f>((D23*DATA!$D$23)/1000000)+((E23*DATA!$D$24)/1000000)</f>
        <v>-1.5256032000000019</v>
      </c>
      <c r="M23" s="263">
        <f t="shared" si="2"/>
        <v>-1.5256032000000019</v>
      </c>
      <c r="N23" s="263">
        <f t="shared" ca="1" si="6"/>
        <v>-0.76316498024850266</v>
      </c>
      <c r="O23" s="262">
        <f>1/(1+'[93]Asumsi I'!$C$3)^(KKF!A23)</f>
        <v>0.16312166184303503</v>
      </c>
      <c r="P23" s="263">
        <f t="shared" ca="1" si="7"/>
        <v>-0.12448873983854276</v>
      </c>
      <c r="Q23" s="263">
        <f t="shared" ca="1" si="9"/>
        <v>-28.388426746445845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-1056.0000000000014</v>
      </c>
      <c r="D24" s="263">
        <f t="shared" si="5"/>
        <v>-176.00000000000023</v>
      </c>
      <c r="E24" s="263">
        <f t="shared" si="0"/>
        <v>-880.00000000000114</v>
      </c>
      <c r="F24" s="261"/>
      <c r="G24" s="265">
        <f ca="1">DATA!$D$11/1000000</f>
        <v>0.408156639795</v>
      </c>
      <c r="H24" s="265">
        <f>C24*DATA!$D$5/1000000</f>
        <v>-1.1448360484562341</v>
      </c>
      <c r="I24" s="265">
        <f>(C24*DATA!$D$5*DATA!$D$7)/1000000</f>
        <v>-2.5758811090265267E-2</v>
      </c>
      <c r="J24" s="263">
        <f t="shared" ca="1" si="1"/>
        <v>-0.76243821975149928</v>
      </c>
      <c r="K24" s="261"/>
      <c r="L24" s="263">
        <f>((D24*DATA!$D$23)/1000000)+((E24*DATA!$D$24)/1000000)</f>
        <v>-1.5256032000000019</v>
      </c>
      <c r="M24" s="263">
        <f t="shared" si="2"/>
        <v>-1.5256032000000019</v>
      </c>
      <c r="N24" s="263">
        <f t="shared" ca="1" si="6"/>
        <v>-0.76316498024850266</v>
      </c>
      <c r="O24" s="262">
        <f>1/(1+'[93]Asumsi I'!$C$3)^(KKF!A24)</f>
        <v>0.14564434093128129</v>
      </c>
      <c r="P24" s="263">
        <f t="shared" ca="1" si="7"/>
        <v>-0.11115066057012747</v>
      </c>
      <c r="Q24" s="263">
        <f t="shared" ca="1" si="9"/>
        <v>-28.499577407015973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-1056.0000000000014</v>
      </c>
      <c r="D25" s="263">
        <f t="shared" si="5"/>
        <v>-176.00000000000023</v>
      </c>
      <c r="E25" s="263">
        <f t="shared" si="0"/>
        <v>-880.00000000000114</v>
      </c>
      <c r="F25" s="261"/>
      <c r="G25" s="265">
        <f ca="1">DATA!$D$11/1000000</f>
        <v>0.408156639795</v>
      </c>
      <c r="H25" s="265">
        <f>C25*DATA!$D$5/1000000</f>
        <v>-1.1448360484562341</v>
      </c>
      <c r="I25" s="265">
        <f>(C25*DATA!$D$5*DATA!$D$7)/1000000</f>
        <v>-2.5758811090265267E-2</v>
      </c>
      <c r="J25" s="263">
        <f t="shared" ca="1" si="1"/>
        <v>-0.76243821975149928</v>
      </c>
      <c r="K25" s="261"/>
      <c r="L25" s="263">
        <f>((D25*DATA!$D$23)/1000000)+((E25*DATA!$D$24)/1000000)</f>
        <v>-1.5256032000000019</v>
      </c>
      <c r="M25" s="263">
        <f t="shared" si="2"/>
        <v>-1.5256032000000019</v>
      </c>
      <c r="N25" s="263">
        <f t="shared" ca="1" si="6"/>
        <v>-0.76316498024850266</v>
      </c>
      <c r="O25" s="262">
        <f>1/(1+'[93]Asumsi I'!$C$3)^(KKF!A25)</f>
        <v>0.13003959011721541</v>
      </c>
      <c r="P25" s="263">
        <f t="shared" ca="1" si="7"/>
        <v>-9.9241661223328087E-2</v>
      </c>
      <c r="Q25" s="263">
        <f t="shared" ca="1" si="9"/>
        <v>-28.598819068239301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-1056.0000000000014</v>
      </c>
      <c r="D26" s="263">
        <f t="shared" si="5"/>
        <v>-176.00000000000023</v>
      </c>
      <c r="E26" s="263">
        <f t="shared" si="0"/>
        <v>-880.00000000000114</v>
      </c>
      <c r="F26" s="261"/>
      <c r="G26" s="265">
        <f ca="1">DATA!$D$11/1000000</f>
        <v>0.408156639795</v>
      </c>
      <c r="H26" s="265">
        <f>C26*DATA!$D$5/1000000</f>
        <v>-1.1448360484562341</v>
      </c>
      <c r="I26" s="265">
        <f>(C26*DATA!$D$5*DATA!$D$7)/1000000</f>
        <v>-2.5758811090265267E-2</v>
      </c>
      <c r="J26" s="263">
        <f t="shared" ca="1" si="1"/>
        <v>-0.76243821975149928</v>
      </c>
      <c r="K26" s="261"/>
      <c r="L26" s="263">
        <f>((D26*DATA!$D$23)/1000000)+((E26*DATA!$D$24)/1000000)</f>
        <v>-1.5256032000000019</v>
      </c>
      <c r="M26" s="263">
        <f t="shared" si="2"/>
        <v>-1.5256032000000019</v>
      </c>
      <c r="N26" s="263">
        <f t="shared" ca="1" si="6"/>
        <v>-0.76316498024850266</v>
      </c>
      <c r="O26" s="262">
        <f>1/(1+'[93]Asumsi I'!$C$3)^(KKF!A26)</f>
        <v>0.1161067768903709</v>
      </c>
      <c r="P26" s="263">
        <f t="shared" ca="1" si="7"/>
        <v>-8.8608626092257212E-2</v>
      </c>
      <c r="Q26" s="263">
        <f t="shared" ca="1" si="9"/>
        <v>-28.687427694331557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-1056.0000000000014</v>
      </c>
      <c r="D27" s="263">
        <f t="shared" si="5"/>
        <v>-176.00000000000023</v>
      </c>
      <c r="E27" s="263">
        <f t="shared" si="0"/>
        <v>-880.00000000000114</v>
      </c>
      <c r="F27" s="261"/>
      <c r="G27" s="265">
        <f ca="1">DATA!$D$11/1000000</f>
        <v>0.408156639795</v>
      </c>
      <c r="H27" s="265">
        <f>C27*DATA!$D$5/1000000</f>
        <v>-1.1448360484562341</v>
      </c>
      <c r="I27" s="265">
        <f>(C27*DATA!$D$5*DATA!$D$7)/1000000</f>
        <v>-2.5758811090265267E-2</v>
      </c>
      <c r="J27" s="263">
        <f t="shared" ca="1" si="1"/>
        <v>-0.76243821975149928</v>
      </c>
      <c r="K27" s="261"/>
      <c r="L27" s="263">
        <f>((D27*DATA!$D$23)/1000000)+((E27*DATA!$D$24)/1000000)</f>
        <v>-1.5256032000000019</v>
      </c>
      <c r="M27" s="263">
        <f t="shared" si="2"/>
        <v>-1.5256032000000019</v>
      </c>
      <c r="N27" s="263">
        <f t="shared" ca="1" si="6"/>
        <v>-0.76316498024850266</v>
      </c>
      <c r="O27" s="262">
        <f>1/(1+'[93]Asumsi I'!$C$3)^(KKF!A27)</f>
        <v>0.1036667650806883</v>
      </c>
      <c r="P27" s="263">
        <f t="shared" ca="1" si="7"/>
        <v>-7.9114844725229644E-2</v>
      </c>
      <c r="Q27" s="263">
        <f t="shared" ca="1" si="9"/>
        <v>-28.766542539056786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-1056.0000000000014</v>
      </c>
      <c r="D28" s="263">
        <f t="shared" si="5"/>
        <v>-176.00000000000023</v>
      </c>
      <c r="E28" s="263">
        <f t="shared" si="0"/>
        <v>-880.00000000000114</v>
      </c>
      <c r="F28" s="261"/>
      <c r="G28" s="265">
        <f ca="1">DATA!$D$11/1000000</f>
        <v>0.408156639795</v>
      </c>
      <c r="H28" s="265">
        <f>C28*DATA!$D$5/1000000</f>
        <v>-1.1448360484562341</v>
      </c>
      <c r="I28" s="265">
        <f>(C28*DATA!$D$5*DATA!$D$7)/1000000</f>
        <v>-2.5758811090265267E-2</v>
      </c>
      <c r="J28" s="263">
        <f t="shared" ca="1" si="1"/>
        <v>-0.76243821975149928</v>
      </c>
      <c r="K28" s="261"/>
      <c r="L28" s="263">
        <f>((D28*DATA!$D$23)/1000000)+((E28*DATA!$D$24)/1000000)</f>
        <v>-1.5256032000000019</v>
      </c>
      <c r="M28" s="263">
        <f t="shared" si="2"/>
        <v>-1.5256032000000019</v>
      </c>
      <c r="N28" s="263">
        <f t="shared" ca="1" si="6"/>
        <v>-0.76316498024850266</v>
      </c>
      <c r="O28" s="262">
        <f>1/(1+'[93]Asumsi I'!$C$3)^(KKF!A28)</f>
        <v>9.2559611679185971E-2</v>
      </c>
      <c r="P28" s="263">
        <f t="shared" ca="1" si="7"/>
        <v>-7.0638254218955032E-2</v>
      </c>
      <c r="Q28" s="263">
        <f t="shared" ca="1" si="9"/>
        <v>-28.837180793275742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-1056.0000000000014</v>
      </c>
      <c r="D29" s="263">
        <f t="shared" si="5"/>
        <v>-176.00000000000023</v>
      </c>
      <c r="E29" s="263">
        <f t="shared" si="0"/>
        <v>-880.00000000000114</v>
      </c>
      <c r="F29" s="261"/>
      <c r="G29" s="265">
        <f ca="1">DATA!$D$11/1000000</f>
        <v>0.408156639795</v>
      </c>
      <c r="H29" s="265">
        <f>C29*DATA!$D$5/1000000</f>
        <v>-1.1448360484562341</v>
      </c>
      <c r="I29" s="265">
        <f>(C29*DATA!$D$5*DATA!$D$7)/1000000</f>
        <v>-2.5758811090265267E-2</v>
      </c>
      <c r="J29" s="263">
        <f t="shared" ca="1" si="1"/>
        <v>-0.76243821975149928</v>
      </c>
      <c r="K29" s="261"/>
      <c r="L29" s="263">
        <f>((D29*DATA!$D$23)/1000000)+((E29*DATA!$D$24)/1000000)</f>
        <v>-1.5256032000000019</v>
      </c>
      <c r="M29" s="263">
        <f t="shared" si="2"/>
        <v>-1.5256032000000019</v>
      </c>
      <c r="N29" s="263">
        <f t="shared" ca="1" si="6"/>
        <v>-0.76316498024850266</v>
      </c>
      <c r="O29" s="262">
        <f>1/(1+'[93]Asumsi I'!$C$3)^(KKF!A29)</f>
        <v>8.2642510427844609E-2</v>
      </c>
      <c r="P29" s="263">
        <f t="shared" ca="1" si="7"/>
        <v>-6.3069869838352707E-2</v>
      </c>
      <c r="Q29" s="263">
        <f t="shared" ca="1" si="9"/>
        <v>-28.900250663114093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-1056.0000000000014</v>
      </c>
      <c r="D30" s="263">
        <f t="shared" si="5"/>
        <v>-176.00000000000023</v>
      </c>
      <c r="E30" s="263">
        <f t="shared" si="0"/>
        <v>-880.00000000000114</v>
      </c>
      <c r="F30" s="261"/>
      <c r="G30" s="265">
        <f ca="1">DATA!$D$11/1000000</f>
        <v>0.408156639795</v>
      </c>
      <c r="H30" s="265">
        <f>C30*DATA!$D$5/1000000</f>
        <v>-1.1448360484562341</v>
      </c>
      <c r="I30" s="265">
        <f>(C30*DATA!$D$5*DATA!$D$7)/1000000</f>
        <v>-2.5758811090265267E-2</v>
      </c>
      <c r="J30" s="263">
        <f t="shared" ca="1" si="1"/>
        <v>-0.76243821975149928</v>
      </c>
      <c r="K30" s="261"/>
      <c r="L30" s="263">
        <f>((D30*DATA!$D$23)/1000000)+((E30*DATA!$D$24)/1000000)</f>
        <v>-1.5256032000000019</v>
      </c>
      <c r="M30" s="263">
        <f t="shared" si="2"/>
        <v>-1.5256032000000019</v>
      </c>
      <c r="N30" s="263">
        <f t="shared" ca="1" si="6"/>
        <v>-0.76316498024850266</v>
      </c>
      <c r="O30" s="262">
        <f>1/(1+'[93]Asumsi I'!$C$3)^(KKF!A30)</f>
        <v>7.3787955739146982E-2</v>
      </c>
      <c r="P30" s="263">
        <f t="shared" ca="1" si="7"/>
        <v>-5.6312383784243497E-2</v>
      </c>
      <c r="Q30" s="263">
        <f t="shared" ca="1" si="9"/>
        <v>-28.956563046898335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-1056.0000000000014</v>
      </c>
      <c r="D31" s="263">
        <f t="shared" si="5"/>
        <v>-176.00000000000023</v>
      </c>
      <c r="E31" s="263">
        <f t="shared" si="0"/>
        <v>-880.00000000000114</v>
      </c>
      <c r="F31" s="261"/>
      <c r="G31" s="265">
        <f ca="1">DATA!$D$11/1000000</f>
        <v>0.408156639795</v>
      </c>
      <c r="H31" s="265">
        <f>C31*DATA!$D$5/1000000</f>
        <v>-1.1448360484562341</v>
      </c>
      <c r="I31" s="265">
        <f>(C31*DATA!$D$5*DATA!$D$7)/1000000</f>
        <v>-2.5758811090265267E-2</v>
      </c>
      <c r="J31" s="263">
        <f t="shared" ca="1" si="1"/>
        <v>-0.76243821975149928</v>
      </c>
      <c r="K31" s="261"/>
      <c r="L31" s="263">
        <f>((D31*DATA!$D$23)/1000000)+((E31*DATA!$D$24)/1000000)</f>
        <v>-1.5256032000000019</v>
      </c>
      <c r="M31" s="263">
        <f t="shared" si="2"/>
        <v>-1.5256032000000019</v>
      </c>
      <c r="N31" s="263">
        <f t="shared" ca="1" si="6"/>
        <v>-0.76316498024850266</v>
      </c>
      <c r="O31" s="262">
        <f>1/(1+'[93]Asumsi I'!$C$3)^(KKF!A31)</f>
        <v>6.5882103338524081E-2</v>
      </c>
      <c r="P31" s="263">
        <f t="shared" ca="1" si="7"/>
        <v>-5.0278914093074542E-2</v>
      </c>
      <c r="Q31" s="263">
        <f ca="1">Q30+P31</f>
        <v>-29.006841960991409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-1056.0000000000014</v>
      </c>
      <c r="D32" s="263">
        <f t="shared" si="5"/>
        <v>-176.00000000000023</v>
      </c>
      <c r="E32" s="263">
        <f t="shared" si="0"/>
        <v>-880.00000000000114</v>
      </c>
      <c r="F32" s="261"/>
      <c r="G32" s="265">
        <f ca="1">DATA!$D$11/1000000</f>
        <v>0.408156639795</v>
      </c>
      <c r="H32" s="265">
        <f>C32*DATA!$D$5/1000000</f>
        <v>-1.1448360484562341</v>
      </c>
      <c r="I32" s="265">
        <f>(C32*DATA!$D$5*DATA!$D$7)/1000000</f>
        <v>-2.5758811090265267E-2</v>
      </c>
      <c r="J32" s="263">
        <f t="shared" ca="1" si="1"/>
        <v>-0.76243821975149928</v>
      </c>
      <c r="K32" s="261"/>
      <c r="L32" s="263">
        <f>((D32*DATA!$D$23)/1000000)+((E32*DATA!$D$24)/1000000)</f>
        <v>-1.5256032000000019</v>
      </c>
      <c r="M32" s="263">
        <f t="shared" si="2"/>
        <v>-1.5256032000000019</v>
      </c>
      <c r="N32" s="263">
        <f t="shared" ca="1" si="6"/>
        <v>-0.76316498024850266</v>
      </c>
      <c r="O32" s="262">
        <f>1/(1+'[93]Asumsi I'!$C$3)^(KKF!A32)</f>
        <v>5.8823306552253637E-2</v>
      </c>
      <c r="P32" s="263">
        <f t="shared" ca="1" si="7"/>
        <v>-4.4891887583102266E-2</v>
      </c>
      <c r="Q32" s="263">
        <f ca="1">Q31+P32</f>
        <v>-29.051733848574511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9" t="s">
        <v>1373</v>
      </c>
      <c r="G33" s="609"/>
      <c r="H33" s="609"/>
      <c r="I33" s="271"/>
      <c r="J33" s="272">
        <f ca="1">SUM(J7:J32)</f>
        <v>1.3648348492420128</v>
      </c>
      <c r="K33" s="609" t="s">
        <v>1374</v>
      </c>
      <c r="L33" s="609"/>
      <c r="M33" s="272">
        <f>SUM(M7:M32)</f>
        <v>-40.780414400000048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-26.764580230579277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-29.8793765580123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-25.93904807908438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97"/>
  <sheetViews>
    <sheetView showGridLines="0" zoomScale="70" zoomScaleNormal="70" zoomScaleSheetLayoutView="70" workbookViewId="0">
      <pane ySplit="13" topLeftCell="A78" activePane="bottomLeft" state="frozen"/>
      <selection activeCell="H1093" sqref="H1093"/>
      <selection pane="bottomLeft" activeCell="F76" sqref="F76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2" t="s">
        <v>1036</v>
      </c>
      <c r="P3" s="612"/>
      <c r="Q3" s="293"/>
      <c r="T3" s="291"/>
      <c r="U3" s="292" t="s">
        <v>1041</v>
      </c>
      <c r="V3" s="291"/>
    </row>
    <row r="4" spans="1:22" ht="15.75" customHeight="1">
      <c r="B4" s="613" t="s">
        <v>1023</v>
      </c>
      <c r="C4" s="613"/>
      <c r="D4" s="613"/>
      <c r="E4" s="613"/>
      <c r="F4" s="613"/>
      <c r="G4" s="613"/>
      <c r="H4" s="613"/>
      <c r="I4" s="613"/>
      <c r="J4" s="613"/>
      <c r="K4" s="613"/>
      <c r="O4" s="612"/>
      <c r="P4" s="61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9" t="s">
        <v>1633</v>
      </c>
      <c r="H6" s="630"/>
      <c r="I6" s="630"/>
      <c r="J6" s="630"/>
      <c r="K6" s="630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1634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5" t="s">
        <v>0</v>
      </c>
      <c r="C11" s="617" t="s">
        <v>1</v>
      </c>
      <c r="D11" s="620" t="s">
        <v>42</v>
      </c>
      <c r="E11" s="620" t="s">
        <v>43</v>
      </c>
      <c r="F11" s="620" t="s">
        <v>2</v>
      </c>
      <c r="G11" s="622" t="s">
        <v>41</v>
      </c>
      <c r="H11" s="620" t="s">
        <v>3</v>
      </c>
      <c r="I11" s="620"/>
      <c r="J11" s="620"/>
      <c r="K11" s="640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16"/>
      <c r="C12" s="618"/>
      <c r="D12" s="621"/>
      <c r="E12" s="621"/>
      <c r="F12" s="621"/>
      <c r="G12" s="623"/>
      <c r="H12" s="625" t="s">
        <v>46</v>
      </c>
      <c r="I12" s="625" t="s">
        <v>5</v>
      </c>
      <c r="J12" s="621" t="s">
        <v>47</v>
      </c>
      <c r="K12" s="641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16"/>
      <c r="C13" s="619"/>
      <c r="D13" s="621"/>
      <c r="E13" s="621"/>
      <c r="F13" s="621"/>
      <c r="G13" s="624"/>
      <c r="H13" s="626"/>
      <c r="I13" s="626"/>
      <c r="J13" s="621"/>
      <c r="K13" s="641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31" ca="1" si="4">IF(OR(D15="MDU",D15="MDU-KD"),(IF($O$3="RAB NON MDU","PLN KD",G15*F15)),0)</f>
        <v>0</v>
      </c>
      <c r="I15" s="308">
        <f t="shared" ref="I15:I31" ca="1" si="5">IF(D15="HDW",G15*F15,0)</f>
        <v>0</v>
      </c>
      <c r="J15" s="308">
        <f t="shared" ref="J15:J31" ca="1" si="6">IF(D15="JASA",G15*F15,0)</f>
        <v>0</v>
      </c>
      <c r="K15" s="309">
        <f t="shared" ref="K15:K31" ca="1" si="7">SUM(H15:J15)</f>
        <v>0</v>
      </c>
      <c r="L15" s="289"/>
      <c r="M15" s="289" t="str">
        <f t="shared" ref="M15:M18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417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 t="str">
        <f ca="1">IF(AND(F17&gt;0,F16=0),"",IF(AND(ISBLANK(F17)=FALSE,K17=0),"WARNING",""))</f>
        <v/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18" t="s">
        <v>1601</v>
      </c>
      <c r="C18" s="421" t="s">
        <v>1605</v>
      </c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4"/>
        <v>0</v>
      </c>
      <c r="I18" s="308">
        <f t="shared" ca="1" si="5"/>
        <v>0</v>
      </c>
      <c r="J18" s="308">
        <f t="shared" ca="1" si="6"/>
        <v>0</v>
      </c>
      <c r="K18" s="309">
        <f t="shared" ca="1" si="7"/>
        <v>0</v>
      </c>
      <c r="L18" s="289"/>
      <c r="M18" s="289" t="str">
        <f t="shared" ca="1" si="8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512" t="s">
        <v>1035</v>
      </c>
      <c r="C19" s="513" t="s">
        <v>1625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>Unit</v>
      </c>
      <c r="F19" s="451">
        <v>4</v>
      </c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7"/>
        <v>0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12">
        <v>1</v>
      </c>
      <c r="C20" s="513" t="s">
        <v>595</v>
      </c>
      <c r="D20" s="305" t="str">
        <f ca="1">IF(ISERROR(OFFSET('HARGA SATUAN'!$D$6,MATCH(RAB!C20,'HARGA SATUAN'!$C$7:$C$1495,0),0)),"",OFFSET('HARGA SATUAN'!$D$6,MATCH(RAB!C20,'HARGA SATUAN'!$C$7:$C$1495,0),0))</f>
        <v>HDW</v>
      </c>
      <c r="E20" s="306" t="str">
        <f ca="1">IF(B20="+","Unit",IF(ISERROR(OFFSET('HARGA SATUAN'!$E$6,MATCH(RAB!C20,'HARGA SATUAN'!$C$7:$C$1495,0),0)),"",OFFSET('HARGA SATUAN'!$E$6,MATCH(RAB!C20,'HARGA SATUAN'!$C$7:$C$1495,0),0)))</f>
        <v>Bh</v>
      </c>
      <c r="F20" s="451">
        <f>F19*1</f>
        <v>4</v>
      </c>
      <c r="G20" s="307">
        <f ca="1">IF(ISERROR(OFFSET('HARGA SATUAN'!$I$6,MATCH(RAB!C20,'HARGA SATUAN'!$C$7:$C$1495,0),0)),0,OFFSET('HARGA SATUAN'!$I$6,MATCH(RAB!C20,'HARGA SATUAN'!$C$7:$C$1495,0),0))</f>
        <v>78500</v>
      </c>
      <c r="H20" s="308">
        <f t="shared" ca="1" si="4"/>
        <v>0</v>
      </c>
      <c r="I20" s="308">
        <f t="shared" ca="1" si="5"/>
        <v>314000</v>
      </c>
      <c r="J20" s="308">
        <f t="shared" ca="1" si="6"/>
        <v>0</v>
      </c>
      <c r="K20" s="309">
        <f t="shared" ca="1" si="7"/>
        <v>314000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12">
        <v>2</v>
      </c>
      <c r="C21" s="513" t="s">
        <v>229</v>
      </c>
      <c r="D21" s="305" t="str">
        <f ca="1">IF(ISERROR(OFFSET('HARGA SATUAN'!$D$6,MATCH(RAB!C21,'HARGA SATUAN'!$C$7:$C$1495,0),0)),"",OFFSET('HARGA SATUAN'!$D$6,MATCH(RAB!C21,'HARGA SATUAN'!$C$7:$C$1495,0),0))</f>
        <v>HDW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1">
        <f>F19*1</f>
        <v>4</v>
      </c>
      <c r="G21" s="307">
        <f ca="1">IF(ISERROR(OFFSET('HARGA SATUAN'!$I$6,MATCH(RAB!C21,'HARGA SATUAN'!$C$7:$C$1495,0),0)),0,OFFSET('HARGA SATUAN'!$I$6,MATCH(RAB!C21,'HARGA SATUAN'!$C$7:$C$1495,0),0))</f>
        <v>4212</v>
      </c>
      <c r="H21" s="308">
        <f t="shared" ca="1" si="4"/>
        <v>0</v>
      </c>
      <c r="I21" s="308">
        <f t="shared" ca="1" si="5"/>
        <v>16848</v>
      </c>
      <c r="J21" s="308">
        <f t="shared" ca="1" si="6"/>
        <v>0</v>
      </c>
      <c r="K21" s="309">
        <f t="shared" ca="1" si="7"/>
        <v>16848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2">
        <v>3</v>
      </c>
      <c r="C22" s="513" t="s">
        <v>266</v>
      </c>
      <c r="D22" s="305" t="str">
        <f ca="1">IF(ISERROR(OFFSET('HARGA SATUAN'!$D$6,MATCH(RAB!C22,'HARGA SATUAN'!$C$7:$C$1495,0),0)),"",OFFSET('HARGA SATUAN'!$D$6,MATCH(RAB!C22,'HARGA SATUAN'!$C$7:$C$1495,0),0))</f>
        <v>HDW</v>
      </c>
      <c r="E22" s="306" t="str">
        <f ca="1">IF(B22="+","Unit",IF(ISERROR(OFFSET('HARGA SATUAN'!$E$6,MATCH(RAB!C22,'HARGA SATUAN'!$C$7:$C$1495,0),0)),"",OFFSET('HARGA SATUAN'!$E$6,MATCH(RAB!C22,'HARGA SATUAN'!$C$7:$C$1495,0),0)))</f>
        <v>Mtr</v>
      </c>
      <c r="F22" s="451">
        <f>F19*1</f>
        <v>4</v>
      </c>
      <c r="G22" s="307">
        <f ca="1">IF(ISERROR(OFFSET('HARGA SATUAN'!$I$6,MATCH(RAB!C22,'HARGA SATUAN'!$C$7:$C$1495,0),0)),0,OFFSET('HARGA SATUAN'!$I$6,MATCH(RAB!C22,'HARGA SATUAN'!$C$7:$C$1495,0),0))</f>
        <v>23310</v>
      </c>
      <c r="H22" s="308">
        <f t="shared" ca="1" si="4"/>
        <v>0</v>
      </c>
      <c r="I22" s="308">
        <f t="shared" ca="1" si="5"/>
        <v>93240</v>
      </c>
      <c r="J22" s="308">
        <f t="shared" ca="1" si="6"/>
        <v>0</v>
      </c>
      <c r="K22" s="309">
        <f t="shared" ca="1" si="7"/>
        <v>93240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12">
        <v>4</v>
      </c>
      <c r="C23" s="513" t="s">
        <v>35</v>
      </c>
      <c r="D23" s="305" t="str">
        <f ca="1">IF(ISERROR(OFFSET('HARGA SATUAN'!$D$6,MATCH(RAB!C23,'HARGA SATUAN'!$C$7:$C$1495,0),0)),"",OFFSET('HARGA SATUAN'!$D$6,MATCH(RAB!C23,'HARGA SATUAN'!$C$7:$C$1495,0),0))</f>
        <v>HDW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51">
        <f>F19*1</f>
        <v>4</v>
      </c>
      <c r="G23" s="307">
        <f ca="1">IF(ISERROR(OFFSET('HARGA SATUAN'!$I$6,MATCH(RAB!C23,'HARGA SATUAN'!$C$7:$C$1495,0),0)),0,OFFSET('HARGA SATUAN'!$I$6,MATCH(RAB!C23,'HARGA SATUAN'!$C$7:$C$1495,0),0))</f>
        <v>2300</v>
      </c>
      <c r="H23" s="308">
        <f t="shared" ca="1" si="4"/>
        <v>0</v>
      </c>
      <c r="I23" s="308">
        <f t="shared" ca="1" si="5"/>
        <v>9200</v>
      </c>
      <c r="J23" s="308">
        <f t="shared" ca="1" si="6"/>
        <v>0</v>
      </c>
      <c r="K23" s="309">
        <f t="shared" ca="1" si="7"/>
        <v>9200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12">
        <v>5</v>
      </c>
      <c r="C24" s="513" t="s">
        <v>630</v>
      </c>
      <c r="D24" s="305" t="str">
        <f ca="1">IF(ISERROR(OFFSET('HARGA SATUAN'!$D$6,MATCH(RAB!C24,'HARGA SATUAN'!$C$7:$C$1495,0),0)),"",OFFSET('HARGA SATUAN'!$D$6,MATCH(RAB!C24,'HARGA SATUAN'!$C$7:$C$1495,0),0))</f>
        <v>JASA</v>
      </c>
      <c r="E24" s="306" t="str">
        <f ca="1">IF(B24="+","Unit",IF(ISERROR(OFFSET('HARGA SATUAN'!$E$6,MATCH(RAB!C24,'HARGA SATUAN'!$C$7:$C$1495,0),0)),"",OFFSET('HARGA SATUAN'!$E$6,MATCH(RAB!C24,'HARGA SATUAN'!$C$7:$C$1495,0),0)))</f>
        <v>Unit</v>
      </c>
      <c r="F24" s="451">
        <f>F19*1</f>
        <v>4</v>
      </c>
      <c r="G24" s="307">
        <f ca="1">IF(ISERROR(OFFSET('HARGA SATUAN'!$I$6,MATCH(RAB!C24,'HARGA SATUAN'!$C$7:$C$1495,0),0)),0,OFFSET('HARGA SATUAN'!$I$6,MATCH(RAB!C24,'HARGA SATUAN'!$C$7:$C$1495,0),0))</f>
        <v>35700</v>
      </c>
      <c r="H24" s="308">
        <f t="shared" ca="1" si="4"/>
        <v>0</v>
      </c>
      <c r="I24" s="308">
        <f t="shared" ca="1" si="5"/>
        <v>0</v>
      </c>
      <c r="J24" s="308">
        <f t="shared" ca="1" si="6"/>
        <v>142800</v>
      </c>
      <c r="K24" s="309">
        <f t="shared" ca="1" si="7"/>
        <v>142800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12"/>
      <c r="C25" s="513"/>
      <c r="D25" s="305" t="str">
        <f ca="1">IF(ISERROR(OFFSET('HARGA SATUAN'!$D$6,MATCH(RAB!C25,'HARGA SATUAN'!$C$7:$C$1495,0),0)),"",OFFSET('HARGA SATUAN'!$D$6,MATCH(RAB!C25,'HARGA SATUAN'!$C$7:$C$1495,0),0))</f>
        <v/>
      </c>
      <c r="E25" s="306" t="str">
        <f ca="1">IF(B25="+","Unit",IF(ISERROR(OFFSET('HARGA SATUAN'!$E$6,MATCH(RAB!C25,'HARGA SATUAN'!$C$7:$C$1495,0),0)),"",OFFSET('HARGA SATUAN'!$E$6,MATCH(RAB!C25,'HARGA SATUAN'!$C$7:$C$1495,0),0)))</f>
        <v/>
      </c>
      <c r="F25" s="451"/>
      <c r="G25" s="307">
        <f ca="1">IF(ISERROR(OFFSET('HARGA SATUAN'!$I$6,MATCH(RAB!C25,'HARGA SATUAN'!$C$7:$C$1495,0),0)),0,OFFSET('HARGA SATUAN'!$I$6,MATCH(RAB!C25,'HARGA SATUAN'!$C$7:$C$1495,0),0))</f>
        <v>0</v>
      </c>
      <c r="H25" s="308">
        <f t="shared" ca="1" si="4"/>
        <v>0</v>
      </c>
      <c r="I25" s="308">
        <f t="shared" ca="1" si="5"/>
        <v>0</v>
      </c>
      <c r="J25" s="308">
        <f t="shared" ca="1" si="6"/>
        <v>0</v>
      </c>
      <c r="K25" s="309">
        <f t="shared" ca="1" si="7"/>
        <v>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15" t="s">
        <v>1035</v>
      </c>
      <c r="C26" s="716" t="s">
        <v>1629</v>
      </c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>Unit</v>
      </c>
      <c r="F26" s="451">
        <v>1</v>
      </c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4"/>
        <v>0</v>
      </c>
      <c r="I26" s="308">
        <f t="shared" ca="1" si="5"/>
        <v>0</v>
      </c>
      <c r="J26" s="308">
        <f t="shared" ca="1" si="6"/>
        <v>0</v>
      </c>
      <c r="K26" s="309">
        <f t="shared" ca="1" si="7"/>
        <v>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15">
        <v>1</v>
      </c>
      <c r="C27" s="716" t="s">
        <v>229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1">
        <f>F26*1</f>
        <v>1</v>
      </c>
      <c r="G27" s="307">
        <f ca="1">IF(ISERROR(OFFSET('HARGA SATUAN'!$I$6,MATCH(RAB!C27,'HARGA SATUAN'!$C$7:$C$1495,0),0)),0,OFFSET('HARGA SATUAN'!$I$6,MATCH(RAB!C27,'HARGA SATUAN'!$C$7:$C$1495,0),0))</f>
        <v>4212</v>
      </c>
      <c r="H27" s="308">
        <f t="shared" ca="1" si="4"/>
        <v>0</v>
      </c>
      <c r="I27" s="308">
        <f t="shared" ca="1" si="5"/>
        <v>4212</v>
      </c>
      <c r="J27" s="308">
        <f t="shared" ca="1" si="6"/>
        <v>0</v>
      </c>
      <c r="K27" s="309">
        <f t="shared" ca="1" si="7"/>
        <v>4212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15">
        <v>2</v>
      </c>
      <c r="C28" s="716" t="s">
        <v>266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Mtr</v>
      </c>
      <c r="F28" s="451">
        <f>F26*1</f>
        <v>1</v>
      </c>
      <c r="G28" s="307">
        <f ca="1">IF(ISERROR(OFFSET('HARGA SATUAN'!$I$6,MATCH(RAB!C28,'HARGA SATUAN'!$C$7:$C$1495,0),0)),0,OFFSET('HARGA SATUAN'!$I$6,MATCH(RAB!C28,'HARGA SATUAN'!$C$7:$C$1495,0),0))</f>
        <v>23310</v>
      </c>
      <c r="H28" s="308">
        <f t="shared" ca="1" si="4"/>
        <v>0</v>
      </c>
      <c r="I28" s="308">
        <f t="shared" ca="1" si="5"/>
        <v>23310</v>
      </c>
      <c r="J28" s="308">
        <f t="shared" ca="1" si="6"/>
        <v>0</v>
      </c>
      <c r="K28" s="309">
        <f t="shared" ca="1" si="7"/>
        <v>23310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15">
        <v>3</v>
      </c>
      <c r="C29" s="716" t="s">
        <v>35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1">
        <f>F26*1</f>
        <v>1</v>
      </c>
      <c r="G29" s="307">
        <f ca="1">IF(ISERROR(OFFSET('HARGA SATUAN'!$I$6,MATCH(RAB!C29,'HARGA SATUAN'!$C$7:$C$1495,0),0)),0,OFFSET('HARGA SATUAN'!$I$6,MATCH(RAB!C29,'HARGA SATUAN'!$C$7:$C$1495,0),0))</f>
        <v>2300</v>
      </c>
      <c r="H29" s="308">
        <f t="shared" ca="1" si="4"/>
        <v>0</v>
      </c>
      <c r="I29" s="308">
        <f t="shared" ca="1" si="5"/>
        <v>2300</v>
      </c>
      <c r="J29" s="308">
        <f t="shared" ca="1" si="6"/>
        <v>0</v>
      </c>
      <c r="K29" s="309">
        <f t="shared" ca="1" si="7"/>
        <v>2300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15">
        <v>4</v>
      </c>
      <c r="C30" s="716" t="s">
        <v>609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1">
        <f>F26*1</f>
        <v>1</v>
      </c>
      <c r="G30" s="307">
        <f ca="1">IF(ISERROR(OFFSET('HARGA SATUAN'!$I$6,MATCH(RAB!C30,'HARGA SATUAN'!$C$7:$C$1495,0),0)),0,OFFSET('HARGA SATUAN'!$I$6,MATCH(RAB!C30,'HARGA SATUAN'!$C$7:$C$1495,0),0))</f>
        <v>71000</v>
      </c>
      <c r="H30" s="308">
        <f t="shared" ca="1" si="4"/>
        <v>0</v>
      </c>
      <c r="I30" s="308">
        <f t="shared" ca="1" si="5"/>
        <v>71000</v>
      </c>
      <c r="J30" s="308">
        <f t="shared" ca="1" si="6"/>
        <v>0</v>
      </c>
      <c r="K30" s="309">
        <f t="shared" ca="1" si="7"/>
        <v>71000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15">
        <v>5</v>
      </c>
      <c r="C31" s="716" t="s">
        <v>629</v>
      </c>
      <c r="D31" s="305" t="str">
        <f ca="1">IF(ISERROR(OFFSET('HARGA SATUAN'!$D$6,MATCH(RAB!C31,'HARGA SATUAN'!$C$7:$C$1495,0),0)),"",OFFSET('HARGA SATUAN'!$D$6,MATCH(RAB!C31,'HARGA SATUAN'!$C$7:$C$1495,0),0))</f>
        <v>JASA</v>
      </c>
      <c r="E31" s="306" t="str">
        <f ca="1">IF(B31="+","Unit",IF(ISERROR(OFFSET('HARGA SATUAN'!$E$6,MATCH(RAB!C31,'HARGA SATUAN'!$C$7:$C$1495,0),0)),"",OFFSET('HARGA SATUAN'!$E$6,MATCH(RAB!C31,'HARGA SATUAN'!$C$7:$C$1495,0),0)))</f>
        <v>Unit</v>
      </c>
      <c r="F31" s="451">
        <f>F26*1</f>
        <v>1</v>
      </c>
      <c r="G31" s="307">
        <f ca="1">IF(ISERROR(OFFSET('HARGA SATUAN'!$I$6,MATCH(RAB!C31,'HARGA SATUAN'!$C$7:$C$1495,0),0)),0,OFFSET('HARGA SATUAN'!$I$6,MATCH(RAB!C31,'HARGA SATUAN'!$C$7:$C$1495,0),0))</f>
        <v>29400</v>
      </c>
      <c r="H31" s="308">
        <f t="shared" ca="1" si="4"/>
        <v>0</v>
      </c>
      <c r="I31" s="308">
        <f t="shared" ca="1" si="5"/>
        <v>0</v>
      </c>
      <c r="J31" s="308">
        <f t="shared" ca="1" si="6"/>
        <v>29400</v>
      </c>
      <c r="K31" s="309">
        <f t="shared" ca="1" si="7"/>
        <v>29400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20"/>
      <c r="C32" s="417"/>
      <c r="D32" s="305" t="str">
        <f ca="1">IF(ISERROR(OFFSET('HARGA SATUAN'!$D$6,MATCH(RAB!C32,'HARGA SATUAN'!$C$7:$C$1495,0),0)),"",OFFSET('HARGA SATUAN'!$D$6,MATCH(RAB!C32,'HARGA SATUAN'!$C$7:$C$1495,0),0))</f>
        <v/>
      </c>
      <c r="E32" s="306" t="str">
        <f ca="1">IF(B32="+","Unit",IF(ISERROR(OFFSET('HARGA SATUAN'!$E$6,MATCH(RAB!C32,'HARGA SATUAN'!$C$7:$C$1495,0),0)),"",OFFSET('HARGA SATUAN'!$E$6,MATCH(RAB!C32,'HARGA SATUAN'!$C$7:$C$1495,0),0)))</f>
        <v/>
      </c>
      <c r="F32" s="451"/>
      <c r="G32" s="307">
        <f ca="1">IF(ISERROR(OFFSET('HARGA SATUAN'!$I$6,MATCH(RAB!C32,'HARGA SATUAN'!$C$7:$C$1495,0),0)),0,OFFSET('HARGA SATUAN'!$I$6,MATCH(RAB!C32,'HARGA SATUAN'!$C$7:$C$1495,0),0))</f>
        <v>0</v>
      </c>
      <c r="H32" s="308">
        <f t="shared" ref="H32:H53" ca="1" si="9">IF(OR(D32="MDU",D32="MDU-KD"),(IF($O$3="RAB NON MDU","PLN KD",G32*F32)),0)</f>
        <v>0</v>
      </c>
      <c r="I32" s="308">
        <f t="shared" ref="I32:I53" ca="1" si="10">IF(D32="HDW",G32*F32,0)</f>
        <v>0</v>
      </c>
      <c r="J32" s="308">
        <f t="shared" ref="J32:J53" ca="1" si="11">IF(D32="JASA",G32*F32,0)</f>
        <v>0</v>
      </c>
      <c r="K32" s="309">
        <f t="shared" ref="K32:K53" ca="1" si="12">SUM(H32:J32)</f>
        <v>0</v>
      </c>
      <c r="L32" s="316"/>
      <c r="M32" s="289" t="e">
        <f>IF(AND(F32&gt;0,#REF!=0),"",IF(AND(ISBLANK(F32)=FALSE,K32=0),"WARNING",""))</f>
        <v>#REF!</v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 hidden="1">
      <c r="A33" s="283"/>
      <c r="B33" s="420">
        <v>10</v>
      </c>
      <c r="C33" s="417" t="s">
        <v>1615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3"/>
      <c r="G33" s="307">
        <f ca="1">IF(ISERROR(OFFSET('HARGA SATUAN'!$I$6,MATCH(RAB!C33,'HARGA SATUAN'!$C$7:$C$1495,0),0)),0,OFFSET('HARGA SATUAN'!$I$6,MATCH(RAB!C33,'HARGA SATUAN'!$C$7:$C$1495,0),0))</f>
        <v>49000</v>
      </c>
      <c r="H33" s="308">
        <f t="shared" ca="1" si="9"/>
        <v>0</v>
      </c>
      <c r="I33" s="308">
        <f t="shared" ca="1" si="10"/>
        <v>0</v>
      </c>
      <c r="J33" s="308">
        <f t="shared" ca="1" si="11"/>
        <v>0</v>
      </c>
      <c r="K33" s="309">
        <f t="shared" ca="1" si="12"/>
        <v>0</v>
      </c>
      <c r="L33" s="316"/>
      <c r="M33" s="289" t="str">
        <f t="shared" ref="M33:M73" ca="1" si="13">IF(AND(F33&gt;0,F32=0),"",IF(AND(ISBLANK(F33)=FALSE,K33=0),"WARNING",""))</f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 hidden="1">
      <c r="A34" s="283"/>
      <c r="B34" s="449"/>
      <c r="C34" s="450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53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9"/>
        <v>0</v>
      </c>
      <c r="I34" s="308">
        <f t="shared" ca="1" si="10"/>
        <v>0</v>
      </c>
      <c r="J34" s="308">
        <f t="shared" ca="1" si="11"/>
        <v>0</v>
      </c>
      <c r="K34" s="309">
        <f t="shared" ca="1" si="12"/>
        <v>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 hidden="1">
      <c r="A35" s="283"/>
      <c r="B35" s="449"/>
      <c r="C35" s="450"/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/>
      </c>
      <c r="F35" s="453"/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9"/>
        <v>0</v>
      </c>
      <c r="I35" s="308">
        <f t="shared" ca="1" si="10"/>
        <v>0</v>
      </c>
      <c r="J35" s="308">
        <f t="shared" ca="1" si="11"/>
        <v>0</v>
      </c>
      <c r="K35" s="309">
        <f t="shared" ca="1" si="12"/>
        <v>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 hidden="1">
      <c r="A36" s="283"/>
      <c r="B36" s="449"/>
      <c r="C36" s="450"/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/>
      </c>
      <c r="F36" s="453"/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ca="1" si="9"/>
        <v>0</v>
      </c>
      <c r="I36" s="308">
        <f t="shared" ca="1" si="10"/>
        <v>0</v>
      </c>
      <c r="J36" s="308">
        <f t="shared" ca="1" si="11"/>
        <v>0</v>
      </c>
      <c r="K36" s="309">
        <f t="shared" ca="1" si="12"/>
        <v>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idden="1">
      <c r="A37" s="283"/>
      <c r="B37" s="449"/>
      <c r="C37" s="450"/>
      <c r="D37" s="305" t="str">
        <f ca="1">IF(ISERROR(OFFSET('HARGA SATUAN'!$D$6,MATCH(RAB!C37,'HARGA SATUAN'!$C$7:$C$1495,0),0)),"",OFFSET('HARGA SATUAN'!$D$6,MATCH(RAB!C37,'HARGA SATUAN'!$C$7:$C$1495,0),0))</f>
        <v/>
      </c>
      <c r="E37" s="306" t="str">
        <f ca="1">IF(B37="+","Unit",IF(ISERROR(OFFSET('HARGA SATUAN'!$E$6,MATCH(RAB!C37,'HARGA SATUAN'!$C$7:$C$1495,0),0)),"",OFFSET('HARGA SATUAN'!$E$6,MATCH(RAB!C37,'HARGA SATUAN'!$C$7:$C$1495,0),0)))</f>
        <v/>
      </c>
      <c r="F37" s="453"/>
      <c r="G37" s="307">
        <f ca="1">IF(ISERROR(OFFSET('HARGA SATUAN'!$I$6,MATCH(RAB!C37,'HARGA SATUAN'!$C$7:$C$1495,0),0)),0,OFFSET('HARGA SATUAN'!$I$6,MATCH(RAB!C37,'HARGA SATUAN'!$C$7:$C$1495,0),0))</f>
        <v>0</v>
      </c>
      <c r="H37" s="308">
        <f t="shared" ca="1" si="9"/>
        <v>0</v>
      </c>
      <c r="I37" s="308">
        <f t="shared" ca="1" si="10"/>
        <v>0</v>
      </c>
      <c r="J37" s="308">
        <f t="shared" ca="1" si="11"/>
        <v>0</v>
      </c>
      <c r="K37" s="309">
        <f t="shared" ca="1" si="12"/>
        <v>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idden="1">
      <c r="A38" s="283"/>
      <c r="B38" s="449"/>
      <c r="C38" s="450"/>
      <c r="D38" s="305" t="str">
        <f ca="1">IF(ISERROR(OFFSET('HARGA SATUAN'!$D$6,MATCH(RAB!C38,'HARGA SATUAN'!$C$7:$C$1495,0),0)),"",OFFSET('HARGA SATUAN'!$D$6,MATCH(RAB!C38,'HARGA SATUAN'!$C$7:$C$1495,0),0))</f>
        <v/>
      </c>
      <c r="E38" s="306" t="str">
        <f ca="1">IF(B38="+","Unit",IF(ISERROR(OFFSET('HARGA SATUAN'!$E$6,MATCH(RAB!C38,'HARGA SATUAN'!$C$7:$C$1495,0),0)),"",OFFSET('HARGA SATUAN'!$E$6,MATCH(RAB!C38,'HARGA SATUAN'!$C$7:$C$1495,0),0)))</f>
        <v/>
      </c>
      <c r="F38" s="453"/>
      <c r="G38" s="307">
        <f ca="1">IF(ISERROR(OFFSET('HARGA SATUAN'!$I$6,MATCH(RAB!C38,'HARGA SATUAN'!$C$7:$C$1495,0),0)),0,OFFSET('HARGA SATUAN'!$I$6,MATCH(RAB!C38,'HARGA SATUAN'!$C$7:$C$1495,0),0))</f>
        <v>0</v>
      </c>
      <c r="H38" s="308">
        <f t="shared" ca="1" si="9"/>
        <v>0</v>
      </c>
      <c r="I38" s="308">
        <f t="shared" ca="1" si="10"/>
        <v>0</v>
      </c>
      <c r="J38" s="308">
        <f t="shared" ca="1" si="11"/>
        <v>0</v>
      </c>
      <c r="K38" s="309">
        <f t="shared" ca="1" si="12"/>
        <v>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idden="1">
      <c r="A39" s="283"/>
      <c r="B39" s="449"/>
      <c r="C39" s="450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3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9"/>
        <v>0</v>
      </c>
      <c r="I39" s="308">
        <f t="shared" ca="1" si="10"/>
        <v>0</v>
      </c>
      <c r="J39" s="308">
        <f t="shared" ca="1" si="11"/>
        <v>0</v>
      </c>
      <c r="K39" s="309">
        <f t="shared" ca="1" si="12"/>
        <v>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idden="1">
      <c r="A40" s="283"/>
      <c r="B40" s="449"/>
      <c r="C40" s="450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3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9"/>
        <v>0</v>
      </c>
      <c r="I40" s="308">
        <f t="shared" ca="1" si="10"/>
        <v>0</v>
      </c>
      <c r="J40" s="308">
        <f t="shared" ca="1" si="11"/>
        <v>0</v>
      </c>
      <c r="K40" s="309">
        <f t="shared" ca="1" si="12"/>
        <v>0</v>
      </c>
      <c r="L40" s="316"/>
      <c r="M40" s="289" t="str">
        <f t="shared" ca="1" si="13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idden="1">
      <c r="A41" s="283"/>
      <c r="B41" s="449"/>
      <c r="C41" s="450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3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 t="str">
        <f t="shared" ca="1" si="13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idden="1">
      <c r="A42" s="283"/>
      <c r="B42" s="449"/>
      <c r="C42" s="450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53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9"/>
        <v>0</v>
      </c>
      <c r="I42" s="308">
        <f t="shared" ca="1" si="10"/>
        <v>0</v>
      </c>
      <c r="J42" s="308">
        <f t="shared" ca="1" si="11"/>
        <v>0</v>
      </c>
      <c r="K42" s="309">
        <f t="shared" ca="1" si="12"/>
        <v>0</v>
      </c>
      <c r="L42" s="316"/>
      <c r="M42" s="289" t="str">
        <f t="shared" ca="1" si="13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idden="1">
      <c r="A43" s="283"/>
      <c r="B43" s="449"/>
      <c r="C43" s="450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53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9"/>
        <v>0</v>
      </c>
      <c r="I43" s="308">
        <f t="shared" ca="1" si="10"/>
        <v>0</v>
      </c>
      <c r="J43" s="308">
        <f t="shared" ca="1" si="11"/>
        <v>0</v>
      </c>
      <c r="K43" s="309">
        <f t="shared" ca="1" si="12"/>
        <v>0</v>
      </c>
      <c r="L43" s="316"/>
      <c r="M43" s="289" t="str">
        <f t="shared" ca="1" si="13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idden="1">
      <c r="A44" s="283"/>
      <c r="B44" s="449"/>
      <c r="C44" s="450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3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ca="1" si="9"/>
        <v>0</v>
      </c>
      <c r="I44" s="308">
        <f t="shared" ca="1" si="10"/>
        <v>0</v>
      </c>
      <c r="J44" s="308">
        <f t="shared" ca="1" si="11"/>
        <v>0</v>
      </c>
      <c r="K44" s="309">
        <f t="shared" ca="1" si="12"/>
        <v>0</v>
      </c>
      <c r="L44" s="316"/>
      <c r="M44" s="289" t="str">
        <f t="shared" ca="1" si="13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49"/>
      <c r="C45" s="450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3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9"/>
        <v>0</v>
      </c>
      <c r="I45" s="308">
        <f t="shared" ca="1" si="10"/>
        <v>0</v>
      </c>
      <c r="J45" s="308">
        <f t="shared" ca="1" si="11"/>
        <v>0</v>
      </c>
      <c r="K45" s="309">
        <f t="shared" ca="1" si="12"/>
        <v>0</v>
      </c>
      <c r="L45" s="316"/>
      <c r="M45" s="289" t="str">
        <f t="shared" ca="1" si="13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49"/>
      <c r="C46" s="450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3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9"/>
        <v>0</v>
      </c>
      <c r="I46" s="308">
        <f t="shared" ca="1" si="10"/>
        <v>0</v>
      </c>
      <c r="J46" s="308">
        <f t="shared" ca="1" si="11"/>
        <v>0</v>
      </c>
      <c r="K46" s="309">
        <f t="shared" ca="1" si="12"/>
        <v>0</v>
      </c>
      <c r="L46" s="316"/>
      <c r="M46" s="289" t="str">
        <f t="shared" ca="1" si="13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49"/>
      <c r="C47" s="450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3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9"/>
        <v>0</v>
      </c>
      <c r="I47" s="308">
        <f t="shared" ca="1" si="10"/>
        <v>0</v>
      </c>
      <c r="J47" s="308">
        <f t="shared" ca="1" si="11"/>
        <v>0</v>
      </c>
      <c r="K47" s="309">
        <f t="shared" ca="1" si="12"/>
        <v>0</v>
      </c>
      <c r="L47" s="316"/>
      <c r="M47" s="289" t="str">
        <f t="shared" ca="1" si="13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49"/>
      <c r="C48" s="450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3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9"/>
        <v>0</v>
      </c>
      <c r="I48" s="308">
        <f t="shared" ca="1" si="10"/>
        <v>0</v>
      </c>
      <c r="J48" s="308">
        <f t="shared" ca="1" si="11"/>
        <v>0</v>
      </c>
      <c r="K48" s="309">
        <f t="shared" ca="1" si="12"/>
        <v>0</v>
      </c>
      <c r="L48" s="316"/>
      <c r="M48" s="289" t="str">
        <f t="shared" ca="1" si="13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49"/>
      <c r="C49" s="450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3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9"/>
        <v>0</v>
      </c>
      <c r="I49" s="308">
        <f t="shared" ca="1" si="10"/>
        <v>0</v>
      </c>
      <c r="J49" s="308">
        <f t="shared" ca="1" si="11"/>
        <v>0</v>
      </c>
      <c r="K49" s="309">
        <f t="shared" ca="1" si="12"/>
        <v>0</v>
      </c>
      <c r="L49" s="316"/>
      <c r="M49" s="289" t="str">
        <f t="shared" ca="1" si="13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49"/>
      <c r="C50" s="450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3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9"/>
        <v>0</v>
      </c>
      <c r="I50" s="308">
        <f t="shared" ca="1" si="10"/>
        <v>0</v>
      </c>
      <c r="J50" s="308">
        <f t="shared" ca="1" si="11"/>
        <v>0</v>
      </c>
      <c r="K50" s="309">
        <f t="shared" ca="1" si="12"/>
        <v>0</v>
      </c>
      <c r="L50" s="316"/>
      <c r="M50" s="289" t="str">
        <f t="shared" ca="1" si="13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49"/>
      <c r="C51" s="450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3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9"/>
        <v>0</v>
      </c>
      <c r="I51" s="308">
        <f t="shared" ca="1" si="10"/>
        <v>0</v>
      </c>
      <c r="J51" s="308">
        <f t="shared" ca="1" si="11"/>
        <v>0</v>
      </c>
      <c r="K51" s="309">
        <f t="shared" ca="1" si="12"/>
        <v>0</v>
      </c>
      <c r="L51" s="316"/>
      <c r="M51" s="289" t="str">
        <f t="shared" ca="1" si="13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49"/>
      <c r="C52" s="450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3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9"/>
        <v>0</v>
      </c>
      <c r="I52" s="308">
        <f t="shared" ca="1" si="10"/>
        <v>0</v>
      </c>
      <c r="J52" s="308">
        <f t="shared" ca="1" si="11"/>
        <v>0</v>
      </c>
      <c r="K52" s="309">
        <f t="shared" ca="1" si="12"/>
        <v>0</v>
      </c>
      <c r="L52" s="316"/>
      <c r="M52" s="289" t="str">
        <f t="shared" ca="1" si="13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49"/>
      <c r="C53" s="450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3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9"/>
        <v>0</v>
      </c>
      <c r="I53" s="308">
        <f t="shared" ca="1" si="10"/>
        <v>0</v>
      </c>
      <c r="J53" s="308">
        <f t="shared" ca="1" si="11"/>
        <v>0</v>
      </c>
      <c r="K53" s="309">
        <f t="shared" ca="1" si="12"/>
        <v>0</v>
      </c>
      <c r="L53" s="316"/>
      <c r="M53" s="289" t="str">
        <f t="shared" ca="1" si="13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418" t="s">
        <v>1602</v>
      </c>
      <c r="C54" s="421" t="s">
        <v>1604</v>
      </c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4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ref="H54:H55" ca="1" si="14">IF(OR(D54="MDU",D54="MDU-KD"),(IF($O$3="RAB NON MDU","PLN KD",G54*F54)),0)</f>
        <v>0</v>
      </c>
      <c r="I54" s="308">
        <f t="shared" ref="I54:I55" ca="1" si="15">IF(D54="HDW",G54*F54,0)</f>
        <v>0</v>
      </c>
      <c r="J54" s="308">
        <f t="shared" ref="J54:J55" ca="1" si="16">IF(D54="JASA",G54*F54,0)</f>
        <v>0</v>
      </c>
      <c r="K54" s="309">
        <f t="shared" ref="K54:K55" ca="1" si="17">SUM(H54:J54)</f>
        <v>0</v>
      </c>
      <c r="L54" s="316"/>
      <c r="M54" s="289" t="str">
        <f t="shared" ca="1" si="13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318">
        <v>1</v>
      </c>
      <c r="C55" s="109" t="s">
        <v>1457</v>
      </c>
      <c r="D55" s="305" t="str">
        <f ca="1">IF(ISERROR(OFFSET('HARGA SATUAN'!$D$6,MATCH(RAB!C55,'HARGA SATUAN'!$C$7:$C$1495,0),0)),"",OFFSET('HARGA SATUAN'!$D$6,MATCH(RAB!C55,'HARGA SATUAN'!$C$7:$C$1495,0),0))</f>
        <v>MDU-KD</v>
      </c>
      <c r="E55" s="306" t="str">
        <f ca="1">IF(B55="+","Unit",IF(ISERROR(OFFSET('HARGA SATUAN'!$E$6,MATCH(RAB!C55,'HARGA SATUAN'!$C$7:$C$1495,0),0)),"",OFFSET('HARGA SATUAN'!$E$6,MATCH(RAB!C55,'HARGA SATUAN'!$C$7:$C$1495,0),0)))</f>
        <v>Mtr</v>
      </c>
      <c r="F55" s="419">
        <v>170</v>
      </c>
      <c r="G55" s="307">
        <f ca="1">IF(ISERROR(OFFSET('HARGA SATUAN'!$I$6,MATCH(RAB!C55,'HARGA SATUAN'!$C$7:$C$1495,0),0)),0,OFFSET('HARGA SATUAN'!$I$6,MATCH(RAB!C55,'HARGA SATUAN'!$C$7:$C$1495,0),0))</f>
        <v>54500</v>
      </c>
      <c r="H55" s="308">
        <f t="shared" ca="1" si="14"/>
        <v>9265000</v>
      </c>
      <c r="I55" s="308">
        <f t="shared" ca="1" si="15"/>
        <v>0</v>
      </c>
      <c r="J55" s="308">
        <f t="shared" ca="1" si="16"/>
        <v>0</v>
      </c>
      <c r="K55" s="309">
        <f t="shared" ca="1" si="17"/>
        <v>9265000</v>
      </c>
      <c r="L55" s="316"/>
      <c r="M55" s="289" t="str">
        <f t="shared" si="13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318">
        <v>2</v>
      </c>
      <c r="C56" s="109" t="s">
        <v>346</v>
      </c>
      <c r="D56" s="305" t="str">
        <f ca="1">IF(ISERROR(OFFSET('HARGA SATUAN'!$D$6,MATCH(RAB!C56,'HARGA SATUAN'!$C$7:$C$1495,0),0)),"",OFFSET('HARGA SATUAN'!$D$6,MATCH(RAB!C56,'HARGA SATUAN'!$C$7:$C$1495,0),0))</f>
        <v>JASA</v>
      </c>
      <c r="E56" s="306" t="str">
        <f ca="1">IF(B56="+","Unit",IF(ISERROR(OFFSET('HARGA SATUAN'!$E$6,MATCH(RAB!C56,'HARGA SATUAN'!$C$7:$C$1495,0),0)),"",OFFSET('HARGA SATUAN'!$E$6,MATCH(RAB!C56,'HARGA SATUAN'!$C$7:$C$1495,0),0)))</f>
        <v>Per 50 m</v>
      </c>
      <c r="F56" s="419">
        <v>3.4</v>
      </c>
      <c r="G56" s="307">
        <f ca="1">IF(ISERROR(OFFSET('HARGA SATUAN'!$I$6,MATCH(RAB!C56,'HARGA SATUAN'!$C$7:$C$1495,0),0)),0,OFFSET('HARGA SATUAN'!$I$6,MATCH(RAB!C56,'HARGA SATUAN'!$C$7:$C$1495,0),0))</f>
        <v>223500</v>
      </c>
      <c r="H56" s="308">
        <f t="shared" ref="H56:H58" ca="1" si="18">IF(OR(D56="MDU",D56="MDU-KD"),(IF($O$3="RAB NON MDU","PLN KD",G56*F56)),0)</f>
        <v>0</v>
      </c>
      <c r="I56" s="308">
        <f t="shared" ref="I56:I58" ca="1" si="19">IF(D56="HDW",G56*F56,0)</f>
        <v>0</v>
      </c>
      <c r="J56" s="308">
        <f t="shared" ref="J56:J58" ca="1" si="20">IF(D56="JASA",G56*F56,0)</f>
        <v>759900</v>
      </c>
      <c r="K56" s="309">
        <f t="shared" ref="K56:K58" ca="1" si="21">SUM(H56:J56)</f>
        <v>759900</v>
      </c>
      <c r="L56" s="316"/>
      <c r="M56" s="289" t="str">
        <f t="shared" ca="1" si="13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318"/>
      <c r="C57" s="319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19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8"/>
        <v>0</v>
      </c>
      <c r="I57" s="308">
        <f t="shared" ca="1" si="19"/>
        <v>0</v>
      </c>
      <c r="J57" s="308">
        <f t="shared" ca="1" si="20"/>
        <v>0</v>
      </c>
      <c r="K57" s="309">
        <f t="shared" ca="1" si="21"/>
        <v>0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318"/>
      <c r="C58" s="319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19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8"/>
        <v>0</v>
      </c>
      <c r="I58" s="308">
        <f t="shared" ca="1" si="19"/>
        <v>0</v>
      </c>
      <c r="J58" s="308">
        <f t="shared" ca="1" si="20"/>
        <v>0</v>
      </c>
      <c r="K58" s="309">
        <f t="shared" ca="1" si="21"/>
        <v>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318"/>
      <c r="C59" s="319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19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ref="H59:H76" ca="1" si="22">IF(OR(D59="MDU",D59="MDU-KD"),(IF($O$3="RAB NON MDU","PLN KD",G59*F59)),0)</f>
        <v>0</v>
      </c>
      <c r="I59" s="308">
        <f t="shared" ref="I59:I76" ca="1" si="23">IF(D59="HDW",G59*F59,0)</f>
        <v>0</v>
      </c>
      <c r="J59" s="308">
        <f t="shared" ref="J59:J76" ca="1" si="24">IF(D59="JASA",G59*F59,0)</f>
        <v>0</v>
      </c>
      <c r="K59" s="309">
        <f t="shared" ref="K59:K76" ca="1" si="25">SUM(H59:J59)</f>
        <v>0</v>
      </c>
      <c r="L59" s="316"/>
      <c r="M59" s="289" t="e">
        <f>IF(AND(F59&gt;0,#REF!=0),"",IF(AND(ISBLANK(F59)=FALSE,K59=0),"WARNING",""))</f>
        <v>#REF!</v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418" t="s">
        <v>1610</v>
      </c>
      <c r="C60" s="421" t="s">
        <v>1606</v>
      </c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5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ref="H60:H75" ca="1" si="26">IF(OR(D60="MDU",D60="MDU-KD"),(IF($O$3="RAB NON MDU","PLN KD",G60*F60)),0)</f>
        <v>0</v>
      </c>
      <c r="I60" s="308">
        <f t="shared" ref="I60:I75" ca="1" si="27">IF(D60="HDW",G60*F60,0)</f>
        <v>0</v>
      </c>
      <c r="J60" s="308">
        <f t="shared" ref="J60:J75" ca="1" si="28">IF(D60="JASA",G60*F60,0)</f>
        <v>0</v>
      </c>
      <c r="K60" s="309">
        <f t="shared" ref="K60:K75" ca="1" si="29">SUM(H60:J60)</f>
        <v>0</v>
      </c>
      <c r="L60" s="316"/>
      <c r="M60" s="289" t="str">
        <f t="shared" ca="1" si="13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460" t="s">
        <v>1035</v>
      </c>
      <c r="C61" s="461" t="s">
        <v>1635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>Unit</v>
      </c>
      <c r="F61" s="718">
        <v>1</v>
      </c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26"/>
        <v>0</v>
      </c>
      <c r="I61" s="308">
        <f t="shared" ca="1" si="27"/>
        <v>0</v>
      </c>
      <c r="J61" s="308">
        <f t="shared" ca="1" si="28"/>
        <v>0</v>
      </c>
      <c r="K61" s="309">
        <f t="shared" ca="1" si="29"/>
        <v>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t="30">
      <c r="A62" s="283"/>
      <c r="B62" s="715">
        <v>1</v>
      </c>
      <c r="C62" s="109" t="s">
        <v>1196</v>
      </c>
      <c r="D62" s="305" t="str">
        <f ca="1">IF(ISERROR(OFFSET('HARGA SATUAN'!$D$6,MATCH(RAB!C62,'HARGA SATUAN'!$C$7:$C$1495,0),0)),"",OFFSET('HARGA SATUAN'!$D$6,MATCH(RAB!C62,'HARGA SATUAN'!$C$7:$C$1495,0),0))</f>
        <v>MDU-KD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718">
        <f>F61*1</f>
        <v>1</v>
      </c>
      <c r="G62" s="307">
        <f ca="1">IF(ISERROR(OFFSET('HARGA SATUAN'!$I$6,MATCH(RAB!C62,'HARGA SATUAN'!$C$7:$C$1495,0),0)),0,OFFSET('HARGA SATUAN'!$I$6,MATCH(RAB!C62,'HARGA SATUAN'!$C$7:$C$1495,0),0))</f>
        <v>1427400</v>
      </c>
      <c r="H62" s="308">
        <f t="shared" ca="1" si="26"/>
        <v>1427400</v>
      </c>
      <c r="I62" s="308">
        <f t="shared" ca="1" si="27"/>
        <v>0</v>
      </c>
      <c r="J62" s="308">
        <f t="shared" ca="1" si="28"/>
        <v>0</v>
      </c>
      <c r="K62" s="309">
        <f t="shared" ca="1" si="29"/>
        <v>1427400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715">
        <v>2</v>
      </c>
      <c r="C63" s="717" t="s">
        <v>513</v>
      </c>
      <c r="D63" s="305" t="str">
        <f ca="1">IF(ISERROR(OFFSET('HARGA SATUAN'!$D$6,MATCH(RAB!C63,'HARGA SATUAN'!$C$7:$C$1495,0),0)),"",OFFSET('HARGA SATUAN'!$D$6,MATCH(RAB!C63,'HARGA SATUAN'!$C$7:$C$1495,0),0))</f>
        <v>MDU-KD</v>
      </c>
      <c r="E63" s="306" t="str">
        <f ca="1">IF(B63="+","Unit",IF(ISERROR(OFFSET('HARGA SATUAN'!$E$6,MATCH(RAB!C63,'HARGA SATUAN'!$C$7:$C$1495,0),0)),"",OFFSET('HARGA SATUAN'!$E$6,MATCH(RAB!C63,'HARGA SATUAN'!$C$7:$C$1495,0),0)))</f>
        <v>Unit</v>
      </c>
      <c r="F63" s="718">
        <f>F61*1</f>
        <v>1</v>
      </c>
      <c r="G63" s="307">
        <f ca="1">IF(ISERROR(OFFSET('HARGA SATUAN'!$I$6,MATCH(RAB!C63,'HARGA SATUAN'!$C$7:$C$1495,0),0)),0,OFFSET('HARGA SATUAN'!$I$6,MATCH(RAB!C63,'HARGA SATUAN'!$C$7:$C$1495,0),0))</f>
        <v>3564900</v>
      </c>
      <c r="H63" s="308">
        <f t="shared" ca="1" si="26"/>
        <v>3564900</v>
      </c>
      <c r="I63" s="308">
        <f t="shared" ca="1" si="27"/>
        <v>0</v>
      </c>
      <c r="J63" s="308">
        <f t="shared" ca="1" si="28"/>
        <v>0</v>
      </c>
      <c r="K63" s="309">
        <f t="shared" ca="1" si="29"/>
        <v>3564900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715">
        <v>3</v>
      </c>
      <c r="C64" s="717" t="s">
        <v>1141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718">
        <f>F61*1</f>
        <v>1</v>
      </c>
      <c r="G64" s="307">
        <f ca="1">IF(ISERROR(OFFSET('HARGA SATUAN'!$I$6,MATCH(RAB!C64,'HARGA SATUAN'!$C$7:$C$1495,0),0)),0,OFFSET('HARGA SATUAN'!$I$6,MATCH(RAB!C64,'HARGA SATUAN'!$C$7:$C$1495,0),0))</f>
        <v>1113900</v>
      </c>
      <c r="H64" s="308">
        <f t="shared" ca="1" si="26"/>
        <v>0</v>
      </c>
      <c r="I64" s="308">
        <f t="shared" ca="1" si="27"/>
        <v>1113900</v>
      </c>
      <c r="J64" s="308">
        <f t="shared" ca="1" si="28"/>
        <v>0</v>
      </c>
      <c r="K64" s="309">
        <f t="shared" ca="1" si="29"/>
        <v>1113900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715">
        <v>4</v>
      </c>
      <c r="C65" s="109" t="s">
        <v>77</v>
      </c>
      <c r="D65" s="305" t="str">
        <f ca="1">IF(ISERROR(OFFSET('HARGA SATUAN'!$D$6,MATCH(RAB!C65,'HARGA SATUAN'!$C$7:$C$1495,0),0)),"",OFFSET('HARGA SATUAN'!$D$6,MATCH(RAB!C65,'HARGA SATUAN'!$C$7:$C$1495,0),0))</f>
        <v>MDU-KD</v>
      </c>
      <c r="E65" s="306" t="str">
        <f ca="1">IF(B65="+","Unit",IF(ISERROR(OFFSET('HARGA SATUAN'!$E$6,MATCH(RAB!C65,'HARGA SATUAN'!$C$7:$C$1495,0),0)),"",OFFSET('HARGA SATUAN'!$E$6,MATCH(RAB!C65,'HARGA SATUAN'!$C$7:$C$1495,0),0)))</f>
        <v>Mtr</v>
      </c>
      <c r="F65" s="718">
        <v>45</v>
      </c>
      <c r="G65" s="307">
        <f ca="1">IF(ISERROR(OFFSET('HARGA SATUAN'!$I$6,MATCH(RAB!C65,'HARGA SATUAN'!$C$7:$C$1495,0),0)),0,OFFSET('HARGA SATUAN'!$I$6,MATCH(RAB!C65,'HARGA SATUAN'!$C$7:$C$1495,0),0))</f>
        <v>13500</v>
      </c>
      <c r="H65" s="308">
        <f t="shared" ca="1" si="26"/>
        <v>607500</v>
      </c>
      <c r="I65" s="308">
        <f t="shared" ca="1" si="27"/>
        <v>0</v>
      </c>
      <c r="J65" s="308">
        <f t="shared" ca="1" si="28"/>
        <v>0</v>
      </c>
      <c r="K65" s="309">
        <f t="shared" ca="1" si="29"/>
        <v>607500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715">
        <v>5</v>
      </c>
      <c r="C66" s="717" t="s">
        <v>799</v>
      </c>
      <c r="D66" s="305" t="str">
        <f ca="1">IF(ISERROR(OFFSET('HARGA SATUAN'!$D$6,MATCH(RAB!C66,'HARGA SATUAN'!$C$7:$C$1495,0),0)),"",OFFSET('HARGA SATUAN'!$D$6,MATCH(RAB!C66,'HARGA SATUAN'!$C$7:$C$1495,0),0))</f>
        <v>JASA</v>
      </c>
      <c r="E66" s="306" t="str">
        <f ca="1">IF(B66="+","Unit",IF(ISERROR(OFFSET('HARGA SATUAN'!$E$6,MATCH(RAB!C66,'HARGA SATUAN'!$C$7:$C$1495,0),0)),"",OFFSET('HARGA SATUAN'!$E$6,MATCH(RAB!C66,'HARGA SATUAN'!$C$7:$C$1495,0),0)))</f>
        <v>Unit</v>
      </c>
      <c r="F66" s="718">
        <f>F61*1</f>
        <v>1</v>
      </c>
      <c r="G66" s="307">
        <f ca="1">IF(ISERROR(OFFSET('HARGA SATUAN'!$I$6,MATCH(RAB!C66,'HARGA SATUAN'!$C$7:$C$1495,0),0)),0,OFFSET('HARGA SATUAN'!$I$6,MATCH(RAB!C66,'HARGA SATUAN'!$C$7:$C$1495,0),0))</f>
        <v>106400</v>
      </c>
      <c r="H66" s="308">
        <f t="shared" ref="H66" ca="1" si="30">IF(OR(D66="MDU",D66="MDU-KD"),(IF($O$3="RAB NON MDU","PLN KD",G66*F66)),0)</f>
        <v>0</v>
      </c>
      <c r="I66" s="308">
        <f t="shared" ref="I66" ca="1" si="31">IF(D66="HDW",G66*F66,0)</f>
        <v>0</v>
      </c>
      <c r="J66" s="308">
        <f t="shared" ref="J66" ca="1" si="32">IF(D66="JASA",G66*F66,0)</f>
        <v>106400</v>
      </c>
      <c r="K66" s="309">
        <f t="shared" ref="K66" ca="1" si="33">SUM(H66:J66)</f>
        <v>106400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2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26"/>
        <v>0</v>
      </c>
      <c r="I67" s="308">
        <f t="shared" ca="1" si="27"/>
        <v>0</v>
      </c>
      <c r="J67" s="308">
        <f t="shared" ca="1" si="28"/>
        <v>0</v>
      </c>
      <c r="K67" s="309">
        <f t="shared" ca="1" si="29"/>
        <v>0</v>
      </c>
      <c r="L67" s="316"/>
      <c r="M67" s="289" t="str">
        <f ca="1">IF(AND(F67&gt;0,F60=0),"",IF(AND(ISBLANK(F67)=FALSE,K67=0),"WARNING",""))</f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 t="s">
        <v>1035</v>
      </c>
      <c r="C68" s="319" t="s">
        <v>1618</v>
      </c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>Unit</v>
      </c>
      <c r="F68" s="451">
        <v>1</v>
      </c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26"/>
        <v>0</v>
      </c>
      <c r="I68" s="308">
        <f t="shared" ca="1" si="27"/>
        <v>0</v>
      </c>
      <c r="J68" s="308">
        <f t="shared" ca="1" si="28"/>
        <v>0</v>
      </c>
      <c r="K68" s="309">
        <f t="shared" ca="1" si="29"/>
        <v>0</v>
      </c>
      <c r="L68" s="316"/>
      <c r="M68" s="289" t="str">
        <f t="shared" si="13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>
        <v>1</v>
      </c>
      <c r="C69" s="319" t="s">
        <v>29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451">
        <f>F68*1</f>
        <v>1</v>
      </c>
      <c r="G69" s="307">
        <f ca="1">IF(ISERROR(OFFSET('HARGA SATUAN'!$I$6,MATCH(RAB!C69,'HARGA SATUAN'!$C$7:$C$1495,0),0)),0,OFFSET('HARGA SATUAN'!$I$6,MATCH(RAB!C69,'HARGA SATUAN'!$C$7:$C$1495,0),0))</f>
        <v>185200</v>
      </c>
      <c r="H69" s="308">
        <f t="shared" ca="1" si="26"/>
        <v>0</v>
      </c>
      <c r="I69" s="308">
        <f t="shared" ca="1" si="27"/>
        <v>185200</v>
      </c>
      <c r="J69" s="308">
        <f t="shared" ca="1" si="28"/>
        <v>0</v>
      </c>
      <c r="K69" s="309">
        <f t="shared" ca="1" si="29"/>
        <v>185200</v>
      </c>
      <c r="L69" s="316"/>
      <c r="M69" s="289" t="str">
        <f t="shared" ca="1" si="13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318">
        <v>2</v>
      </c>
      <c r="C70" s="319" t="s">
        <v>30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451">
        <f>F68*1</f>
        <v>1</v>
      </c>
      <c r="G70" s="307">
        <f ca="1">IF(ISERROR(OFFSET('HARGA SATUAN'!$I$6,MATCH(RAB!C70,'HARGA SATUAN'!$C$7:$C$1495,0),0)),0,OFFSET('HARGA SATUAN'!$I$6,MATCH(RAB!C70,'HARGA SATUAN'!$C$7:$C$1495,0),0))</f>
        <v>47459</v>
      </c>
      <c r="H70" s="308">
        <f t="shared" ca="1" si="26"/>
        <v>0</v>
      </c>
      <c r="I70" s="308">
        <f t="shared" ca="1" si="27"/>
        <v>47459</v>
      </c>
      <c r="J70" s="308">
        <f t="shared" ca="1" si="28"/>
        <v>0</v>
      </c>
      <c r="K70" s="309">
        <f t="shared" ca="1" si="29"/>
        <v>47459</v>
      </c>
      <c r="L70" s="316"/>
      <c r="M70" s="289" t="str">
        <f t="shared" ca="1" si="13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318">
        <v>3</v>
      </c>
      <c r="C71" s="319" t="s">
        <v>32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Mtr</v>
      </c>
      <c r="F71" s="451">
        <f>F68*1.5</f>
        <v>1.5</v>
      </c>
      <c r="G71" s="307">
        <f ca="1">IF(ISERROR(OFFSET('HARGA SATUAN'!$I$6,MATCH(RAB!C71,'HARGA SATUAN'!$C$7:$C$1495,0),0)),0,OFFSET('HARGA SATUAN'!$I$6,MATCH(RAB!C71,'HARGA SATUAN'!$C$7:$C$1495,0),0))</f>
        <v>30000</v>
      </c>
      <c r="H71" s="308">
        <f t="shared" ca="1" si="26"/>
        <v>0</v>
      </c>
      <c r="I71" s="308">
        <f t="shared" ca="1" si="27"/>
        <v>45000</v>
      </c>
      <c r="J71" s="308">
        <f t="shared" ca="1" si="28"/>
        <v>0</v>
      </c>
      <c r="K71" s="309">
        <f t="shared" ca="1" si="29"/>
        <v>45000</v>
      </c>
      <c r="L71" s="316"/>
      <c r="M71" s="289" t="str">
        <f t="shared" ca="1" si="13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318">
        <v>4</v>
      </c>
      <c r="C72" s="319" t="s">
        <v>33</v>
      </c>
      <c r="D72" s="305" t="str">
        <f ca="1">IF(ISERROR(OFFSET('HARGA SATUAN'!$D$6,MATCH(RAB!C72,'HARGA SATUAN'!$C$7:$C$1495,0),0)),"",OFFSET('HARGA SATUAN'!$D$6,MATCH(RAB!C72,'HARGA SATUAN'!$C$7:$C$1495,0),0))</f>
        <v>HDW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451">
        <f>F68*2</f>
        <v>2</v>
      </c>
      <c r="G72" s="307">
        <f ca="1">IF(ISERROR(OFFSET('HARGA SATUAN'!$I$6,MATCH(RAB!C72,'HARGA SATUAN'!$C$7:$C$1495,0),0)),0,OFFSET('HARGA SATUAN'!$I$6,MATCH(RAB!C72,'HARGA SATUAN'!$C$7:$C$1495,0),0))</f>
        <v>9500</v>
      </c>
      <c r="H72" s="308">
        <f t="shared" ca="1" si="26"/>
        <v>0</v>
      </c>
      <c r="I72" s="308">
        <f t="shared" ca="1" si="27"/>
        <v>19000</v>
      </c>
      <c r="J72" s="308">
        <f t="shared" ca="1" si="28"/>
        <v>0</v>
      </c>
      <c r="K72" s="309">
        <f t="shared" ca="1" si="29"/>
        <v>19000</v>
      </c>
      <c r="L72" s="316"/>
      <c r="M72" s="289" t="str">
        <f t="shared" ca="1" si="13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318">
        <v>5</v>
      </c>
      <c r="C73" s="319" t="s">
        <v>735</v>
      </c>
      <c r="D73" s="305" t="str">
        <f ca="1">IF(ISERROR(OFFSET('HARGA SATUAN'!$D$6,MATCH(RAB!C73,'HARGA SATUAN'!$C$7:$C$1495,0),0)),"",OFFSET('HARGA SATUAN'!$D$6,MATCH(RAB!C73,'HARGA SATUAN'!$C$7:$C$1495,0),0))</f>
        <v>JASA</v>
      </c>
      <c r="E73" s="306" t="str">
        <f ca="1">IF(B73="+","Unit",IF(ISERROR(OFFSET('HARGA SATUAN'!$E$6,MATCH(RAB!C73,'HARGA SATUAN'!$C$7:$C$1495,0),0)),"",OFFSET('HARGA SATUAN'!$E$6,MATCH(RAB!C73,'HARGA SATUAN'!$C$7:$C$1495,0),0)))</f>
        <v>Unit</v>
      </c>
      <c r="F73" s="451">
        <f>F68*1</f>
        <v>1</v>
      </c>
      <c r="G73" s="307">
        <f ca="1">IF(ISERROR(OFFSET('HARGA SATUAN'!$I$6,MATCH(RAB!C73,'HARGA SATUAN'!$C$7:$C$1495,0),0)),0,OFFSET('HARGA SATUAN'!$I$6,MATCH(RAB!C73,'HARGA SATUAN'!$C$7:$C$1495,0),0))</f>
        <v>56400</v>
      </c>
      <c r="H73" s="308">
        <f t="shared" ca="1" si="26"/>
        <v>0</v>
      </c>
      <c r="I73" s="308">
        <f t="shared" ca="1" si="27"/>
        <v>0</v>
      </c>
      <c r="J73" s="308">
        <f t="shared" ca="1" si="28"/>
        <v>56400</v>
      </c>
      <c r="K73" s="309">
        <f t="shared" ca="1" si="29"/>
        <v>56400</v>
      </c>
      <c r="L73" s="316"/>
      <c r="M73" s="289" t="str">
        <f t="shared" ca="1" si="13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418" t="s">
        <v>22</v>
      </c>
      <c r="C74" s="421" t="s">
        <v>802</v>
      </c>
      <c r="D74" s="305"/>
      <c r="E74" s="306"/>
      <c r="F74" s="451"/>
      <c r="G74" s="307"/>
      <c r="H74" s="308"/>
      <c r="I74" s="308"/>
      <c r="J74" s="308"/>
      <c r="K74" s="309"/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>
      <c r="B75" s="320">
        <v>1</v>
      </c>
      <c r="C75" s="109" t="s">
        <v>981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315">
        <v>1</v>
      </c>
      <c r="G75" s="307">
        <f ca="1">IF(ISERROR(OFFSET('HARGA SATUAN'!$I$6,MATCH(RAB!C75,'HARGA SATUAN'!$C$7:$C$1495,0),0)),0,OFFSET('HARGA SATUAN'!$I$6,MATCH(RAB!C75,'HARGA SATUAN'!$C$7:$C$1495,0),0))</f>
        <v>32640</v>
      </c>
      <c r="H75" s="308">
        <f t="shared" ca="1" si="26"/>
        <v>0</v>
      </c>
      <c r="I75" s="308">
        <f t="shared" ca="1" si="27"/>
        <v>0</v>
      </c>
      <c r="J75" s="308">
        <f t="shared" ca="1" si="28"/>
        <v>32640</v>
      </c>
      <c r="K75" s="309">
        <f t="shared" ca="1" si="29"/>
        <v>32640</v>
      </c>
      <c r="M75" s="289" t="str">
        <f ca="1">IF(AND(F75&gt;0,F73=0),"",IF(AND(ISBLANK(F75)=FALSE,K75=0),"WARNING",""))</f>
        <v/>
      </c>
    </row>
    <row r="76" spans="1:22">
      <c r="B76" s="321"/>
      <c r="C76" s="322" t="s">
        <v>475</v>
      </c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31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22"/>
        <v>0</v>
      </c>
      <c r="I76" s="308">
        <f t="shared" ca="1" si="23"/>
        <v>0</v>
      </c>
      <c r="J76" s="308">
        <f t="shared" ca="1" si="24"/>
        <v>0</v>
      </c>
      <c r="K76" s="309">
        <f t="shared" ca="1" si="25"/>
        <v>0</v>
      </c>
      <c r="M76" s="289" t="e">
        <f>IF(AND(F76&gt;0,#REF!=0),"",IF(AND(ISBLANK(F76)=FALSE,K76=0),"WARNING",""))</f>
        <v>#REF!</v>
      </c>
    </row>
    <row r="77" spans="1:22">
      <c r="B77" s="324">
        <v>1</v>
      </c>
      <c r="C77" s="325" t="s">
        <v>1091</v>
      </c>
      <c r="D77" s="326" t="str">
        <f ca="1">IF(ISERROR(OFFSET('HARGA SATUAN'!$D$6,MATCH(RAB!C77,'HARGA SATUAN'!$C$7:$C$1495,0),0)),"",OFFSET('HARGA SATUAN'!$D$6,MATCH(RAB!C77,'HARGA SATUAN'!$C$7:$C$1495,0),0))</f>
        <v>JASA</v>
      </c>
      <c r="E77" s="327" t="str">
        <f ca="1">IF(ISERROR(OFFSET('HARGA SATUAN'!$E$6,MATCH(RAB!C77,'HARGA SATUAN'!$C$7:$C$1495,0),0)),"",OFFSET('HARGA SATUAN'!$E$6,MATCH(RAB!C77,'HARGA SATUAN'!$C$7:$C$1495,0),0))</f>
        <v>Lot</v>
      </c>
      <c r="F77" s="328">
        <v>1</v>
      </c>
      <c r="G77" s="329">
        <f ca="1">IF(ISERROR(OFFSET('HARGA SATUAN'!$I$6,MATCH(RAB!C77,'HARGA SATUAN'!$C$7:$C$1495,0),0)),0,OFFSET('HARGA SATUAN'!$I$6,MATCH(RAB!C77,'HARGA SATUAN'!$C$7:$C$1495,0),0))</f>
        <v>2.5000000000000001E-2</v>
      </c>
      <c r="H77" s="330">
        <f ca="1">SUM(H14:H76)*G77</f>
        <v>371620</v>
      </c>
      <c r="I77" s="330">
        <f ca="1">SUM(I14:I76)*G77</f>
        <v>48616.725000000006</v>
      </c>
      <c r="J77" s="330">
        <f ca="1">SUM(J14:J76)*G77</f>
        <v>28188.5</v>
      </c>
      <c r="K77" s="330">
        <f ca="1">SUM(K14:K76)*G77</f>
        <v>448425.22500000003</v>
      </c>
      <c r="M77" s="289" t="str">
        <f t="shared" ref="M77" si="34">IF(AND(F77&gt;0,F76=0),"",IF(AND(ISBLANK(F77)=FALSE,K77=0),"WARNING",""))</f>
        <v/>
      </c>
    </row>
    <row r="78" spans="1:22">
      <c r="B78" s="331"/>
      <c r="C78" s="332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IF(ISERROR(OFFSET('HARGA SATUAN'!$E$6,MATCH(RAB!C78,'HARGA SATUAN'!$C$7:$C$1495,0),0)),"",OFFSET('HARGA SATUAN'!$E$6,MATCH(RAB!C78,'HARGA SATUAN'!$C$7:$C$1495,0),0))</f>
        <v/>
      </c>
      <c r="F78" s="323"/>
      <c r="G78" s="307" t="str">
        <f ca="1">IF(ISERROR(OFFSET('HARGA SATUAN'!$I$6,MATCH(RAB!C78,'HARGA SATUAN'!$C$7:$C$1495,0),0)),"",OFFSET('HARGA SATUAN'!$I$6,MATCH(RAB!C78,'HARGA SATUAN'!$C$7:$C$1495,0),0))</f>
        <v/>
      </c>
      <c r="H78" s="308">
        <f ca="1">IF(OR(D78="MDU",D78="MDU-KD"),IF(G78="PLN",0,G78*F78),0)</f>
        <v>0</v>
      </c>
      <c r="I78" s="308">
        <f ca="1">IF(D78="HDW",IF(G78="PLN",0,G78*F78),0)</f>
        <v>0</v>
      </c>
      <c r="J78" s="308">
        <f ca="1">IF(D78="JASA",IF(G78="PLN",0,G78*F78),0)</f>
        <v>0</v>
      </c>
      <c r="K78" s="309">
        <f ca="1">SUM(H78:J78)</f>
        <v>0</v>
      </c>
    </row>
    <row r="79" spans="1:22" ht="15.75" thickBot="1">
      <c r="B79" s="333"/>
      <c r="C79" s="334"/>
      <c r="D79" s="335"/>
      <c r="E79" s="336"/>
      <c r="F79" s="336"/>
      <c r="G79" s="336"/>
      <c r="H79" s="337"/>
      <c r="I79" s="337"/>
      <c r="J79" s="337"/>
      <c r="K79" s="338"/>
    </row>
    <row r="80" spans="1:22">
      <c r="B80" s="339"/>
      <c r="C80" s="614" t="s">
        <v>1008</v>
      </c>
      <c r="D80" s="614"/>
      <c r="E80" s="614"/>
      <c r="F80" s="614"/>
      <c r="G80" s="340" t="s">
        <v>9</v>
      </c>
      <c r="H80" s="341">
        <f ca="1">SUM(H14:H78)</f>
        <v>15236420</v>
      </c>
      <c r="I80" s="341">
        <f ca="1">SUM(I14:I78)</f>
        <v>1993285.7250000001</v>
      </c>
      <c r="J80" s="341">
        <f ca="1">SUM(J14:J78)</f>
        <v>1155728.5</v>
      </c>
      <c r="K80" s="341">
        <f ca="1">SUM(K14:K78)</f>
        <v>18385434.225000001</v>
      </c>
    </row>
    <row r="81" spans="2:13">
      <c r="B81" s="342"/>
      <c r="C81" s="631" t="s">
        <v>1455</v>
      </c>
      <c r="D81" s="631"/>
      <c r="E81" s="631"/>
      <c r="F81" s="631"/>
      <c r="G81" s="343" t="s">
        <v>9</v>
      </c>
      <c r="H81" s="344">
        <f ca="1">H80*0.11</f>
        <v>1676006.2</v>
      </c>
      <c r="I81" s="344">
        <f ca="1">I80*0.11</f>
        <v>219261.42975000001</v>
      </c>
      <c r="J81" s="344">
        <f ca="1">J80*0.11</f>
        <v>127130.13499999999</v>
      </c>
      <c r="K81" s="344">
        <f ca="1">K80*0.11</f>
        <v>2022397.7647500001</v>
      </c>
    </row>
    <row r="82" spans="2:13" ht="15.75" thickBot="1">
      <c r="B82" s="342"/>
      <c r="C82" s="628" t="s">
        <v>463</v>
      </c>
      <c r="D82" s="628"/>
      <c r="E82" s="628"/>
      <c r="F82" s="628"/>
      <c r="G82" s="345" t="s">
        <v>9</v>
      </c>
      <c r="H82" s="346">
        <f ca="1">SUM(H80:H81)</f>
        <v>16912426.199999999</v>
      </c>
      <c r="I82" s="346">
        <f ca="1">SUM(I80:I81)</f>
        <v>2212547.1547500002</v>
      </c>
      <c r="J82" s="345">
        <f ca="1">SUM(J80:J81)</f>
        <v>1282858.635</v>
      </c>
      <c r="K82" s="345">
        <f ca="1">SUM(K80:K81)</f>
        <v>20407831.989750002</v>
      </c>
      <c r="M82" s="410">
        <v>201265205.30690998</v>
      </c>
    </row>
    <row r="83" spans="2:13">
      <c r="B83" s="632" t="str">
        <f ca="1">"Terbilang : "&amp;PROPER(IF(K82=0,"nol",IF(K82&lt;0,"minus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IF(--MID(TEXT(ABS(K82),"000000000000000"),1,3)=0,"",MID(TEXT(ABS(K82),"000000000000000"),1,1)&amp;" ratus "&amp;MID(TEXT(ABS(K82),"000000000000000"),2,1)&amp;" puluh "&amp;MID(TEXT(ABS(K82),"000000000000000"),3,1)&amp;" trilyun ")&amp; IF(--MID(TEXT(ABS(K82),"000000000000000"),4,3)=0,"",MID(TEXT(ABS(K82),"000000000000000"),4,1)&amp;" ratus "&amp;MID(TEXT(ABS(K82),"000000000000000"),5,1)&amp;" puluh "&amp;MID(TEXT(ABS(K82),"000000000000000"),6,1)&amp;" milyar ")&amp; IF(--MID(TEXT(ABS(K82),"000000000000000"),7,3)=0,"",MID(TEXT(ABS(K82),"000000000000000"),7,1)&amp;" ratus "&amp;MID(TEXT(ABS(K82),"000000000000000"),8,1)&amp;" puluh "&amp;MID(TEXT(ABS(K82),"000000000000000"),9,1)&amp;" juta ")&amp; IF(--MID(TEXT(ABS(K82),"000000000000000"),10,3)=0,"",IF(--MID(TEXT(ABS(K82),"000000000000000"),10,3)=1,"*",MID(TEXT(ABS(K82),"000000000000000"),10,1)&amp;" ratus "&amp;MID(TEXT(ABS(K82),"000000000000000"),11,1)&amp;" puluh ")&amp;MID(TEXT(ABS(K82),"000000000000000"),12,1)&amp;" ribu ")&amp; IF(--MID(TEXT(ABS(K82),"000000000000000"),13,3)=0,"",MID(TEXT(ABS(K82),"000000000000000"),13,1)&amp;" ratus "&amp;MID(TEXT(ABS(K82),"000000000000000"),14,1)&amp;" puluh "&amp;MID(TEXT(ABS(K82),"000000000000000"),15,1)),1,"satu"),2,"dua"),3,"tiga"),4,"empat"),5,"lima"),6,"enam"),7,"tujuh"),8,"delapan"),9,"sembilan"),"0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Juta Empat Ratus Tujuh Ribu Delapan Ratus Tiga Puluh Dua Rupiah</v>
      </c>
      <c r="C83" s="633"/>
      <c r="D83" s="633"/>
      <c r="E83" s="633"/>
      <c r="F83" s="633"/>
      <c r="G83" s="633"/>
      <c r="H83" s="633"/>
      <c r="I83" s="633"/>
      <c r="J83" s="633"/>
      <c r="K83" s="634"/>
    </row>
    <row r="84" spans="2:13">
      <c r="B84" s="635"/>
      <c r="C84" s="636"/>
      <c r="D84" s="636"/>
      <c r="E84" s="636"/>
      <c r="F84" s="636"/>
      <c r="G84" s="636"/>
      <c r="H84" s="636"/>
      <c r="I84" s="636"/>
      <c r="J84" s="636"/>
      <c r="K84" s="637"/>
    </row>
    <row r="85" spans="2:13" ht="15.75" thickBot="1">
      <c r="B85" s="347" t="str">
        <f>"Harga yang dipakai adalah "&amp;'HARGA SATUAN'!I5&amp;""</f>
        <v>Harga yang dipakai adalah RAB HSS 2023</v>
      </c>
      <c r="C85" s="348"/>
      <c r="D85" s="349"/>
      <c r="E85" s="349"/>
      <c r="F85" s="349"/>
      <c r="G85" s="350"/>
      <c r="H85" s="350"/>
      <c r="I85" s="350"/>
      <c r="J85" s="350"/>
      <c r="K85" s="351"/>
    </row>
    <row r="86" spans="2:13">
      <c r="C86" s="352"/>
      <c r="E86" s="354"/>
      <c r="F86" s="354"/>
      <c r="G86" s="354"/>
    </row>
    <row r="87" spans="2:13">
      <c r="C87" s="284"/>
      <c r="E87" s="354"/>
      <c r="F87" s="354"/>
      <c r="G87" s="354"/>
      <c r="H87" s="638"/>
      <c r="I87" s="638"/>
      <c r="J87" s="639"/>
      <c r="K87" s="639"/>
    </row>
    <row r="88" spans="2:13">
      <c r="C88" s="284"/>
      <c r="E88" s="354"/>
      <c r="F88" s="354"/>
      <c r="G88" s="354"/>
      <c r="H88" s="355"/>
      <c r="I88" s="627" t="s">
        <v>1616</v>
      </c>
      <c r="J88" s="627"/>
      <c r="K88" s="627"/>
    </row>
    <row r="89" spans="2:13">
      <c r="C89" s="284"/>
      <c r="E89" s="354"/>
      <c r="F89" s="354"/>
      <c r="G89" s="354"/>
      <c r="H89" s="355"/>
      <c r="I89" s="627" t="s">
        <v>1611</v>
      </c>
      <c r="J89" s="627"/>
      <c r="K89" s="627"/>
    </row>
    <row r="90" spans="2:13">
      <c r="C90" s="284"/>
      <c r="E90" s="354"/>
      <c r="F90" s="354"/>
      <c r="G90" s="354"/>
      <c r="H90" s="356"/>
      <c r="I90" s="357"/>
      <c r="J90" s="357"/>
      <c r="K90" s="357"/>
    </row>
    <row r="91" spans="2:13">
      <c r="C91" s="284"/>
      <c r="E91" s="354"/>
      <c r="F91" s="354"/>
      <c r="G91" s="354"/>
      <c r="H91" s="356"/>
      <c r="I91" s="356"/>
      <c r="J91" s="356"/>
      <c r="K91" s="356"/>
    </row>
    <row r="92" spans="2:13">
      <c r="C92" s="284"/>
      <c r="E92" s="354"/>
      <c r="F92" s="354"/>
      <c r="G92" s="354"/>
      <c r="H92" s="356"/>
      <c r="I92" s="356"/>
      <c r="J92" s="356"/>
      <c r="K92" s="356"/>
    </row>
    <row r="93" spans="2:13">
      <c r="C93" s="284"/>
      <c r="E93" s="354"/>
      <c r="F93" s="354"/>
      <c r="G93" s="354"/>
      <c r="H93" s="356"/>
      <c r="I93" s="356"/>
      <c r="J93" s="356"/>
      <c r="K93" s="356"/>
    </row>
    <row r="94" spans="2:13">
      <c r="C94" s="284"/>
      <c r="E94" s="354"/>
      <c r="F94" s="354"/>
      <c r="G94" s="354"/>
      <c r="H94" s="358"/>
      <c r="I94" s="627" t="s">
        <v>1612</v>
      </c>
      <c r="J94" s="627"/>
      <c r="K94" s="627"/>
    </row>
    <row r="95" spans="2:13">
      <c r="C95" s="352"/>
      <c r="E95" s="354"/>
      <c r="F95" s="354"/>
      <c r="G95" s="354"/>
      <c r="H95" s="356"/>
      <c r="I95" s="356"/>
      <c r="J95" s="356"/>
      <c r="K95" s="356"/>
    </row>
    <row r="96" spans="2:13">
      <c r="C96" s="352"/>
      <c r="E96" s="354"/>
      <c r="F96" s="354"/>
      <c r="G96" s="354"/>
      <c r="H96" s="356"/>
      <c r="I96" s="356"/>
      <c r="J96" s="356"/>
      <c r="K96" s="356"/>
    </row>
    <row r="97" spans="3:11">
      <c r="C97" s="352"/>
      <c r="E97" s="354"/>
      <c r="F97" s="354"/>
      <c r="G97" s="354"/>
      <c r="H97" s="356"/>
      <c r="I97" s="356"/>
      <c r="J97" s="356"/>
      <c r="K97" s="356"/>
    </row>
  </sheetData>
  <sheetProtection sort="0" autoFilter="0"/>
  <protectedRanges>
    <protectedRange sqref="B60:C60 B15 B16:C16 B55:B59 B17 B34:C54 B18:C31" name="Range1_6_1"/>
    <protectedRange sqref="C59" name="Range1_6_1_10"/>
    <protectedRange sqref="B67:C74 B61:B66" name="Range1_6_1_11"/>
    <protectedRange sqref="C17" name="Range1_6_1_9"/>
    <protectedRange sqref="B32:C33" name="Range1_6_1_15"/>
    <protectedRange sqref="C57:C58" name="Range1_6_1_17"/>
    <protectedRange sqref="C61:C64 C66" name="Range1_6_1_18"/>
    <protectedRange sqref="C55" name="Range1_1_3"/>
    <protectedRange sqref="C56" name="Range1_1_3_1"/>
    <protectedRange sqref="C65" name="Range1_1_3_3"/>
    <protectedRange sqref="C75" name="Range1_1_3_4"/>
  </protectedRanges>
  <mergeCells count="22">
    <mergeCell ref="I89:K89"/>
    <mergeCell ref="I94:K94"/>
    <mergeCell ref="C82:F82"/>
    <mergeCell ref="G6:K6"/>
    <mergeCell ref="I88:K88"/>
    <mergeCell ref="C81:F81"/>
    <mergeCell ref="B83:K84"/>
    <mergeCell ref="H87:K87"/>
    <mergeCell ref="H11:K11"/>
    <mergeCell ref="H12:H13"/>
    <mergeCell ref="J12:J13"/>
    <mergeCell ref="K12:K13"/>
    <mergeCell ref="O3:P4"/>
    <mergeCell ref="B4:K4"/>
    <mergeCell ref="C80:F80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">
    <cfRule type="cellIs" dxfId="10" priority="84" operator="equal">
      <formula>0</formula>
    </cfRule>
  </conditionalFormatting>
  <conditionalFormatting sqref="C55:C56">
    <cfRule type="cellIs" dxfId="9" priority="7" operator="equal">
      <formula>0</formula>
    </cfRule>
  </conditionalFormatting>
  <conditionalFormatting sqref="E1:E3 E5:E13 H12:I12 O13 E77:G77 H77:K79 E78:H78 E79:F79 S14:V74 E14:K25 E32:K60 E26:E31 G26:K31 E67:K76 E61:E66 G61:K66">
    <cfRule type="cellIs" dxfId="7" priority="1128" stopIfTrue="1" operator="equal">
      <formula>0</formula>
    </cfRule>
  </conditionalFormatting>
  <conditionalFormatting sqref="G1:G13">
    <cfRule type="cellIs" dxfId="6" priority="53" stopIfTrue="1" operator="equal">
      <formula>0</formula>
    </cfRule>
  </conditionalFormatting>
  <conditionalFormatting sqref="G78:G65544 E83:E65544">
    <cfRule type="cellIs" dxfId="5" priority="262" stopIfTrue="1" operator="equal">
      <formula>0</formula>
    </cfRule>
  </conditionalFormatting>
  <conditionalFormatting sqref="F26:F31">
    <cfRule type="cellIs" dxfId="4" priority="5" stopIfTrue="1" operator="equal">
      <formula>0</formula>
    </cfRule>
  </conditionalFormatting>
  <conditionalFormatting sqref="C62">
    <cfRule type="cellIs" dxfId="3" priority="4" operator="equal">
      <formula>0</formula>
    </cfRule>
  </conditionalFormatting>
  <conditionalFormatting sqref="F61:F66">
    <cfRule type="cellIs" dxfId="2" priority="3" stopIfTrue="1" operator="equal">
      <formula>0</formula>
    </cfRule>
  </conditionalFormatting>
  <conditionalFormatting sqref="C65">
    <cfRule type="cellIs" dxfId="1" priority="2" operator="equal">
      <formula>0</formula>
    </cfRule>
  </conditionalFormatting>
  <conditionalFormatting sqref="C75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68:F74 F55:F59 H14:K79 F16:F5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77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abSelected="1" topLeftCell="A28" zoomScale="90" zoomScaleNormal="90" zoomScaleSheetLayoutView="100" workbookViewId="0">
      <selection activeCell="W48" sqref="W48:AD51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3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697" t="s">
        <v>1438</v>
      </c>
      <c r="X2" s="698"/>
      <c r="Y2" s="698"/>
      <c r="Z2" s="698"/>
      <c r="AA2" s="698"/>
      <c r="AB2" s="698"/>
      <c r="AC2" s="698"/>
      <c r="AD2" s="699"/>
    </row>
    <row r="3" spans="3:30">
      <c r="C3" s="465"/>
      <c r="W3" s="700"/>
      <c r="X3" s="701"/>
      <c r="Y3" s="701"/>
      <c r="Z3" s="701"/>
      <c r="AA3" s="701"/>
      <c r="AB3" s="701"/>
      <c r="AC3" s="701"/>
      <c r="AD3" s="702"/>
    </row>
    <row r="4" spans="3:30">
      <c r="C4" s="465"/>
      <c r="G4" s="466" t="s">
        <v>1632</v>
      </c>
      <c r="W4" s="467" t="s">
        <v>987</v>
      </c>
      <c r="AD4" s="468"/>
    </row>
    <row r="5" spans="3:30">
      <c r="C5" s="465"/>
      <c r="W5" s="469" t="s">
        <v>991</v>
      </c>
      <c r="X5" s="644" t="s">
        <v>990</v>
      </c>
      <c r="Y5" s="644"/>
      <c r="Z5" s="644"/>
      <c r="AA5" s="644" t="s">
        <v>988</v>
      </c>
      <c r="AB5" s="644"/>
      <c r="AC5" s="644" t="s">
        <v>989</v>
      </c>
      <c r="AD5" s="645"/>
    </row>
    <row r="6" spans="3:30">
      <c r="C6" s="465"/>
      <c r="W6" s="469">
        <v>1</v>
      </c>
      <c r="X6" s="644" t="s">
        <v>993</v>
      </c>
      <c r="Y6" s="644"/>
      <c r="Z6" s="644"/>
      <c r="AA6" s="644"/>
      <c r="AB6" s="644"/>
      <c r="AC6" s="644"/>
      <c r="AD6" s="645"/>
    </row>
    <row r="7" spans="3:30">
      <c r="C7" s="465"/>
      <c r="W7" s="469">
        <v>2</v>
      </c>
      <c r="X7" s="644" t="s">
        <v>994</v>
      </c>
      <c r="Y7" s="644"/>
      <c r="Z7" s="644"/>
      <c r="AA7" s="644"/>
      <c r="AB7" s="644"/>
      <c r="AC7" s="644"/>
      <c r="AD7" s="645"/>
    </row>
    <row r="8" spans="3:30">
      <c r="C8" s="465"/>
      <c r="W8" s="469">
        <v>3</v>
      </c>
      <c r="X8" s="644" t="s">
        <v>995</v>
      </c>
      <c r="Y8" s="644"/>
      <c r="Z8" s="644"/>
      <c r="AA8" s="644"/>
      <c r="AB8" s="644"/>
      <c r="AC8" s="644"/>
      <c r="AD8" s="645"/>
    </row>
    <row r="9" spans="3:30">
      <c r="C9" s="465"/>
      <c r="W9" s="469">
        <v>4</v>
      </c>
      <c r="X9" s="644" t="s">
        <v>996</v>
      </c>
      <c r="Y9" s="644"/>
      <c r="Z9" s="644"/>
      <c r="AA9" s="644"/>
      <c r="AB9" s="644"/>
      <c r="AC9" s="644"/>
      <c r="AD9" s="645"/>
    </row>
    <row r="10" spans="3:30">
      <c r="C10" s="465"/>
      <c r="W10" s="469">
        <v>5</v>
      </c>
      <c r="X10" s="644" t="s">
        <v>997</v>
      </c>
      <c r="Y10" s="644"/>
      <c r="Z10" s="644"/>
      <c r="AA10" s="644"/>
      <c r="AB10" s="644"/>
      <c r="AC10" s="644"/>
      <c r="AD10" s="645"/>
    </row>
    <row r="11" spans="3:30">
      <c r="C11" s="465"/>
      <c r="W11" s="469">
        <v>6</v>
      </c>
      <c r="X11" s="644" t="s">
        <v>998</v>
      </c>
      <c r="Y11" s="644"/>
      <c r="Z11" s="644"/>
      <c r="AA11" s="644"/>
      <c r="AB11" s="644"/>
      <c r="AC11" s="644"/>
      <c r="AD11" s="645"/>
    </row>
    <row r="12" spans="3:30">
      <c r="C12" s="465"/>
      <c r="W12" s="469">
        <v>7</v>
      </c>
      <c r="X12" s="644" t="s">
        <v>999</v>
      </c>
      <c r="Y12" s="644"/>
      <c r="Z12" s="644"/>
      <c r="AA12" s="644"/>
      <c r="AB12" s="644"/>
      <c r="AC12" s="644"/>
      <c r="AD12" s="645"/>
    </row>
    <row r="13" spans="3:30" ht="12.75" customHeight="1">
      <c r="C13" s="465"/>
      <c r="W13" s="469">
        <v>8</v>
      </c>
      <c r="X13" s="644" t="s">
        <v>1000</v>
      </c>
      <c r="Y13" s="644"/>
      <c r="Z13" s="644"/>
      <c r="AA13" s="644"/>
      <c r="AB13" s="644"/>
      <c r="AC13" s="644"/>
      <c r="AD13" s="645"/>
    </row>
    <row r="14" spans="3:30">
      <c r="C14" s="465"/>
      <c r="W14" s="469">
        <v>9</v>
      </c>
      <c r="X14" s="644" t="s">
        <v>1001</v>
      </c>
      <c r="Y14" s="644"/>
      <c r="Z14" s="644"/>
      <c r="AA14" s="644"/>
      <c r="AB14" s="644"/>
      <c r="AC14" s="644"/>
      <c r="AD14" s="645"/>
    </row>
    <row r="15" spans="3:30">
      <c r="C15" s="465"/>
      <c r="W15" s="469">
        <v>10</v>
      </c>
      <c r="X15" s="644" t="s">
        <v>1010</v>
      </c>
      <c r="Y15" s="644"/>
      <c r="Z15" s="644"/>
      <c r="AA15" s="644"/>
      <c r="AB15" s="644"/>
      <c r="AC15" s="644"/>
      <c r="AD15" s="645"/>
    </row>
    <row r="16" spans="3:30">
      <c r="C16" s="465"/>
      <c r="W16" s="469">
        <v>11</v>
      </c>
      <c r="X16" s="644" t="s">
        <v>1454</v>
      </c>
      <c r="Y16" s="644"/>
      <c r="Z16" s="644"/>
      <c r="AA16" s="644"/>
      <c r="AB16" s="644"/>
      <c r="AC16" s="644"/>
      <c r="AD16" s="645"/>
    </row>
    <row r="17" spans="3:30">
      <c r="C17" s="465"/>
      <c r="S17" s="471"/>
      <c r="W17" s="469">
        <v>12</v>
      </c>
      <c r="X17" s="644" t="s">
        <v>1011</v>
      </c>
      <c r="Y17" s="644"/>
      <c r="Z17" s="644"/>
      <c r="AA17" s="644"/>
      <c r="AB17" s="644"/>
      <c r="AC17" s="644"/>
      <c r="AD17" s="645"/>
    </row>
    <row r="18" spans="3:30">
      <c r="C18" s="472"/>
      <c r="D18" s="473"/>
      <c r="E18" s="473"/>
      <c r="W18" s="469">
        <v>13</v>
      </c>
      <c r="X18" s="644"/>
      <c r="Y18" s="644"/>
      <c r="Z18" s="644"/>
      <c r="AA18" s="644"/>
      <c r="AB18" s="644"/>
      <c r="AC18" s="644"/>
      <c r="AD18" s="645"/>
    </row>
    <row r="19" spans="3:30">
      <c r="C19" s="465"/>
      <c r="W19" s="474"/>
      <c r="X19" s="686"/>
      <c r="Y19" s="686"/>
      <c r="Z19" s="686"/>
      <c r="AA19" s="686"/>
      <c r="AB19" s="686"/>
      <c r="AC19" s="686"/>
      <c r="AD19" s="687"/>
    </row>
    <row r="20" spans="3:30">
      <c r="C20" s="465"/>
      <c r="Q20" s="475"/>
      <c r="W20" s="688" t="s">
        <v>992</v>
      </c>
      <c r="X20" s="689"/>
      <c r="Y20" s="689"/>
      <c r="Z20" s="689"/>
      <c r="AA20" s="689"/>
      <c r="AB20" s="689"/>
      <c r="AC20" s="689"/>
      <c r="AD20" s="690"/>
    </row>
    <row r="21" spans="3:30">
      <c r="C21" s="465"/>
      <c r="W21" s="691" t="s">
        <v>985</v>
      </c>
      <c r="X21" s="692"/>
      <c r="Y21" s="692"/>
      <c r="Z21" s="693"/>
      <c r="AA21" s="694" t="s">
        <v>986</v>
      </c>
      <c r="AB21" s="695"/>
      <c r="AC21" s="695"/>
      <c r="AD21" s="696"/>
    </row>
    <row r="22" spans="3:30">
      <c r="C22" s="465"/>
      <c r="S22" s="476"/>
      <c r="W22" s="680" t="s">
        <v>1630</v>
      </c>
      <c r="X22" s="681"/>
      <c r="Y22" s="477" t="s">
        <v>1627</v>
      </c>
      <c r="Z22" s="478">
        <v>170</v>
      </c>
      <c r="AA22" s="682" t="s">
        <v>1631</v>
      </c>
      <c r="AB22" s="683"/>
      <c r="AC22" s="479" t="s">
        <v>1617</v>
      </c>
      <c r="AD22" s="480">
        <v>1</v>
      </c>
    </row>
    <row r="23" spans="3:30">
      <c r="C23" s="465"/>
      <c r="W23" s="680" t="s">
        <v>1618</v>
      </c>
      <c r="X23" s="681"/>
      <c r="Y23" s="477" t="s">
        <v>1617</v>
      </c>
      <c r="Z23" s="478">
        <v>1</v>
      </c>
      <c r="AA23" s="672"/>
      <c r="AB23" s="673"/>
      <c r="AC23" s="479"/>
      <c r="AD23" s="480"/>
    </row>
    <row r="24" spans="3:30">
      <c r="C24" s="465"/>
      <c r="W24" s="680" t="s">
        <v>1626</v>
      </c>
      <c r="X24" s="681"/>
      <c r="Y24" s="477" t="s">
        <v>1627</v>
      </c>
      <c r="Z24" s="478">
        <v>45</v>
      </c>
      <c r="AA24" s="684"/>
      <c r="AB24" s="685"/>
      <c r="AC24" s="479"/>
      <c r="AD24" s="480"/>
    </row>
    <row r="25" spans="3:30">
      <c r="C25" s="465"/>
      <c r="W25" s="680" t="s">
        <v>1625</v>
      </c>
      <c r="X25" s="681"/>
      <c r="Y25" s="477" t="s">
        <v>1617</v>
      </c>
      <c r="Z25" s="478">
        <v>4</v>
      </c>
      <c r="AA25" s="672"/>
      <c r="AB25" s="673"/>
      <c r="AC25" s="479"/>
      <c r="AD25" s="480"/>
    </row>
    <row r="26" spans="3:30">
      <c r="C26" s="465"/>
      <c r="W26" s="678" t="s">
        <v>1628</v>
      </c>
      <c r="X26" s="679"/>
      <c r="Y26" s="477" t="s">
        <v>1617</v>
      </c>
      <c r="Z26" s="478">
        <v>1</v>
      </c>
      <c r="AA26" s="672"/>
      <c r="AB26" s="673"/>
      <c r="AC26" s="479"/>
      <c r="AD26" s="480"/>
    </row>
    <row r="27" spans="3:30">
      <c r="C27" s="465"/>
      <c r="W27" s="678" t="s">
        <v>1629</v>
      </c>
      <c r="X27" s="679"/>
      <c r="Y27" s="477" t="s">
        <v>1617</v>
      </c>
      <c r="Z27" s="478">
        <v>1</v>
      </c>
      <c r="AA27" s="672"/>
      <c r="AB27" s="673"/>
      <c r="AC27" s="479"/>
      <c r="AD27" s="480"/>
    </row>
    <row r="28" spans="3:30">
      <c r="C28" s="465"/>
      <c r="W28" s="670"/>
      <c r="X28" s="671"/>
      <c r="Y28" s="477"/>
      <c r="Z28" s="478"/>
      <c r="AA28" s="672"/>
      <c r="AB28" s="673"/>
      <c r="AC28" s="479"/>
      <c r="AD28" s="480"/>
    </row>
    <row r="29" spans="3:30">
      <c r="C29" s="465"/>
      <c r="W29" s="678"/>
      <c r="X29" s="679"/>
      <c r="Y29" s="477"/>
      <c r="Z29" s="478"/>
      <c r="AA29" s="672"/>
      <c r="AB29" s="673"/>
      <c r="AC29" s="479"/>
      <c r="AD29" s="480"/>
    </row>
    <row r="30" spans="3:30" ht="11.25" customHeight="1">
      <c r="C30" s="465"/>
      <c r="W30" s="670"/>
      <c r="X30" s="671"/>
      <c r="Y30" s="477"/>
      <c r="Z30" s="478"/>
      <c r="AA30" s="672"/>
      <c r="AB30" s="673"/>
      <c r="AC30" s="479"/>
      <c r="AD30" s="480"/>
    </row>
    <row r="31" spans="3:30">
      <c r="C31" s="465"/>
      <c r="U31" s="485"/>
      <c r="W31" s="483"/>
      <c r="X31" s="484"/>
      <c r="Y31" s="477"/>
      <c r="Z31" s="478"/>
      <c r="AA31" s="672"/>
      <c r="AB31" s="673"/>
      <c r="AC31" s="479"/>
      <c r="AD31" s="480"/>
    </row>
    <row r="32" spans="3:30">
      <c r="C32" s="465"/>
      <c r="U32" s="485"/>
      <c r="W32" s="481"/>
      <c r="X32" s="482"/>
      <c r="Y32" s="477"/>
      <c r="Z32" s="478"/>
      <c r="AA32" s="672"/>
      <c r="AB32" s="673"/>
      <c r="AC32" s="479"/>
      <c r="AD32" s="480"/>
    </row>
    <row r="33" spans="3:30">
      <c r="C33" s="465"/>
      <c r="W33" s="670"/>
      <c r="X33" s="671"/>
      <c r="Y33" s="477"/>
      <c r="Z33" s="478"/>
      <c r="AA33" s="672"/>
      <c r="AB33" s="673"/>
      <c r="AC33" s="479"/>
      <c r="AD33" s="480"/>
    </row>
    <row r="34" spans="3:30">
      <c r="C34" s="465"/>
      <c r="Q34" s="462" t="s">
        <v>1607</v>
      </c>
      <c r="W34" s="670"/>
      <c r="X34" s="671"/>
      <c r="Y34" s="477"/>
      <c r="Z34" s="478"/>
      <c r="AA34" s="672"/>
      <c r="AB34" s="673"/>
      <c r="AC34" s="479"/>
      <c r="AD34" s="480"/>
    </row>
    <row r="35" spans="3:30">
      <c r="C35" s="465"/>
      <c r="W35" s="670"/>
      <c r="X35" s="671"/>
      <c r="Y35" s="477"/>
      <c r="Z35" s="478"/>
      <c r="AA35" s="672"/>
      <c r="AB35" s="673"/>
      <c r="AC35" s="479"/>
      <c r="AD35" s="480"/>
    </row>
    <row r="36" spans="3:30">
      <c r="C36" s="465"/>
      <c r="W36" s="670"/>
      <c r="X36" s="671"/>
      <c r="Y36" s="477"/>
      <c r="Z36" s="478"/>
      <c r="AA36" s="672"/>
      <c r="AB36" s="673"/>
      <c r="AC36" s="479"/>
      <c r="AD36" s="480"/>
    </row>
    <row r="37" spans="3:30" ht="12.75" customHeight="1">
      <c r="C37" s="465"/>
      <c r="W37" s="483"/>
      <c r="X37" s="486"/>
      <c r="Y37" s="477"/>
      <c r="Z37" s="478"/>
      <c r="AA37" s="674"/>
      <c r="AB37" s="675"/>
      <c r="AC37" s="479"/>
      <c r="AD37" s="487"/>
    </row>
    <row r="38" spans="3:30" ht="12.75" customHeight="1">
      <c r="C38" s="465"/>
      <c r="W38" s="488"/>
      <c r="X38" s="489"/>
      <c r="Y38" s="477"/>
      <c r="Z38" s="490"/>
      <c r="AA38" s="676"/>
      <c r="AB38" s="677"/>
      <c r="AC38" s="479"/>
      <c r="AD38" s="487"/>
    </row>
    <row r="39" spans="3:30" ht="12" customHeight="1">
      <c r="C39" s="465"/>
      <c r="W39" s="488"/>
      <c r="X39" s="489"/>
      <c r="Y39" s="477"/>
      <c r="Z39" s="490"/>
      <c r="AA39" s="658"/>
      <c r="AB39" s="659"/>
      <c r="AC39" s="479"/>
      <c r="AD39" s="487"/>
    </row>
    <row r="40" spans="3:30" ht="12" customHeight="1">
      <c r="C40" s="465"/>
      <c r="W40" s="491"/>
      <c r="X40" s="492"/>
      <c r="Y40" s="493"/>
      <c r="Z40" s="490"/>
      <c r="AA40" s="494"/>
      <c r="AB40" s="495"/>
      <c r="AC40" s="496"/>
      <c r="AD40" s="497"/>
    </row>
    <row r="41" spans="3:30" ht="12" customHeight="1">
      <c r="C41" s="465"/>
      <c r="W41" s="660"/>
      <c r="X41" s="661"/>
      <c r="Y41" s="498"/>
      <c r="Z41" s="499"/>
      <c r="AA41" s="662"/>
      <c r="AB41" s="663"/>
      <c r="AC41" s="496"/>
      <c r="AD41" s="497"/>
    </row>
    <row r="42" spans="3:30" ht="12" customHeight="1">
      <c r="C42" s="465"/>
      <c r="W42" s="664" t="s">
        <v>1624</v>
      </c>
      <c r="X42" s="665"/>
      <c r="Y42" s="665"/>
      <c r="Z42" s="665"/>
      <c r="AA42" s="665"/>
      <c r="AB42" s="665"/>
      <c r="AC42" s="665"/>
      <c r="AD42" s="666"/>
    </row>
    <row r="43" spans="3:30" ht="12" customHeight="1">
      <c r="C43" s="465"/>
      <c r="V43" s="500"/>
      <c r="W43" s="667"/>
      <c r="X43" s="668"/>
      <c r="Y43" s="668"/>
      <c r="Z43" s="668"/>
      <c r="AA43" s="668"/>
      <c r="AB43" s="668"/>
      <c r="AC43" s="668"/>
      <c r="AD43" s="669"/>
    </row>
    <row r="44" spans="3:30">
      <c r="C44" s="501"/>
      <c r="D44" s="502"/>
      <c r="E44" s="502"/>
      <c r="F44" s="502"/>
      <c r="G44" s="502"/>
      <c r="H44" s="502"/>
      <c r="I44" s="502"/>
      <c r="N44" s="502"/>
      <c r="O44" s="502"/>
      <c r="P44" s="502"/>
      <c r="Q44" s="502"/>
      <c r="R44" s="502"/>
      <c r="S44" s="502"/>
      <c r="T44" s="502"/>
      <c r="U44" s="502"/>
      <c r="V44" s="500"/>
      <c r="W44" s="656" t="s">
        <v>11</v>
      </c>
      <c r="X44" s="643"/>
      <c r="Y44" s="644"/>
      <c r="Z44" s="644"/>
      <c r="AA44" s="644"/>
      <c r="AB44" s="644"/>
      <c r="AC44" s="644"/>
      <c r="AD44" s="645"/>
    </row>
    <row r="45" spans="3:30">
      <c r="C45" s="501"/>
      <c r="D45" s="502"/>
      <c r="E45" s="502"/>
      <c r="F45" s="502"/>
      <c r="G45" s="502"/>
      <c r="H45" s="502"/>
      <c r="I45" s="502"/>
      <c r="N45" s="502"/>
      <c r="O45" s="502"/>
      <c r="P45" s="502"/>
      <c r="Q45" s="502"/>
      <c r="R45" s="502"/>
      <c r="S45" s="502"/>
      <c r="T45" s="502"/>
      <c r="U45" s="502"/>
      <c r="V45" s="500"/>
      <c r="W45" s="656" t="s">
        <v>984</v>
      </c>
      <c r="X45" s="643"/>
      <c r="Y45" s="644">
        <v>1</v>
      </c>
      <c r="Z45" s="644"/>
      <c r="AA45" s="644"/>
      <c r="AB45" s="644" t="s">
        <v>12</v>
      </c>
      <c r="AC45" s="644"/>
      <c r="AD45" s="470" t="s">
        <v>13</v>
      </c>
    </row>
    <row r="46" spans="3:30">
      <c r="C46" s="501"/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0"/>
      <c r="W46" s="656" t="s">
        <v>15</v>
      </c>
      <c r="X46" s="643"/>
      <c r="Y46" s="657"/>
      <c r="Z46" s="657"/>
      <c r="AA46" s="657"/>
      <c r="AB46" s="644" t="s">
        <v>16</v>
      </c>
      <c r="AC46" s="644"/>
      <c r="AD46" s="503"/>
    </row>
    <row r="47" spans="3:30">
      <c r="C47" s="501"/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0"/>
      <c r="W47" s="650" t="s">
        <v>17</v>
      </c>
      <c r="X47" s="650"/>
      <c r="Y47" s="650"/>
      <c r="Z47" s="650"/>
      <c r="AA47" s="650"/>
      <c r="AB47" s="650"/>
      <c r="AC47" s="650"/>
      <c r="AD47" s="651"/>
    </row>
    <row r="48" spans="3:30" ht="12.75" customHeight="1">
      <c r="C48" s="501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R48" s="502"/>
      <c r="S48" s="502"/>
      <c r="T48" s="502"/>
      <c r="U48" s="502"/>
      <c r="V48" s="500"/>
      <c r="W48" s="652" t="s">
        <v>1633</v>
      </c>
      <c r="X48" s="652"/>
      <c r="Y48" s="652"/>
      <c r="Z48" s="652"/>
      <c r="AA48" s="652"/>
      <c r="AB48" s="652"/>
      <c r="AC48" s="652"/>
      <c r="AD48" s="653"/>
    </row>
    <row r="49" spans="3:30">
      <c r="C49" s="501"/>
      <c r="D49" s="504"/>
      <c r="E49" s="502"/>
      <c r="F49" s="502"/>
      <c r="G49" s="502"/>
      <c r="I49" s="502"/>
      <c r="J49" s="502"/>
      <c r="K49" s="502"/>
      <c r="L49" s="502"/>
      <c r="M49" s="502"/>
      <c r="R49" s="502"/>
      <c r="S49" s="502"/>
      <c r="T49" s="502"/>
      <c r="U49" s="502"/>
      <c r="V49" s="505"/>
      <c r="W49" s="652"/>
      <c r="X49" s="652"/>
      <c r="Y49" s="652"/>
      <c r="Z49" s="652"/>
      <c r="AA49" s="652"/>
      <c r="AB49" s="652"/>
      <c r="AC49" s="652"/>
      <c r="AD49" s="653"/>
    </row>
    <row r="50" spans="3:30">
      <c r="C50" s="501"/>
      <c r="D50" s="506"/>
      <c r="E50" s="506"/>
      <c r="F50" s="506"/>
      <c r="G50" s="506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5"/>
      <c r="W50" s="652"/>
      <c r="X50" s="652"/>
      <c r="Y50" s="652"/>
      <c r="Z50" s="652"/>
      <c r="AA50" s="652"/>
      <c r="AB50" s="652"/>
      <c r="AC50" s="652"/>
      <c r="AD50" s="653"/>
    </row>
    <row r="51" spans="3:30" ht="19.5" customHeight="1">
      <c r="C51" s="501"/>
      <c r="D51" s="506"/>
      <c r="E51" s="506"/>
      <c r="F51" s="506"/>
      <c r="G51" s="506"/>
      <c r="I51" s="502"/>
      <c r="J51" s="502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5"/>
      <c r="W51" s="654"/>
      <c r="X51" s="654"/>
      <c r="Y51" s="654"/>
      <c r="Z51" s="654"/>
      <c r="AA51" s="654"/>
      <c r="AB51" s="654"/>
      <c r="AC51" s="654"/>
      <c r="AD51" s="655"/>
    </row>
    <row r="52" spans="3:30">
      <c r="C52" s="501"/>
      <c r="D52" s="507"/>
      <c r="E52" s="507"/>
      <c r="F52" s="507"/>
      <c r="G52" s="507"/>
      <c r="I52" s="502"/>
      <c r="J52" s="502"/>
      <c r="K52" s="502"/>
      <c r="L52" s="422"/>
      <c r="M52" s="502"/>
      <c r="N52" s="502"/>
      <c r="O52" s="502"/>
      <c r="P52" s="502"/>
      <c r="Q52" s="502"/>
      <c r="R52" s="502"/>
      <c r="S52" s="502"/>
      <c r="T52" s="502"/>
      <c r="U52" s="502"/>
      <c r="V52" s="500"/>
      <c r="W52" s="642" t="s">
        <v>18</v>
      </c>
      <c r="X52" s="643"/>
      <c r="Y52" s="644" t="s">
        <v>1623</v>
      </c>
      <c r="Z52" s="644"/>
      <c r="AA52" s="644"/>
      <c r="AB52" s="644"/>
      <c r="AC52" s="644"/>
      <c r="AD52" s="645"/>
    </row>
    <row r="53" spans="3:30">
      <c r="C53" s="501"/>
      <c r="D53" s="506"/>
      <c r="E53" s="506"/>
      <c r="F53" s="506"/>
      <c r="G53" s="506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V53" s="500"/>
      <c r="W53" s="642" t="s">
        <v>19</v>
      </c>
      <c r="X53" s="643"/>
      <c r="Y53" s="644" t="s">
        <v>1622</v>
      </c>
      <c r="Z53" s="644"/>
      <c r="AA53" s="644"/>
      <c r="AB53" s="644"/>
      <c r="AC53" s="644"/>
      <c r="AD53" s="645"/>
    </row>
    <row r="54" spans="3:30">
      <c r="C54" s="501"/>
      <c r="D54" s="423"/>
      <c r="E54" s="423"/>
      <c r="F54" s="423"/>
      <c r="G54" s="423"/>
      <c r="I54" s="502"/>
      <c r="J54" s="502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V54" s="500"/>
      <c r="W54" s="642" t="s">
        <v>20</v>
      </c>
      <c r="X54" s="643"/>
      <c r="Y54" s="644" t="s">
        <v>1622</v>
      </c>
      <c r="Z54" s="644"/>
      <c r="AA54" s="644"/>
      <c r="AB54" s="644"/>
      <c r="AC54" s="644"/>
      <c r="AD54" s="645"/>
    </row>
    <row r="55" spans="3:30" ht="12.75" thickBot="1">
      <c r="C55" s="508"/>
      <c r="D55" s="509"/>
      <c r="E55" s="509"/>
      <c r="F55" s="509"/>
      <c r="G55" s="509"/>
      <c r="H55" s="509"/>
      <c r="I55" s="509"/>
      <c r="J55" s="509"/>
      <c r="K55" s="509"/>
      <c r="L55" s="509"/>
      <c r="M55" s="509"/>
      <c r="N55" s="509"/>
      <c r="O55" s="509"/>
      <c r="P55" s="509"/>
      <c r="Q55" s="509"/>
      <c r="R55" s="509"/>
      <c r="S55" s="509"/>
      <c r="T55" s="509"/>
      <c r="U55" s="510"/>
      <c r="V55" s="511"/>
      <c r="W55" s="646" t="s">
        <v>21</v>
      </c>
      <c r="X55" s="647"/>
      <c r="Y55" s="648" t="s">
        <v>1621</v>
      </c>
      <c r="Z55" s="648"/>
      <c r="AA55" s="648"/>
      <c r="AB55" s="648"/>
      <c r="AC55" s="648"/>
      <c r="AD55" s="649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C7" sqref="C7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03" t="s">
        <v>1619</v>
      </c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704"/>
      <c r="X3" s="704"/>
      <c r="Y3" s="704"/>
      <c r="Z3" s="704"/>
      <c r="AA3" s="704"/>
      <c r="AB3" s="705"/>
      <c r="AC3" s="430"/>
      <c r="AD3" s="428"/>
      <c r="AE3" s="428"/>
    </row>
    <row r="4" spans="2:31" ht="13.5" customHeight="1" thickBot="1">
      <c r="B4" s="429"/>
      <c r="C4" s="706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8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D7" sqref="D7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09" t="s">
        <v>1620</v>
      </c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1"/>
      <c r="AD4" s="206"/>
      <c r="AE4" s="205"/>
      <c r="AF4" s="205"/>
    </row>
    <row r="5" spans="2:32" ht="13.5" customHeight="1" thickBot="1">
      <c r="B5" s="204"/>
      <c r="C5" s="204"/>
      <c r="D5" s="712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3"/>
      <c r="P5" s="713"/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3"/>
      <c r="AC5" s="714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2024-03-25T03:00:56Z</dcterms:modified>
</cp:coreProperties>
</file>