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5BAED8F8-30C5-45EF-B8A6-289E07ED6808}" xr6:coauthVersionLast="47" xr6:coauthVersionMax="47" xr10:uidLastSave="{00000000-0000-0000-0000-000000000000}"/>
  <bookViews>
    <workbookView xWindow="-120" yWindow="-120" windowWidth="20730" windowHeight="11160" tabRatio="859" firstSheet="2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8" r:id="rId10"/>
    <sheet name="Peta lokasi" sheetId="89" r:id="rId11"/>
    <sheet name="SLD" sheetId="90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0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0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 localSheetId="10">[2]prod03!#REF!</definedName>
    <definedName name="____DIL1" localSheetId="11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0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 localSheetId="10">[2]prod03!#REF!</definedName>
    <definedName name="___DIL1" localSheetId="11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10" hidden="1">[6]DExp.Lmb!#REF!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localSheetId="11" hidden="1">[6]DExp.Lmb!#REF!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10" hidden="1">[6]DExp.Lmb!#REF!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localSheetId="11" hidden="1">[6]DExp.Lmb!#REF!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10" hidden="1">[9]PkRp!#REF!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localSheetId="11" hidden="1">[9]PkRp!#REF!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10" hidden="1">[6]DExp.Lmb!#REF!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localSheetId="11" hidden="1">[6]DExp.Lmb!#REF!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localSheetId="10" hidden="1">[5]DExp.Lmb!#REF!</definedName>
    <definedName name="__123gRAPH_x1" localSheetId="11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0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0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 localSheetId="10">[2]prod03!#REF!</definedName>
    <definedName name="__DIL1" localSheetId="11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 localSheetId="10">[37]JAN07!#REF!</definedName>
    <definedName name="dc" localSheetId="11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0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INDEX([93]KKO!#REF!,MATCH([93]KKO!#REF!:[93]KKO!#REF!,0)*2)</definedName>
    <definedName name="GBR" localSheetId="11">INDEX([93]KKO!#REF!,MATCH([93]KKO!#REF!:[93]KKO!#REF!,0)*2)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 localSheetId="10">'[51]Neraca seAPJ'!#REF!</definedName>
    <definedName name="input" localSheetId="11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 localSheetId="10">'[53]D2. ANALISA HS INSHAR'!#REF!</definedName>
    <definedName name="jamkerjaentri" localSheetId="11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INDEX([93]PDL!$B$1:$B$3,IFERROR(MATCH([93]KKO!$D$15,[93]PDL!$A$1:$A$2,),3))</definedName>
    <definedName name="Kutools_PDL0_1" localSheetId="11">INDEX([93]PDL!$B$1:$B$3,IFERROR(MATCH([93]KKO!$D$15,[93]PDL!$A$1:$A$2,),3))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INDEX([93]PDL!$D$4:$D$6,IFERROR(MATCH([93]KKO!$D$15,[93]PDL!$C$4:$C$5,),3))</definedName>
    <definedName name="Kutools_PDL1_1" localSheetId="11">INDEX([93]PDL!$D$4:$D$6,IFERROR(MATCH([93]KKO!$D$15,[93]PDL!$C$4:$C$5,),3))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INDEX([93]PDL!$V$31:$V$33,IFERROR(MATCH([93]KKO!$K$15,[93]PDL!$U$31:$U$32,),3))</definedName>
    <definedName name="Kutools_PDL10_1" localSheetId="11">INDEX([93]PDL!$V$31:$V$33,IFERROR(MATCH([93]KKO!$K$15,[93]PDL!$U$31:$U$32,),3))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INDEX([93]PDL!$F$7:$F$9,IFERROR(MATCH([93]KKO!$K$15,[93]PDL!$E$7:$E$8,),3))</definedName>
    <definedName name="Kutools_PDL2_1" localSheetId="11">INDEX([93]PDL!$F$7:$F$9,IFERROR(MATCH([93]KKO!$K$15,[93]PDL!$E$7:$E$8,),3))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INDEX([93]PDL!$H$10:$H$12,IFERROR(MATCH([93]KKO!$D$15,[93]PDL!$G$10:$G$11,),3))</definedName>
    <definedName name="Kutools_PDL3_1" localSheetId="11">INDEX([93]PDL!$H$10:$H$12,IFERROR(MATCH([93]KKO!$D$15,[93]PDL!$G$10:$G$11,),3))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INDEX([93]PDL!$J$13:$J$15,IFERROR(MATCH([93]KKO!$D$15,[93]PDL!$I$13:$I$14,),3))</definedName>
    <definedName name="Kutools_PDL4_1" localSheetId="11">INDEX([93]PDL!$J$13:$J$15,IFERROR(MATCH([93]KKO!$D$15,[93]PDL!$I$13:$I$14,),3))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INDEX([93]PDL!$L$16:$L$18,IFERROR(MATCH([93]KKO!$K$15,[93]PDL!$K$16:$K$17,),3))</definedName>
    <definedName name="Kutools_PDL5_1" localSheetId="11">INDEX([93]PDL!$L$16:$L$18,IFERROR(MATCH([93]KKO!$K$15,[93]PDL!$K$16:$K$17,),3))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INDEX([93]PDL!$N$19:$N$21,IFERROR(MATCH([93]KKO!$D$15,[93]PDL!$M$19:$M$20,),3))</definedName>
    <definedName name="Kutools_PDL6_1" localSheetId="11">INDEX([93]PDL!$N$19:$N$21,IFERROR(MATCH([93]KKO!$D$15,[93]PDL!$M$19:$M$20,),3))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INDEX([93]PDL!$P$22:$P$24,IFERROR(MATCH([93]KKO!$D$15,[93]PDL!$O$22:$O$23,),3))</definedName>
    <definedName name="Kutools_PDL7_1" localSheetId="11">INDEX([93]PDL!$P$22:$P$24,IFERROR(MATCH([93]KKO!$D$15,[93]PDL!$O$22:$O$23,),3))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INDEX([93]PDL!$R$25:$R$27,IFERROR(MATCH([93]KKO!$D$15,[93]PDL!$Q$25:$Q$26,),3))</definedName>
    <definedName name="Kutools_PDL8_1" localSheetId="11">INDEX([93]PDL!$R$25:$R$27,IFERROR(MATCH([93]KKO!$D$15,[93]PDL!$Q$25:$Q$26,),3))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INDEX([93]PDL!$T$28:$T$30,IFERROR(MATCH([93]KKO!$D$15,[93]PDL!$S$28:$S$29,),3))</definedName>
    <definedName name="Kutools_PDL9_1" localSheetId="11">INDEX([93]PDL!$T$28:$T$30,IFERROR(MATCH([93]KKO!$D$15,[93]PDL!$S$28:$S$29,),3))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 localSheetId="10">[22]Usulan!#REF!</definedName>
    <definedName name="NEGO" localSheetId="11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[93]KKO!#REF!</definedName>
    <definedName name="pict" localSheetId="11">[93]KKO!#REF!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RAB!$A$1:$K$96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7">[71]JAN07!#REF!</definedName>
    <definedName name="rtyu" localSheetId="10">[72]JAN07!#REF!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 localSheetId="10">[18]JAN09!#REF!</definedName>
    <definedName name="sdffA" localSheetId="11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7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8"/>
</workbook>
</file>

<file path=xl/calcChain.xml><?xml version="1.0" encoding="utf-8"?>
<calcChain xmlns="http://schemas.openxmlformats.org/spreadsheetml/2006/main">
  <c r="D16" i="60" l="1"/>
  <c r="F24" i="11"/>
  <c r="F23" i="11"/>
  <c r="F22" i="11"/>
  <c r="F21" i="11"/>
  <c r="G74" i="11" l="1"/>
  <c r="D74" i="11"/>
  <c r="I74" i="11" s="1"/>
  <c r="E74" i="11"/>
  <c r="D19" i="11"/>
  <c r="F65" i="11"/>
  <c r="F63" i="11"/>
  <c r="F62" i="11"/>
  <c r="F61" i="11"/>
  <c r="J74" i="11" l="1"/>
  <c r="H74" i="11"/>
  <c r="K74" i="11" l="1"/>
  <c r="G73" i="11" l="1"/>
  <c r="D73" i="11"/>
  <c r="H73" i="11" s="1"/>
  <c r="E73" i="11"/>
  <c r="D24" i="11"/>
  <c r="G32" i="11"/>
  <c r="D32" i="11"/>
  <c r="E32" i="11"/>
  <c r="F31" i="11"/>
  <c r="F30" i="11"/>
  <c r="F29" i="11"/>
  <c r="F28" i="11"/>
  <c r="F27" i="11"/>
  <c r="G25" i="11"/>
  <c r="G26" i="11"/>
  <c r="G27" i="11"/>
  <c r="G28" i="11"/>
  <c r="G29" i="11"/>
  <c r="G30" i="11"/>
  <c r="G31" i="11"/>
  <c r="D25" i="11"/>
  <c r="H25" i="11" s="1"/>
  <c r="E25" i="11"/>
  <c r="D26" i="11"/>
  <c r="J26" i="11" s="1"/>
  <c r="E26" i="11"/>
  <c r="D27" i="11"/>
  <c r="E27" i="11"/>
  <c r="D28" i="11"/>
  <c r="H28" i="11" s="1"/>
  <c r="E28" i="11"/>
  <c r="D29" i="11"/>
  <c r="H29" i="11" s="1"/>
  <c r="E29" i="11"/>
  <c r="D30" i="11"/>
  <c r="J30" i="11" s="1"/>
  <c r="E30" i="11"/>
  <c r="D31" i="11"/>
  <c r="I31" i="11" s="1"/>
  <c r="E31" i="11"/>
  <c r="J73" i="11" l="1"/>
  <c r="I73" i="11"/>
  <c r="J32" i="11"/>
  <c r="I32" i="11"/>
  <c r="H32" i="11"/>
  <c r="I27" i="11"/>
  <c r="I30" i="11"/>
  <c r="I26" i="11"/>
  <c r="H31" i="11"/>
  <c r="J29" i="11"/>
  <c r="H27" i="11"/>
  <c r="J25" i="11"/>
  <c r="H30" i="11"/>
  <c r="I29" i="11"/>
  <c r="J28" i="11"/>
  <c r="H26" i="11"/>
  <c r="I25" i="11"/>
  <c r="J31" i="11"/>
  <c r="I28" i="11"/>
  <c r="J27" i="11"/>
  <c r="K73" i="11" l="1"/>
  <c r="K26" i="11"/>
  <c r="K32" i="11"/>
  <c r="K28" i="11"/>
  <c r="K29" i="11"/>
  <c r="K30" i="11"/>
  <c r="K25" i="11"/>
  <c r="K31" i="11"/>
  <c r="K27" i="11"/>
  <c r="G61" i="11" l="1"/>
  <c r="G62" i="11"/>
  <c r="G63" i="11"/>
  <c r="G64" i="11"/>
  <c r="G65" i="11"/>
  <c r="D16" i="11"/>
  <c r="D17" i="11"/>
  <c r="F72" i="11" l="1"/>
  <c r="F71" i="11"/>
  <c r="F70" i="11"/>
  <c r="F69" i="11"/>
  <c r="F68" i="11"/>
  <c r="D65" i="11"/>
  <c r="H65" i="11" s="1"/>
  <c r="E65" i="11"/>
  <c r="G59" i="11"/>
  <c r="G60" i="11"/>
  <c r="G66" i="11"/>
  <c r="G67" i="11"/>
  <c r="G68" i="11"/>
  <c r="G69" i="11"/>
  <c r="G70" i="11"/>
  <c r="G71" i="11"/>
  <c r="G72" i="11"/>
  <c r="G75" i="11"/>
  <c r="D59" i="11"/>
  <c r="H59" i="11" s="1"/>
  <c r="E59" i="11"/>
  <c r="D60" i="11"/>
  <c r="J60" i="11" s="1"/>
  <c r="E60" i="11"/>
  <c r="D61" i="11"/>
  <c r="I61" i="11" s="1"/>
  <c r="E61" i="11"/>
  <c r="D62" i="11"/>
  <c r="E62" i="11"/>
  <c r="D63" i="11"/>
  <c r="E63" i="11"/>
  <c r="D64" i="11"/>
  <c r="E64" i="11"/>
  <c r="D66" i="11"/>
  <c r="I66" i="11" s="1"/>
  <c r="E66" i="11"/>
  <c r="D67" i="11"/>
  <c r="H67" i="11" s="1"/>
  <c r="E67" i="11"/>
  <c r="D68" i="11"/>
  <c r="H68" i="11" s="1"/>
  <c r="E68" i="11"/>
  <c r="D69" i="11"/>
  <c r="J69" i="11" s="1"/>
  <c r="E69" i="11"/>
  <c r="D70" i="11"/>
  <c r="E70" i="11"/>
  <c r="D71" i="11"/>
  <c r="H71" i="11" s="1"/>
  <c r="E71" i="11"/>
  <c r="D72" i="11"/>
  <c r="H72" i="11" s="1"/>
  <c r="E72" i="11"/>
  <c r="D75" i="11"/>
  <c r="E75" i="11"/>
  <c r="G15" i="11"/>
  <c r="G16" i="11"/>
  <c r="G17" i="11"/>
  <c r="G18" i="11"/>
  <c r="J75" i="11" l="1"/>
  <c r="I70" i="11"/>
  <c r="J65" i="11"/>
  <c r="I65" i="11"/>
  <c r="H63" i="11"/>
  <c r="J64" i="11"/>
  <c r="H62" i="11"/>
  <c r="J68" i="11"/>
  <c r="H66" i="11"/>
  <c r="H60" i="11"/>
  <c r="I69" i="11"/>
  <c r="J63" i="11"/>
  <c r="H61" i="11"/>
  <c r="H69" i="11"/>
  <c r="J67" i="11"/>
  <c r="I64" i="11"/>
  <c r="J59" i="11"/>
  <c r="H70" i="11"/>
  <c r="H64" i="11"/>
  <c r="J62" i="11"/>
  <c r="I60" i="11"/>
  <c r="I75" i="11"/>
  <c r="J72" i="11"/>
  <c r="H75" i="11"/>
  <c r="I72" i="11"/>
  <c r="J71" i="11"/>
  <c r="I68" i="11"/>
  <c r="I63" i="11"/>
  <c r="I59" i="11"/>
  <c r="I71" i="11"/>
  <c r="K71" i="11" s="1"/>
  <c r="J70" i="11"/>
  <c r="I67" i="11"/>
  <c r="J66" i="11"/>
  <c r="I62" i="11"/>
  <c r="J61" i="11"/>
  <c r="K68" i="11" l="1"/>
  <c r="K65" i="11"/>
  <c r="K64" i="11"/>
  <c r="K62" i="11"/>
  <c r="K72" i="11"/>
  <c r="K70" i="11"/>
  <c r="K69" i="11"/>
  <c r="K67" i="11"/>
  <c r="K63" i="11"/>
  <c r="K61" i="11"/>
  <c r="K66" i="11"/>
  <c r="K59" i="11"/>
  <c r="K75" i="11"/>
  <c r="K60" i="11"/>
  <c r="D8" i="59" l="1"/>
  <c r="E16" i="11"/>
  <c r="E17" i="11"/>
  <c r="E18" i="11"/>
  <c r="H17" i="11" l="1"/>
  <c r="I17" i="11"/>
  <c r="J17" i="11"/>
  <c r="K17" i="11" l="1"/>
  <c r="D58" i="11" l="1"/>
  <c r="H58" i="11" s="1"/>
  <c r="D76" i="11"/>
  <c r="J76" i="11" s="1"/>
  <c r="G58" i="11"/>
  <c r="D15" i="11"/>
  <c r="D18" i="11"/>
  <c r="H19" i="11"/>
  <c r="D20" i="11"/>
  <c r="H20" i="11" s="1"/>
  <c r="G19" i="11"/>
  <c r="G20" i="11"/>
  <c r="G21" i="11"/>
  <c r="K6" i="60"/>
  <c r="M77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54" i="11"/>
  <c r="E54" i="11"/>
  <c r="D54" i="11"/>
  <c r="G53" i="11"/>
  <c r="E53" i="11"/>
  <c r="D53" i="11"/>
  <c r="H53" i="11" s="1"/>
  <c r="G52" i="11"/>
  <c r="E52" i="11"/>
  <c r="D52" i="11"/>
  <c r="G51" i="11"/>
  <c r="E51" i="11"/>
  <c r="D51" i="11"/>
  <c r="J51" i="11" s="1"/>
  <c r="G50" i="11"/>
  <c r="E50" i="11"/>
  <c r="D50" i="11"/>
  <c r="I50" i="11" s="1"/>
  <c r="G49" i="11"/>
  <c r="E49" i="11"/>
  <c r="D49" i="11"/>
  <c r="G48" i="11"/>
  <c r="E48" i="11"/>
  <c r="D48" i="11"/>
  <c r="H48" i="11" s="1"/>
  <c r="G47" i="11"/>
  <c r="E47" i="11"/>
  <c r="D47" i="11"/>
  <c r="G46" i="11"/>
  <c r="E46" i="11"/>
  <c r="D46" i="11"/>
  <c r="G45" i="11"/>
  <c r="E45" i="11"/>
  <c r="D45" i="11"/>
  <c r="G44" i="11"/>
  <c r="E44" i="11"/>
  <c r="D44" i="11"/>
  <c r="J44" i="11" s="1"/>
  <c r="G43" i="11"/>
  <c r="E43" i="11"/>
  <c r="D43" i="11"/>
  <c r="J43" i="11" s="1"/>
  <c r="G42" i="11"/>
  <c r="E42" i="11"/>
  <c r="D42" i="11"/>
  <c r="G41" i="11"/>
  <c r="E41" i="11"/>
  <c r="D41" i="11"/>
  <c r="G40" i="11"/>
  <c r="E40" i="11"/>
  <c r="D40" i="11"/>
  <c r="G39" i="11"/>
  <c r="E39" i="11"/>
  <c r="D39" i="11"/>
  <c r="G38" i="11"/>
  <c r="E38" i="11"/>
  <c r="D38" i="11"/>
  <c r="J38" i="11" s="1"/>
  <c r="G37" i="11"/>
  <c r="E37" i="11"/>
  <c r="D37" i="11"/>
  <c r="G36" i="11"/>
  <c r="E36" i="11"/>
  <c r="D36" i="11"/>
  <c r="G35" i="11"/>
  <c r="E35" i="11"/>
  <c r="D35" i="11"/>
  <c r="G34" i="11"/>
  <c r="E34" i="11"/>
  <c r="D34" i="11"/>
  <c r="G33" i="11"/>
  <c r="E33" i="11"/>
  <c r="D33" i="11"/>
  <c r="M33" i="11"/>
  <c r="D14" i="59"/>
  <c r="D5" i="60" s="1"/>
  <c r="K5" i="60" s="1"/>
  <c r="G24" i="11"/>
  <c r="E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58" i="11"/>
  <c r="D55" i="11"/>
  <c r="E55" i="11"/>
  <c r="D56" i="11"/>
  <c r="E56" i="11"/>
  <c r="M58" i="11"/>
  <c r="D57" i="11"/>
  <c r="E57" i="11"/>
  <c r="E76" i="11"/>
  <c r="G76" i="11"/>
  <c r="D14" i="11"/>
  <c r="H14" i="11" s="1"/>
  <c r="E14" i="11"/>
  <c r="G14" i="11"/>
  <c r="K19" i="60"/>
  <c r="D19" i="60"/>
  <c r="M76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 s="1"/>
  <c r="D6" i="60"/>
  <c r="D9" i="60"/>
  <c r="D77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77" i="11"/>
  <c r="D78" i="11"/>
  <c r="E78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78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5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56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77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5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23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55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67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34" i="11" l="1"/>
  <c r="H15" i="11"/>
  <c r="I15" i="11"/>
  <c r="J15" i="11"/>
  <c r="H18" i="11"/>
  <c r="I18" i="11"/>
  <c r="J18" i="11"/>
  <c r="J16" i="11"/>
  <c r="H16" i="11"/>
  <c r="I16" i="11"/>
  <c r="H57" i="11"/>
  <c r="D312" i="29"/>
  <c r="E312" i="29" s="1"/>
  <c r="D802" i="41"/>
  <c r="E802" i="41" s="1"/>
  <c r="D22" i="59"/>
  <c r="K8" i="60" s="1"/>
  <c r="D21" i="59"/>
  <c r="M68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69" i="11"/>
  <c r="M70" i="11"/>
  <c r="M72" i="11"/>
  <c r="M71" i="11"/>
  <c r="E776" i="41"/>
  <c r="E272" i="29"/>
  <c r="F717" i="41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22" i="29"/>
  <c r="F250" i="29"/>
  <c r="E273" i="29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H22" i="1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57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55" i="11"/>
  <c r="I55" i="11"/>
  <c r="F806" i="41"/>
  <c r="E1081" i="41"/>
  <c r="E1027" i="41"/>
  <c r="F861" i="41"/>
  <c r="E861" i="41"/>
  <c r="E230" i="29"/>
  <c r="E346" i="29"/>
  <c r="E274" i="29"/>
  <c r="F274" i="29"/>
  <c r="H78" i="11"/>
  <c r="J78" i="11"/>
  <c r="J57" i="11"/>
  <c r="E340" i="29"/>
  <c r="I38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H38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331" i="29"/>
  <c r="E267" i="29"/>
  <c r="H23" i="11"/>
  <c r="I20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1" i="11"/>
  <c r="J21" i="11"/>
  <c r="H21" i="11"/>
  <c r="E287" i="29"/>
  <c r="F287" i="29"/>
  <c r="J56" i="11"/>
  <c r="I56" i="11"/>
  <c r="E348" i="29"/>
  <c r="E59" i="39"/>
  <c r="E290" i="29"/>
  <c r="F323" i="29"/>
  <c r="E260" i="29"/>
  <c r="E236" i="29"/>
  <c r="E73" i="39"/>
  <c r="E341" i="29"/>
  <c r="F341" i="29"/>
  <c r="F299" i="29"/>
  <c r="J54" i="11"/>
  <c r="H54" i="11"/>
  <c r="I54" i="11"/>
  <c r="F300" i="29"/>
  <c r="E284" i="29"/>
  <c r="J19" i="11"/>
  <c r="F233" i="29"/>
  <c r="E58" i="39"/>
  <c r="F319" i="29"/>
  <c r="F310" i="29"/>
  <c r="H56" i="11"/>
  <c r="H55" i="11"/>
  <c r="J22" i="11"/>
  <c r="J20" i="11"/>
  <c r="M66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33" i="11"/>
  <c r="H33" i="11"/>
  <c r="H37" i="11"/>
  <c r="J37" i="11"/>
  <c r="I37" i="11"/>
  <c r="J41" i="11"/>
  <c r="I41" i="11"/>
  <c r="H41" i="11"/>
  <c r="J45" i="11"/>
  <c r="H45" i="11"/>
  <c r="I49" i="11"/>
  <c r="J49" i="11"/>
  <c r="H49" i="11"/>
  <c r="I33" i="11"/>
  <c r="I36" i="11"/>
  <c r="H36" i="11"/>
  <c r="J36" i="11"/>
  <c r="I40" i="11"/>
  <c r="J40" i="11"/>
  <c r="H40" i="11"/>
  <c r="H44" i="11"/>
  <c r="I44" i="11"/>
  <c r="I48" i="11"/>
  <c r="J48" i="11"/>
  <c r="I52" i="11"/>
  <c r="H52" i="11"/>
  <c r="J52" i="11"/>
  <c r="I78" i="11"/>
  <c r="J24" i="11"/>
  <c r="H24" i="11"/>
  <c r="I24" i="11"/>
  <c r="J35" i="11"/>
  <c r="H35" i="11"/>
  <c r="I35" i="11"/>
  <c r="J39" i="11"/>
  <c r="H39" i="11"/>
  <c r="I39" i="11"/>
  <c r="I43" i="11"/>
  <c r="H43" i="11"/>
  <c r="J47" i="11"/>
  <c r="H47" i="11"/>
  <c r="I47" i="11"/>
  <c r="H51" i="11"/>
  <c r="I51" i="11"/>
  <c r="I45" i="11"/>
  <c r="H34" i="11"/>
  <c r="J34" i="11"/>
  <c r="I42" i="11"/>
  <c r="H42" i="11"/>
  <c r="J42" i="11"/>
  <c r="J46" i="11"/>
  <c r="H46" i="11"/>
  <c r="I46" i="11"/>
  <c r="J50" i="11"/>
  <c r="H50" i="11"/>
  <c r="I53" i="11"/>
  <c r="I76" i="11"/>
  <c r="J58" i="11"/>
  <c r="J53" i="11"/>
  <c r="I19" i="11"/>
  <c r="H76" i="11"/>
  <c r="I58" i="11"/>
  <c r="I23" i="11"/>
  <c r="F781" i="41" l="1"/>
  <c r="F291" i="29"/>
  <c r="F779" i="41"/>
  <c r="F289" i="29"/>
  <c r="F805" i="41"/>
  <c r="F315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59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K58" i="11"/>
  <c r="K48" i="11"/>
  <c r="M48" i="11" s="1"/>
  <c r="K38" i="11"/>
  <c r="M38" i="11" s="1"/>
  <c r="K57" i="11"/>
  <c r="M57" i="11" s="1"/>
  <c r="K22" i="11"/>
  <c r="M22" i="11" s="1"/>
  <c r="K20" i="11"/>
  <c r="K19" i="11"/>
  <c r="M19" i="11" s="1"/>
  <c r="M75" i="11"/>
  <c r="K78" i="11"/>
  <c r="K54" i="11"/>
  <c r="M54" i="11" s="1"/>
  <c r="K55" i="11"/>
  <c r="M55" i="11" s="1"/>
  <c r="K23" i="11"/>
  <c r="M23" i="11" s="1"/>
  <c r="F350" i="29"/>
  <c r="K51" i="11"/>
  <c r="M51" i="11" s="1"/>
  <c r="K53" i="11"/>
  <c r="M53" i="11" s="1"/>
  <c r="K34" i="11"/>
  <c r="M34" i="11" s="1"/>
  <c r="K44" i="11"/>
  <c r="M44" i="11" s="1"/>
  <c r="K37" i="11"/>
  <c r="M37" i="11" s="1"/>
  <c r="K21" i="11"/>
  <c r="M21" i="11" s="1"/>
  <c r="K42" i="11"/>
  <c r="M42" i="11" s="1"/>
  <c r="K56" i="11"/>
  <c r="M56" i="11" s="1"/>
  <c r="K76" i="11"/>
  <c r="K39" i="11"/>
  <c r="M39" i="11" s="1"/>
  <c r="K24" i="11"/>
  <c r="M24" i="11" s="1"/>
  <c r="H77" i="11"/>
  <c r="H80" i="11" s="1"/>
  <c r="F312" i="29"/>
  <c r="F339" i="29"/>
  <c r="F226" i="29"/>
  <c r="F345" i="29"/>
  <c r="F239" i="29"/>
  <c r="I77" i="11"/>
  <c r="I80" i="11" s="1"/>
  <c r="J77" i="11"/>
  <c r="J80" i="11" s="1"/>
  <c r="K43" i="11"/>
  <c r="M43" i="11" s="1"/>
  <c r="K52" i="11"/>
  <c r="M52" i="11" s="1"/>
  <c r="K45" i="11"/>
  <c r="M45" i="11" s="1"/>
  <c r="K33" i="11"/>
  <c r="K46" i="11"/>
  <c r="M46" i="11" s="1"/>
  <c r="K49" i="11"/>
  <c r="M49" i="11" s="1"/>
  <c r="K50" i="11"/>
  <c r="M50" i="11" s="1"/>
  <c r="K47" i="11"/>
  <c r="M47" i="11" s="1"/>
  <c r="K35" i="11"/>
  <c r="M35" i="11" s="1"/>
  <c r="K40" i="11"/>
  <c r="M40" i="11" s="1"/>
  <c r="K36" i="11"/>
  <c r="M36" i="11" s="1"/>
  <c r="K41" i="11"/>
  <c r="M41" i="11" s="1"/>
  <c r="F716" i="41"/>
  <c r="F840" i="41"/>
  <c r="F835" i="41"/>
  <c r="F729" i="41"/>
  <c r="F802" i="41"/>
  <c r="F829" i="41"/>
  <c r="C22" i="29" l="1"/>
  <c r="C25" i="29"/>
  <c r="C21" i="29"/>
  <c r="C80" i="29"/>
  <c r="C23" i="29"/>
  <c r="C24" i="29"/>
  <c r="C20" i="29"/>
  <c r="C93" i="29"/>
  <c r="C89" i="29"/>
  <c r="C85" i="29"/>
  <c r="C81" i="29"/>
  <c r="C94" i="29"/>
  <c r="C90" i="29"/>
  <c r="C86" i="29"/>
  <c r="C82" i="29"/>
  <c r="C95" i="29"/>
  <c r="C91" i="29"/>
  <c r="C87" i="29"/>
  <c r="C83" i="29"/>
  <c r="C96" i="29"/>
  <c r="C92" i="29"/>
  <c r="C88" i="29"/>
  <c r="C84" i="29"/>
  <c r="F17" i="39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G82" i="29"/>
  <c r="F42" i="29"/>
  <c r="C158" i="29"/>
  <c r="D158" i="29" s="1"/>
  <c r="F51" i="29"/>
  <c r="B92" i="29"/>
  <c r="E92" i="29" s="1"/>
  <c r="C133" i="29"/>
  <c r="D133" i="29" s="1"/>
  <c r="F126" i="29"/>
  <c r="B87" i="29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G80" i="29"/>
  <c r="F18" i="29"/>
  <c r="C68" i="29"/>
  <c r="B68" i="29" s="1"/>
  <c r="E68" i="29" s="1"/>
  <c r="C122" i="29"/>
  <c r="B122" i="29" s="1"/>
  <c r="E122" i="29" s="1"/>
  <c r="B94" i="29"/>
  <c r="E94" i="29" s="1"/>
  <c r="F128" i="29"/>
  <c r="F28" i="29"/>
  <c r="B90" i="29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D22" i="29"/>
  <c r="C32" i="29"/>
  <c r="G32" i="29" s="1"/>
  <c r="C157" i="29"/>
  <c r="B157" i="29" s="1"/>
  <c r="E157" i="29" s="1"/>
  <c r="C124" i="29"/>
  <c r="G124" i="29" s="1"/>
  <c r="F130" i="29"/>
  <c r="D25" i="29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B85" i="29"/>
  <c r="E85" i="29" s="1"/>
  <c r="C111" i="29"/>
  <c r="B111" i="29" s="1"/>
  <c r="E111" i="29" s="1"/>
  <c r="C54" i="29"/>
  <c r="D54" i="29" s="1"/>
  <c r="F108" i="29"/>
  <c r="C77" i="29"/>
  <c r="D77" i="29" s="1"/>
  <c r="D23" i="29"/>
  <c r="C69" i="29"/>
  <c r="D69" i="29" s="1"/>
  <c r="C137" i="29"/>
  <c r="B137" i="29" s="1"/>
  <c r="E137" i="29" s="1"/>
  <c r="C149" i="29"/>
  <c r="G149" i="29" s="1"/>
  <c r="G81" i="29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G84" i="29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G20" i="29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D24" i="29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B95" i="29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D89" i="29"/>
  <c r="F135" i="29"/>
  <c r="G83" i="29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B86" i="29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G88" i="29"/>
  <c r="F31" i="29"/>
  <c r="F92" i="29"/>
  <c r="G93" i="29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D96" i="29"/>
  <c r="F151" i="29"/>
  <c r="C101" i="29"/>
  <c r="D101" i="29" s="1"/>
  <c r="C130" i="29"/>
  <c r="G130" i="29" s="1"/>
  <c r="C27" i="29"/>
  <c r="B27" i="29" s="1"/>
  <c r="E27" i="29" s="1"/>
  <c r="B91" i="29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D21" i="29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81" i="11"/>
  <c r="J82" i="11" s="1"/>
  <c r="H81" i="11"/>
  <c r="H82" i="11" s="1"/>
  <c r="I81" i="11"/>
  <c r="I82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7" i="29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77" i="11"/>
  <c r="K80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G23" i="39" l="1"/>
  <c r="G26" i="39"/>
  <c r="B23" i="39"/>
  <c r="E23" i="39" s="1"/>
  <c r="D106" i="29"/>
  <c r="H106" i="29" s="1"/>
  <c r="D28" i="39"/>
  <c r="D21" i="39"/>
  <c r="I21" i="39" s="1"/>
  <c r="D68" i="29"/>
  <c r="G25" i="39"/>
  <c r="D92" i="29"/>
  <c r="I92" i="29" s="1"/>
  <c r="B124" i="29"/>
  <c r="E124" i="29" s="1"/>
  <c r="D148" i="29"/>
  <c r="I148" i="29" s="1"/>
  <c r="D90" i="29"/>
  <c r="H90" i="29" s="1"/>
  <c r="G18" i="39"/>
  <c r="G77" i="29"/>
  <c r="I30" i="39"/>
  <c r="G133" i="29"/>
  <c r="G29" i="39"/>
  <c r="G24" i="29"/>
  <c r="D124" i="29"/>
  <c r="H124" i="29" s="1"/>
  <c r="D33" i="39"/>
  <c r="I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B33" i="29"/>
  <c r="E33" i="29" s="1"/>
  <c r="G143" i="29"/>
  <c r="B18" i="39"/>
  <c r="E18" i="39" s="1"/>
  <c r="D29" i="39"/>
  <c r="J29" i="39" s="1"/>
  <c r="B28" i="39"/>
  <c r="E28" i="39" s="1"/>
  <c r="D20" i="39"/>
  <c r="J20" i="39" s="1"/>
  <c r="B38" i="29"/>
  <c r="E38" i="29" s="1"/>
  <c r="G85" i="29"/>
  <c r="G115" i="29"/>
  <c r="G58" i="29"/>
  <c r="D122" i="29"/>
  <c r="J122" i="29" s="1"/>
  <c r="D143" i="29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H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81" i="11"/>
  <c r="K82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I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60" i="29"/>
  <c r="H160" i="29"/>
  <c r="J160" i="29"/>
  <c r="H58" i="29"/>
  <c r="J58" i="29"/>
  <c r="I58" i="29"/>
  <c r="H113" i="29"/>
  <c r="J113" i="29"/>
  <c r="I33" i="29"/>
  <c r="H33" i="29"/>
  <c r="J33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I106" i="29" l="1"/>
  <c r="H148" i="29"/>
  <c r="J106" i="29"/>
  <c r="K106" i="29" s="1"/>
  <c r="J132" i="29"/>
  <c r="H33" i="39"/>
  <c r="H92" i="29"/>
  <c r="J21" i="39"/>
  <c r="H21" i="39"/>
  <c r="J148" i="29"/>
  <c r="H29" i="39"/>
  <c r="K29" i="39" s="1"/>
  <c r="H85" i="29"/>
  <c r="K85" i="29" s="1"/>
  <c r="I22" i="39"/>
  <c r="K30" i="39"/>
  <c r="H122" i="29"/>
  <c r="J20" i="29"/>
  <c r="J18" i="29"/>
  <c r="I17" i="39"/>
  <c r="I20" i="29"/>
  <c r="J92" i="29"/>
  <c r="J35" i="29"/>
  <c r="I122" i="29"/>
  <c r="I132" i="29"/>
  <c r="J33" i="39"/>
  <c r="I90" i="29"/>
  <c r="J90" i="29"/>
  <c r="I86" i="29"/>
  <c r="I81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K35" i="29" s="1"/>
  <c r="H18" i="29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63" i="29"/>
  <c r="K112" i="29"/>
  <c r="K24" i="29"/>
  <c r="K116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24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83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148" i="29" l="1"/>
  <c r="K132" i="29"/>
  <c r="K33" i="39"/>
  <c r="K92" i="29"/>
  <c r="K21" i="39"/>
  <c r="K18" i="29"/>
  <c r="K81" i="29"/>
  <c r="K20" i="29"/>
  <c r="K90" i="29"/>
  <c r="K122" i="29"/>
  <c r="K17" i="39"/>
  <c r="K86" i="29"/>
  <c r="K157" i="29"/>
  <c r="K47" i="29"/>
  <c r="K162" i="29"/>
  <c r="K34" i="39"/>
  <c r="K115" i="29"/>
  <c r="K30" i="2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<sst xmlns="http://schemas.openxmlformats.org/spreadsheetml/2006/main" count="4750" uniqueCount="1641">
  <si>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</si>
  <si>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</si>
  <si>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</si>
  <si>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</si>
  <si>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</si>
  <si>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</si>
  <si>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</si>
  <si>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</si>
  <si>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</si>
  <si>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</si>
  <si>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</si>
  <si>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</si>
  <si>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</si>
  <si>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</si>
  <si>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</si>
  <si>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</si>
  <si>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</si>
  <si>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</si>
  <si>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</si>
  <si>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</si>
  <si>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</si>
  <si>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</si>
  <si>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</si>
  <si>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</si>
  <si>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</si>
  <si>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</si>
  <si>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</si>
  <si>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</si>
  <si>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</si>
  <si>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</si>
  <si>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</si>
  <si>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</si>
  <si>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</si>
  <si>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</si>
  <si>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</si>
  <si>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</si>
  <si>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</si>
  <si>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</si>
  <si>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</si>
  <si>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</si>
  <si>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</si>
  <si>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</si>
  <si>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</si>
  <si>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</si>
  <si>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</si>
  <si>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</si>
  <si>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</si>
  <si>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</si>
  <si>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</si>
  <si>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</si>
  <si>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</si>
  <si>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</si>
  <si>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</si>
  <si>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</si>
  <si>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</si>
  <si>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</si>
  <si>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</si>
  <si>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</si>
  <si>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</si>
  <si>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</si>
  <si>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</si>
  <si>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</si>
  <si>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</si>
  <si>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</si>
  <si>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</si>
  <si>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</si>
  <si>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</si>
  <si>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</si>
  <si>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</si>
  <si>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</si>
  <si>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</si>
  <si>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</si>
  <si>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</si>
  <si>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</si>
  <si>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</si>
  <si>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</si>
  <si>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</si>
  <si>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</si>
  <si>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</si>
  <si>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</si>
  <si>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</si>
  <si>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</si>
  <si>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</si>
  <si>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</si>
  <si>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</si>
  <si>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</si>
  <si>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</si>
  <si>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</si>
  <si>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</si>
  <si>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</si>
  <si>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</si>
  <si>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</si>
  <si>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</si>
  <si>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</si>
  <si>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</si>
  <si>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</si>
  <si>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</si>
  <si>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</si>
  <si>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</si>
  <si>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</si>
  <si>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</si>
  <si>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</si>
  <si>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</si>
  <si>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</si>
  <si>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</si>
  <si>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</si>
  <si>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</si>
  <si>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</si>
  <si>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</si>
  <si>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</si>
  <si>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</si>
  <si>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</si>
  <si>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</si>
  <si>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</si>
  <si>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</si>
  <si>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</si>
  <si>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</si>
  <si>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</si>
  <si>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</si>
  <si>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</si>
  <si>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</si>
  <si>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</si>
  <si>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</si>
  <si>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</si>
  <si>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</si>
  <si>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</si>
  <si>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</si>
  <si>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</si>
  <si>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</si>
  <si>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</si>
  <si>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</si>
  <si>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</si>
  <si>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</si>
  <si>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</si>
  <si>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</si>
  <si>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</si>
  <si>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</si>
  <si>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</si>
  <si>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</si>
  <si>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</si>
  <si>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</si>
  <si>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</si>
  <si>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</si>
  <si>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</si>
  <si>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</si>
  <si>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</si>
  <si>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</si>
  <si>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</si>
  <si>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</si>
  <si>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</si>
  <si>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</si>
  <si>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</si>
  <si>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</si>
  <si>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</si>
  <si>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</si>
  <si>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</si>
  <si>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</si>
  <si>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</si>
  <si>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</si>
  <si>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</si>
  <si>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</si>
  <si>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</si>
  <si>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</si>
  <si>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</si>
  <si>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</si>
  <si>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</si>
  <si>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</si>
  <si>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</si>
  <si>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</si>
  <si>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</si>
  <si>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</si>
  <si>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</si>
  <si>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</si>
  <si>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</si>
  <si>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</si>
  <si>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</si>
  <si>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</si>
  <si>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</si>
  <si>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</si>
  <si>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</si>
  <si>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</si>
  <si>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</si>
  <si>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</si>
  <si>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</si>
  <si>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</si>
  <si>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</si>
  <si>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</si>
  <si>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</si>
  <si>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</si>
  <si>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</si>
  <si>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</si>
  <si>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</si>
  <si>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</si>
  <si>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</si>
  <si>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</si>
  <si>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</si>
  <si>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</si>
  <si>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</si>
  <si>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</si>
  <si>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</si>
  <si>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</si>
  <si>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</si>
  <si>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</si>
  <si>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</si>
  <si>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</si>
  <si>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</si>
  <si>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</si>
  <si>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</si>
  <si>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</si>
  <si>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</si>
  <si>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</si>
  <si>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</si>
  <si>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</si>
  <si>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</si>
  <si>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</si>
  <si>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</si>
  <si>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</si>
  <si>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</si>
  <si>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</si>
  <si>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</si>
  <si>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</si>
  <si>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</si>
  <si>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</si>
  <si>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</si>
  <si>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</si>
  <si>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</si>
  <si>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</si>
  <si>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</si>
  <si>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</si>
  <si>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</si>
  <si>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</si>
  <si>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</si>
  <si>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</si>
  <si>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</si>
  <si>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</si>
  <si>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</si>
  <si>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</si>
  <si>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</si>
  <si>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</si>
  <si>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</si>
  <si>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</si>
  <si>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</si>
  <si>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</si>
  <si>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</si>
  <si>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</si>
  <si>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</si>
  <si>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</si>
  <si>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</si>
  <si>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</si>
  <si>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</si>
  <si>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</si>
  <si>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</si>
  <si>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</si>
  <si>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</si>
  <si>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</si>
  <si>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</si>
  <si>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</si>
  <si>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</si>
  <si>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</si>
  <si>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</si>
  <si>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</si>
  <si>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</si>
  <si>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</si>
  <si>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</si>
  <si>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</si>
  <si>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</si>
  <si>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</si>
  <si>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</si>
  <si>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</si>
  <si>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</si>
  <si>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</si>
  <si>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</si>
  <si>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</si>
  <si>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</si>
  <si>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</si>
  <si>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</si>
  <si>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</si>
  <si>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</si>
  <si>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</si>
  <si>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</si>
  <si>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</si>
  <si>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</si>
  <si>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</si>
  <si>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</si>
  <si>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</si>
  <si>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</si>
  <si>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</si>
  <si>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</si>
  <si>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</si>
  <si>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</si>
  <si>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</si>
  <si>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</si>
  <si>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</si>
  <si>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</si>
  <si>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</si>
  <si>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</si>
  <si>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</si>
  <si>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</si>
  <si>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</si>
  <si>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</si>
  <si>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</si>
  <si>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</si>
  <si>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</si>
  <si>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</si>
  <si>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</si>
  <si>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</si>
  <si>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</si>
  <si>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</si>
  <si>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</si>
  <si>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</si>
  <si>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</si>
  <si>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</si>
  <si>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</si>
  <si>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</si>
  <si>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</si>
  <si>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</si>
  <si>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</si>
  <si>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</si>
  <si>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</si>
  <si>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</si>
  <si>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</si>
  <si>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</si>
  <si>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</si>
  <si>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</si>
  <si>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</si>
  <si>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</si>
  <si>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</si>
  <si>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</si>
  <si>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</si>
  <si>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</si>
  <si>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</si>
  <si>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</si>
  <si>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</si>
  <si>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</si>
  <si>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</si>
  <si>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</si>
  <si>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</si>
  <si>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</si>
  <si>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</si>
  <si>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</si>
  <si>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</si>
  <si>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</si>
  <si>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</si>
  <si>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</si>
  <si>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</si>
  <si>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</si>
  <si>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</si>
  <si>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</si>
  <si>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</si>
  <si>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</si>
  <si>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</si>
  <si>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</si>
  <si>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</si>
  <si>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</si>
  <si>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</si>
  <si>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</si>
  <si>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</si>
  <si>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</si>
  <si>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</si>
  <si>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</si>
  <si>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</si>
  <si>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</si>
  <si>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</si>
  <si>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</si>
  <si>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</si>
  <si>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</si>
  <si>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</si>
  <si>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</si>
  <si>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</si>
  <si>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</si>
  <si>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</si>
  <si>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</si>
  <si>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</si>
  <si>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</si>
  <si>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</si>
  <si>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</si>
  <si>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</si>
  <si>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</si>
  <si>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</si>
  <si>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</si>
  <si>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</si>
  <si>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</si>
  <si>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</si>
  <si>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</si>
  <si>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</si>
  <si>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</si>
  <si>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</si>
  <si>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</si>
  <si>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</si>
  <si>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</si>
  <si>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</si>
  <si>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</si>
  <si>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</si>
  <si>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</si>
  <si>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</si>
  <si>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</si>
  <si>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</si>
  <si>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</si>
  <si>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</si>
  <si>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</si>
  <si>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</si>
  <si>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</si>
  <si>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</si>
  <si>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</si>
  <si>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</si>
  <si>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</si>
  <si>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</si>
  <si>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</si>
  <si>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</si>
  <si>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</si>
  <si>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</si>
  <si>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</si>
  <si>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</si>
  <si>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</si>
  <si>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</si>
  <si>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</si>
  <si>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</si>
  <si>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</si>
  <si>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</si>
  <si>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</si>
  <si>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</si>
  <si>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</si>
  <si>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</si>
  <si>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</si>
  <si>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</si>
  <si>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</si>
  <si>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</si>
  <si>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</si>
  <si>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</si>
  <si>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</si>
  <si>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</si>
  <si>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</si>
  <si>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</si>
  <si>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</si>
  <si>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</si>
  <si>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</si>
  <si>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</si>
  <si>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</si>
  <si>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</si>
  <si>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</si>
  <si>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</si>
  <si>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</si>
  <si>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</si>
  <si>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</si>
  <si>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</si>
  <si>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</si>
  <si>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</si>
  <si>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</si>
  <si>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</si>
  <si>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</si>
  <si>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</si>
  <si>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</si>
  <si>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</si>
  <si>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</si>
  <si>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</si>
  <si>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</si>
  <si>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</si>
  <si>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</si>
  <si>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</si>
  <si>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</si>
  <si>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</si>
  <si>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</si>
  <si>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</si>
  <si>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</si>
  <si>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</si>
  <si>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</si>
  <si>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</si>
  <si>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</si>
  <si>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</si>
  <si>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</si>
  <si>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</si>
  <si>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</si>
  <si>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</si>
  <si>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</si>
  <si>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</si>
  <si>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</si>
  <si>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</si>
  <si>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</si>
  <si>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</si>
  <si>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</si>
  <si>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</si>
  <si>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</si>
  <si>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</si>
  <si>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</si>
  <si>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</si>
  <si>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</si>
  <si>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</si>
  <si>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</si>
  <si>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</si>
  <si>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</si>
  <si>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</si>
  <si>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</si>
  <si>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</si>
  <si>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</si>
  <si>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</si>
  <si>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</si>
  <si>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</si>
  <si>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</si>
  <si>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</si>
  <si>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</si>
  <si>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</si>
  <si>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</si>
  <si>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</si>
  <si>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</si>
  <si>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</si>
  <si>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</si>
  <si>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</si>
  <si>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</si>
  <si>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</si>
  <si>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</si>
  <si>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</si>
  <si>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</si>
  <si>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</si>
  <si>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</si>
  <si>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</si>
  <si>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</si>
  <si>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</si>
  <si>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</si>
  <si>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</si>
  <si>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</si>
  <si>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</si>
  <si>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</si>
  <si>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</si>
  <si>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</si>
  <si>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</si>
  <si>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</si>
  <si>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</si>
  <si>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</si>
  <si>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</si>
  <si>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</si>
  <si>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</si>
  <si>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</si>
  <si>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</si>
  <si>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</si>
  <si>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</si>
  <si>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</si>
  <si>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</si>
  <si>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</si>
  <si>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</si>
  <si>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</si>
  <si>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</si>
  <si>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</si>
  <si>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</si>
  <si>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</si>
  <si>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</si>
  <si>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</si>
  <si>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</si>
  <si>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</si>
  <si>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</si>
  <si>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</si>
  <si>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</si>
  <si>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</si>
  <si>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</si>
  <si>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</si>
  <si>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</si>
  <si>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</si>
  <si>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</si>
  <si>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</si>
  <si>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</si>
  <si>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</si>
  <si>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</si>
  <si>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</si>
  <si>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</si>
  <si>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</si>
  <si>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</si>
  <si>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</si>
  <si>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</si>
  <si>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</si>
  <si>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</si>
  <si>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</si>
  <si>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</si>
  <si>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</si>
  <si>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</si>
  <si>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</si>
  <si>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</si>
  <si>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</si>
  <si>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</si>
  <si>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</si>
  <si>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</si>
  <si>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</si>
  <si>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</si>
  <si>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</si>
  <si>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</si>
  <si>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</si>
  <si>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</si>
  <si>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</si>
  <si>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</si>
  <si>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</si>
  <si>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</si>
  <si>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</si>
  <si>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</si>
  <si>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</si>
  <si>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</si>
  <si>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</si>
  <si>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</si>
  <si>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</si>
  <si>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</si>
  <si>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</si>
  <si>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</si>
  <si>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</si>
  <si>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</si>
  <si>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</si>
  <si>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</si>
  <si>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</si>
  <si>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</si>
  <si>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</si>
  <si>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</si>
  <si>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</si>
  <si>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</si>
  <si>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</si>
  <si>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</si>
  <si>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</si>
  <si>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</si>
  <si>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</si>
  <si>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</si>
  <si>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</si>
  <si>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</si>
  <si>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</si>
  <si>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</si>
  <si>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</si>
  <si>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</si>
  <si>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</si>
  <si>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</si>
  <si>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</si>
  <si>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</si>
  <si>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</si>
  <si>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</si>
  <si>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</si>
  <si>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</si>
  <si>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</si>
  <si>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</si>
  <si>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</si>
  <si>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</si>
  <si>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</si>
  <si>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</si>
  <si>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</si>
  <si>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</si>
  <si>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</si>
  <si>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</si>
  <si>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</si>
  <si>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</si>
  <si>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</si>
  <si>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</si>
  <si>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</si>
  <si>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</si>
  <si>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</si>
  <si>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</si>
  <si>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</si>
  <si>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</si>
  <si>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</si>
  <si>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</si>
  <si>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</si>
  <si>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</si>
  <si>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</si>
  <si>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</si>
  <si>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</si>
  <si>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</si>
  <si>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</si>
  <si>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</si>
  <si>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</si>
  <si>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</si>
  <si>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</si>
  <si>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</si>
  <si>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</si>
  <si>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</si>
  <si>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</si>
  <si>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</si>
  <si>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</si>
  <si>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</si>
  <si>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</si>
  <si>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</si>
  <si>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</si>
  <si>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</si>
  <si>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</si>
  <si>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</si>
  <si>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</si>
  <si>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</si>
  <si>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</si>
  <si>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</si>
  <si>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</si>
  <si>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</si>
  <si>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</si>
  <si>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</si>
  <si>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</si>
  <si>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</si>
  <si>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</si>
  <si>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</si>
  <si>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</si>
  <si>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</si>
  <si>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</si>
  <si>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</si>
  <si>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</si>
  <si>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</si>
  <si>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</si>
  <si>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</si>
  <si>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</si>
  <si>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</si>
  <si>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</si>
  <si>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</si>
  <si>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</si>
  <si>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</si>
  <si>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</si>
  <si>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</si>
  <si>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</si>
  <si>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</si>
  <si>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</si>
  <si>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</si>
  <si>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</si>
  <si>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</si>
  <si>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</si>
  <si>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</si>
  <si>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</si>
  <si>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</si>
  <si>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</si>
  <si>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</si>
  <si>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</si>
  <si>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</si>
  <si>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</si>
  <si>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</si>
  <si>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</si>
  <si>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</si>
  <si>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</si>
  <si>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</si>
  <si>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</si>
  <si>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</si>
  <si>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</si>
  <si>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</si>
  <si>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</si>
  <si>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</si>
  <si>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</si>
  <si>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</si>
  <si>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</si>
  <si>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</si>
  <si>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</si>
  <si>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</si>
  <si>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</si>
  <si>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</si>
  <si>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</si>
  <si>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</si>
  <si>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</si>
  <si>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</si>
  <si>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</si>
  <si>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</si>
  <si>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</si>
  <si>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</si>
  <si>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</si>
  <si>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</si>
  <si>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</si>
  <si>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</si>
  <si>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</si>
  <si>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</si>
  <si>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</si>
  <si>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</si>
  <si>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</si>
  <si>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</si>
  <si>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</si>
  <si>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</si>
  <si>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</si>
  <si>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</si>
  <si>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</si>
  <si>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</si>
  <si>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</si>
  <si>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</si>
  <si>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</si>
  <si>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</si>
  <si>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</si>
  <si>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</si>
  <si>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</si>
  <si>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</si>
  <si>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</si>
  <si>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</si>
  <si>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</si>
  <si>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</si>
  <si>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</si>
  <si>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</si>
  <si>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</si>
  <si>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</si>
  <si>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</si>
  <si>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</si>
  <si>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</si>
  <si>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</si>
  <si>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</si>
  <si>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</si>
  <si>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</si>
  <si>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</si>
  <si>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</si>
  <si>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</si>
  <si>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</si>
  <si>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</si>
  <si>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</si>
  <si>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</si>
  <si>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</si>
  <si>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</si>
  <si>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</si>
  <si>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</si>
  <si>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</si>
  <si>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</si>
  <si>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</si>
  <si>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</si>
  <si>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</si>
  <si>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</si>
  <si>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</si>
  <si>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</si>
  <si>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</si>
  <si>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</si>
  <si>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</si>
  <si>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</si>
  <si>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</si>
  <si>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</si>
  <si>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</si>
  <si>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</si>
  <si>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</si>
  <si>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</si>
  <si>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</si>
  <si>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</si>
  <si>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</si>
  <si>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</si>
  <si>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</si>
  <si>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</si>
  <si>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</si>
  <si>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</si>
  <si>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</si>
  <si>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</si>
  <si>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</si>
  <si>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</si>
  <si>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</si>
  <si>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</si>
  <si>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</si>
  <si>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</si>
  <si>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</si>
  <si>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</si>
  <si>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</si>
  <si>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</si>
  <si>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</si>
  <si>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</si>
  <si>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</si>
  <si>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</si>
  <si>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</si>
  <si>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</si>
  <si>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</si>
  <si>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</si>
  <si>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</si>
  <si>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</si>
  <si>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</si>
  <si>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</si>
  <si>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</si>
  <si>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</si>
  <si>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</si>
  <si>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</si>
  <si>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</si>
  <si>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</si>
  <si>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</si>
  <si>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</si>
  <si>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</si>
  <si>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</si>
  <si>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</si>
  <si>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</si>
  <si>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</si>
  <si>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</si>
  <si>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</si>
  <si>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</si>
  <si>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</si>
  <si>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</si>
  <si>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</si>
  <si>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</si>
  <si>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</si>
  <si>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</si>
  <si>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</si>
  <si>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</si>
  <si>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</si>
  <si>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</si>
  <si>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</si>
  <si>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</si>
  <si>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</si>
  <si>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</si>
  <si>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</si>
  <si>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</si>
  <si>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</si>
  <si>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</si>
  <si>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</si>
  <si>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</si>
  <si>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</si>
  <si>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</si>
  <si>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</si>
  <si>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</si>
  <si>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</si>
  <si>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</si>
  <si>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</si>
  <si>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</si>
  <si>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</si>
  <si>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</si>
  <si>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</si>
  <si>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</si>
  <si>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</si>
  <si>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</si>
  <si>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</si>
  <si>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</si>
  <si>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</si>
  <si>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</si>
  <si>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</si>
  <si>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</si>
  <si>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</si>
  <si>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</si>
  <si>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</si>
  <si>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</si>
  <si>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</si>
  <si>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</si>
  <si>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</si>
  <si>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</si>
  <si>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</si>
  <si>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</si>
  <si>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</si>
  <si>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</si>
  <si>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</si>
  <si>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</si>
  <si>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</si>
  <si>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</si>
  <si>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</si>
  <si>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</si>
  <si>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</si>
  <si>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</si>
  <si>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</si>
  <si>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</si>
  <si>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</si>
  <si>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</si>
  <si>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</si>
  <si>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</si>
  <si>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</si>
  <si>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</si>
  <si>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</si>
  <si>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</si>
  <si>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</si>
  <si>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</si>
  <si>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</si>
  <si>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</si>
  <si>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</si>
  <si>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</si>
  <si>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</si>
  <si>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</si>
  <si>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</si>
  <si>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</si>
  <si>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</si>
  <si>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</si>
  <si>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</si>
  <si>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</si>
  <si>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</si>
  <si>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</si>
  <si>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</si>
  <si>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</si>
  <si>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</si>
  <si>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</si>
  <si>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</si>
  <si>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</si>
  <si>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</si>
  <si>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</si>
  <si>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</si>
  <si>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</si>
  <si>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</si>
  <si>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</si>
  <si>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</si>
  <si>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</si>
  <si>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</si>
  <si>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</si>
  <si>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</si>
  <si>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</si>
  <si>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</si>
  <si>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</si>
  <si>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</si>
  <si>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</si>
  <si>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</si>
  <si>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</si>
  <si>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</si>
  <si>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</si>
  <si>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</si>
  <si>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</si>
  <si>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</si>
  <si>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</si>
  <si>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</si>
  <si>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</si>
  <si>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</si>
  <si>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</si>
  <si>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</si>
  <si>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</si>
  <si>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</si>
  <si>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</si>
  <si>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</si>
  <si>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</si>
  <si>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</si>
  <si>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</si>
  <si>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</si>
  <si>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</si>
  <si>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</si>
  <si>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</si>
  <si>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</si>
  <si>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</si>
  <si>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</si>
  <si>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</si>
  <si>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</si>
  <si>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</si>
  <si>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</si>
  <si>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</si>
  <si>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</si>
  <si>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</si>
  <si>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</si>
  <si>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</si>
  <si>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</si>
  <si>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</si>
  <si>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</si>
  <si>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</si>
  <si>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</si>
  <si>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</si>
  <si>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</si>
  <si>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</si>
  <si>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</si>
  <si>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</si>
  <si>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</si>
  <si>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</si>
  <si>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</si>
  <si>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</si>
  <si>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</si>
  <si>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</si>
  <si>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</si>
  <si>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</si>
  <si>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</si>
  <si>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</si>
  <si>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</si>
  <si>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</si>
  <si>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</si>
  <si>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</si>
  <si>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</si>
  <si>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</si>
  <si>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</si>
  <si>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</si>
  <si>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</si>
  <si>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</si>
  <si>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</si>
  <si>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</si>
  <si>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</si>
  <si>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</si>
  <si>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</si>
  <si>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</si>
  <si>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</si>
  <si>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</si>
  <si>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</si>
  <si>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</si>
  <si>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</si>
  <si>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</si>
  <si>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</si>
  <si>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</si>
  <si>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</si>
  <si>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</si>
  <si>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</si>
  <si>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</si>
  <si>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</si>
  <si>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</si>
  <si>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</si>
  <si>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</si>
  <si>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</si>
  <si>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</si>
  <si>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</si>
  <si>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</si>
  <si>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</si>
  <si>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</si>
  <si>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</si>
  <si>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</si>
  <si>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</si>
  <si>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</si>
  <si>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</si>
  <si>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</si>
  <si>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</si>
  <si>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</si>
  <si>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</si>
  <si>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</si>
  <si>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</si>
  <si>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</si>
  <si>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</si>
  <si>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</si>
  <si>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</si>
  <si>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</si>
  <si>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</si>
  <si>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</si>
  <si>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</si>
  <si>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</si>
  <si>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</si>
  <si>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</si>
  <si>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</si>
  <si>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</si>
  <si>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</si>
  <si>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</si>
  <si>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</si>
  <si>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</si>
  <si>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</si>
  <si>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</si>
  <si>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</si>
  <si>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</si>
  <si>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</si>
  <si>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</si>
  <si>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</si>
  <si>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</si>
  <si>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</si>
  <si>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</si>
  <si>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</si>
  <si>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</si>
  <si>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</si>
  <si>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</si>
  <si>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</si>
  <si>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</si>
  <si>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</si>
  <si>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</si>
  <si>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</si>
  <si>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</si>
  <si>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</si>
  <si>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</si>
  <si>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</si>
  <si>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</si>
  <si>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</si>
  <si>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</si>
  <si>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</si>
  <si>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</si>
  <si>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</si>
  <si>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</si>
  <si>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</si>
  <si>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</si>
  <si>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</si>
  <si>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</si>
  <si>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</si>
  <si>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</si>
  <si>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</si>
  <si>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</si>
  <si>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</si>
  <si>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</si>
  <si>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</si>
  <si>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</si>
  <si>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</si>
  <si>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</si>
  <si>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</si>
  <si>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</si>
  <si>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</si>
  <si>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</si>
  <si>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</si>
  <si>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</si>
  <si>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</si>
  <si>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</si>
  <si>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</si>
  <si>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</si>
  <si>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</si>
  <si>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</si>
  <si>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</si>
  <si>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</si>
  <si>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</si>
  <si>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</si>
  <si>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</si>
  <si>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</si>
  <si>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</si>
  <si>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</si>
  <si>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</si>
  <si>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</si>
  <si>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</si>
  <si>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</si>
  <si>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</si>
  <si>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</si>
  <si>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</si>
  <si>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</si>
  <si>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</si>
  <si>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</si>
  <si>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</si>
  <si>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</si>
  <si>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</si>
  <si>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</si>
  <si>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</si>
  <si>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</si>
  <si>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</si>
  <si>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</si>
  <si>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</si>
  <si>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</si>
  <si>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</si>
  <si>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</si>
  <si>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</si>
  <si>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</si>
  <si>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</si>
  <si>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</si>
  <si>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</si>
  <si>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</si>
  <si>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</si>
  <si>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</si>
  <si>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</si>
  <si>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</si>
  <si>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</si>
  <si>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</si>
  <si>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</si>
  <si>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</si>
  <si>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</si>
  <si>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</si>
  <si>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</si>
  <si>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</si>
  <si>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</si>
  <si>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</si>
  <si>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</si>
  <si>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</si>
  <si>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</si>
  <si>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</si>
  <si>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</si>
  <si>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</si>
  <si>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</si>
  <si>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</si>
  <si>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</si>
  <si>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</si>
  <si>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</si>
  <si>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</si>
  <si>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</si>
  <si>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</si>
  <si>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</si>
  <si>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</si>
  <si>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</si>
  <si>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</si>
  <si>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</si>
  <si>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</si>
  <si>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</si>
  <si>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</si>
  <si>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</si>
  <si>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</si>
  <si>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</si>
  <si>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</si>
  <si>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</si>
  <si>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</si>
  <si>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</si>
  <si>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</si>
  <si>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</si>
  <si>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</si>
  <si>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</si>
  <si>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</si>
  <si>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</si>
  <si>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</si>
  <si>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</si>
  <si>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</si>
  <si>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</si>
  <si>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</si>
  <si>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</si>
  <si>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</si>
  <si>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</si>
  <si>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</si>
  <si>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</si>
  <si>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</si>
  <si>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</si>
  <si>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</si>
  <si>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</si>
  <si>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</si>
  <si>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</si>
  <si>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</si>
  <si>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</si>
  <si>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</si>
  <si>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</si>
  <si>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</si>
  <si>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</si>
  <si>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</si>
  <si>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</si>
  <si>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</si>
  <si>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</si>
  <si>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</si>
  <si>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</si>
  <si>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</si>
  <si>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</si>
  <si>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</si>
  <si>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</si>
  <si>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</si>
  <si>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</si>
  <si>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</si>
  <si>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</si>
  <si>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</si>
  <si>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</si>
  <si>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</si>
  <si>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</si>
  <si>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</si>
  <si>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</si>
  <si>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</si>
  <si>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</si>
  <si>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</si>
  <si>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</si>
  <si>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</si>
  <si>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</si>
  <si>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</si>
  <si>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</si>
  <si>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</si>
  <si>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</si>
  <si>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</si>
  <si>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</si>
  <si>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</si>
  <si>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</si>
  <si>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</si>
  <si>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</si>
  <si>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</si>
  <si>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</si>
  <si>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</si>
  <si>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</si>
  <si>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</si>
  <si>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</si>
  <si>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</si>
  <si>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</si>
  <si>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</si>
  <si>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</si>
  <si>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</si>
  <si>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</si>
  <si>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</si>
  <si>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</si>
  <si>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</si>
  <si>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</si>
  <si>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</si>
  <si>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</si>
  <si>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</si>
  <si>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</si>
  <si>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</si>
  <si>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</si>
  <si>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</si>
  <si>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</si>
  <si>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</si>
  <si>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</si>
  <si>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</si>
  <si>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</si>
  <si>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</si>
  <si>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</si>
  <si>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</si>
  <si>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</si>
  <si>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</si>
  <si>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</si>
  <si>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</si>
  <si>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</si>
  <si>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</si>
  <si>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</si>
  <si>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</si>
  <si>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</si>
  <si>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</si>
  <si>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</si>
  <si>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</si>
  <si>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</si>
  <si>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</si>
  <si>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</si>
  <si>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</si>
  <si>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</si>
  <si>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</si>
  <si>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</si>
  <si>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</si>
  <si>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</si>
  <si>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</si>
  <si>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</si>
  <si>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</si>
  <si>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</si>
  <si>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</si>
  <si>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</si>
  <si>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</si>
  <si>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</si>
  <si>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</si>
  <si>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</si>
  <si>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</si>
  <si>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</si>
  <si>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</si>
  <si>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</si>
  <si>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</si>
  <si>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</si>
  <si>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</si>
  <si>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</si>
  <si>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</si>
  <si>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</si>
  <si>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</si>
  <si>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</si>
  <si>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</si>
  <si>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</si>
  <si>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</si>
  <si>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</si>
  <si>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</si>
  <si>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</si>
  <si>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</si>
  <si>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</si>
  <si>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</si>
  <si>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</si>
  <si>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</si>
  <si>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</si>
  <si>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</si>
  <si>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</si>
  <si>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</si>
  <si>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</si>
  <si>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</si>
  <si>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</si>
  <si>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</si>
  <si>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</si>
  <si>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</si>
  <si>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</si>
  <si>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</si>
  <si>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</si>
  <si>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</si>
  <si>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</si>
  <si>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</si>
  <si>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</si>
  <si>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</si>
  <si>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</si>
  <si>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</si>
  <si>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</si>
  <si>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</si>
  <si>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</si>
  <si>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</si>
  <si>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</si>
  <si>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</si>
  <si>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</si>
  <si>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</si>
  <si>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</si>
  <si>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</si>
  <si>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</si>
  <si>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</si>
  <si>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</si>
  <si>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</si>
  <si>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</si>
  <si>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</si>
  <si>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</si>
  <si>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</si>
  <si>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</si>
  <si>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</si>
  <si>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</si>
  <si>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</si>
  <si>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</si>
  <si>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</si>
  <si>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</si>
  <si>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</si>
  <si>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</si>
  <si>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</si>
  <si>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</si>
  <si>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</si>
  <si>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</si>
  <si>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</si>
  <si>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</si>
  <si>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</si>
  <si>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</si>
  <si>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</si>
  <si>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</si>
  <si>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</si>
  <si>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</si>
  <si>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</si>
  <si>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</si>
  <si>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</si>
  <si>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</si>
  <si>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</si>
  <si>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</si>
  <si>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</si>
  <si>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</si>
  <si>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</si>
  <si>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</si>
  <si>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</si>
  <si>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</si>
  <si>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</si>
  <si>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</si>
  <si>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</si>
  <si>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</si>
  <si>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</si>
  <si>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</si>
  <si>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</si>
  <si>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</si>
  <si>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</si>
  <si>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</si>
  <si>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</si>
  <si>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</si>
  <si>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</si>
  <si>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</si>
  <si>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</si>
  <si>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</si>
  <si>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</si>
  <si>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</si>
  <si>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</si>
  <si>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</si>
  <si>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</si>
  <si>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</si>
  <si>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</si>
  <si>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</si>
  <si>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</si>
  <si>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</si>
  <si>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</si>
  <si>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</si>
  <si>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</si>
  <si>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</si>
  <si>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</si>
  <si>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</si>
  <si>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</si>
  <si>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</si>
  <si>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</si>
  <si>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</si>
  <si>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</si>
  <si>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</si>
  <si>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</si>
  <si>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</si>
  <si>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</si>
  <si>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</si>
  <si>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</si>
  <si>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</si>
  <si>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</si>
  <si>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</si>
  <si>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</si>
  <si>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</si>
  <si>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</si>
  <si>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</si>
  <si>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</si>
  <si>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</si>
  <si>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</si>
  <si>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</si>
  <si>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</si>
  <si>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</si>
  <si>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</si>
  <si>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</si>
  <si>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</si>
  <si>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</si>
  <si>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</si>
  <si>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</si>
  <si>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</si>
  <si>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</si>
  <si>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</si>
  <si>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</si>
  <si>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</si>
  <si>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</si>
  <si>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</si>
  <si>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</si>
  <si>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</si>
  <si>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</si>
  <si>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</si>
  <si>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</si>
  <si>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</si>
  <si>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</si>
  <si>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</si>
  <si>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</si>
  <si>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</si>
  <si>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</si>
  <si>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</si>
  <si>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</si>
  <si>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</si>
  <si>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</si>
  <si>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</si>
  <si>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</si>
  <si>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</si>
  <si>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</si>
  <si>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</si>
  <si>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</si>
  <si>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</si>
  <si>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</si>
  <si>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</si>
  <si>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</si>
  <si>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</si>
  <si>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</si>
  <si>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</si>
  <si>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</si>
  <si>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</si>
  <si>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</si>
  <si>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</si>
  <si>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</si>
  <si>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</si>
  <si>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</si>
  <si>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</si>
  <si>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</si>
  <si>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</si>
  <si>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</si>
  <si>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</si>
  <si>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</si>
  <si>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</si>
  <si>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</si>
  <si>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</si>
  <si>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</si>
  <si>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</si>
  <si>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</si>
  <si>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</si>
  <si>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</si>
  <si>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</si>
  <si>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</si>
  <si>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</si>
  <si>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</si>
  <si>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</si>
  <si>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</si>
  <si>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</si>
  <si>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</si>
  <si>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</si>
  <si>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</si>
  <si>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</si>
  <si>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</si>
  <si>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</si>
  <si>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</si>
  <si>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</si>
  <si>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</si>
  <si>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</si>
  <si>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</si>
  <si>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</si>
  <si>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</si>
  <si>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</si>
  <si>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</si>
  <si>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</si>
  <si>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</si>
  <si>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</si>
  <si>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</si>
  <si>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</si>
  <si>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</si>
  <si>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</si>
  <si>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</si>
  <si>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</si>
  <si>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</si>
  <si>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</si>
  <si>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</si>
  <si>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</si>
  <si>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</si>
  <si>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</si>
  <si>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</si>
  <si>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</si>
  <si>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</si>
  <si>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</si>
  <si>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</si>
  <si>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</si>
  <si>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</si>
  <si>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</si>
  <si>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</si>
  <si>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</si>
  <si>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</si>
  <si>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</si>
  <si>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</si>
  <si>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</si>
  <si>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</si>
  <si>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</si>
  <si>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</si>
  <si>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</si>
  <si>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</si>
  <si>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</si>
  <si>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</si>
  <si>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</si>
  <si>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</si>
  <si>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t>B2</t>
  </si>
  <si>
    <t>CJ6-T</t>
  </si>
  <si>
    <t>Daya 33.000 VA</t>
  </si>
  <si>
    <t>--7.108891, 110.780523</t>
  </si>
  <si>
    <t>C12-200</t>
  </si>
  <si>
    <t>btg</t>
  </si>
  <si>
    <t>SR APP 17,6</t>
  </si>
  <si>
    <t>CM2-12</t>
  </si>
  <si>
    <t>NF 2X, 3X70 70N</t>
  </si>
  <si>
    <t>m</t>
  </si>
  <si>
    <t>SR APP 33 KVA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</si>
  <si>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https://goo.gl/maps/yancLgAPWDiiG4Ku8</t>
    </r>
  </si>
  <si>
    <t>PD INDOMARET DARI 17,6 KVA KE 33 KVA KARANG RAYUNG (523072599547)</t>
  </si>
  <si>
    <t>PD INDOMARET KEDUNGWUNGU 17,6-33KVA</t>
  </si>
  <si>
    <t>DSN KEDUNGWUNGU</t>
  </si>
  <si>
    <t>K2-283/167</t>
  </si>
  <si>
    <t>PWI13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</si>
</sst>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  <font>
      <u/>
      <sz val="8"/>
      <color rgb="FF00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20" fillId="0" borderId="0"/>
  </cellStyleXfs>
  <cellXfs count="723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44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6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5" fillId="0" borderId="0" xfId="1614" applyFont="1" applyAlignment="1">
      <alignment horizontal="center"/>
    </xf>
    <xf numFmtId="0" fontId="146" fillId="0" borderId="0" xfId="1614" applyFont="1" applyAlignment="1">
      <alignment horizontal="center" vertical="center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3" fontId="145" fillId="0" borderId="0" xfId="1614" applyNumberFormat="1" applyFont="1" applyAlignment="1">
      <alignment horizontal="center"/>
    </xf>
    <xf numFmtId="0" fontId="150" fillId="0" borderId="0" xfId="1614" applyFont="1"/>
    <xf numFmtId="167" fontId="150" fillId="0" borderId="0" xfId="1652" applyNumberFormat="1" applyFont="1"/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left" vertical="center"/>
    </xf>
    <xf numFmtId="0" fontId="150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0" fontId="150" fillId="0" borderId="0" xfId="1614" applyFont="1" applyAlignment="1">
      <alignment horizontal="center" vertical="center" wrapText="1"/>
    </xf>
    <xf numFmtId="0" fontId="147" fillId="0" borderId="0" xfId="1614" applyFont="1" applyAlignment="1">
      <alignment horizontal="center" vertical="center" wrapText="1"/>
    </xf>
    <xf numFmtId="3" fontId="146" fillId="0" borderId="0" xfId="1614" applyNumberFormat="1" applyFont="1" applyAlignment="1">
      <alignment vertical="center"/>
    </xf>
    <xf numFmtId="0" fontId="147" fillId="0" borderId="20" xfId="1615" applyFont="1" applyBorder="1" applyAlignment="1">
      <alignment horizontal="center" vertical="center"/>
    </xf>
    <xf numFmtId="0" fontId="147" fillId="0" borderId="21" xfId="1615" applyFont="1" applyBorder="1" applyAlignment="1">
      <alignment horizontal="left" vertical="center" wrapText="1"/>
    </xf>
    <xf numFmtId="0" fontId="146" fillId="0" borderId="21" xfId="1614" applyFont="1" applyBorder="1" applyAlignment="1">
      <alignment horizontal="center" vertical="center" wrapText="1"/>
    </xf>
    <xf numFmtId="0" fontId="153" fillId="0" borderId="21" xfId="1614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46" fillId="0" borderId="21" xfId="1614" applyNumberFormat="1" applyFont="1" applyBorder="1" applyAlignment="1">
      <alignment horizontal="center" vertical="center"/>
    </xf>
    <xf numFmtId="3" fontId="146" fillId="0" borderId="22" xfId="1614" applyNumberFormat="1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/>
    </xf>
    <xf numFmtId="3" fontId="145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451" applyFont="1" applyBorder="1" applyAlignment="1">
      <alignment horizontal="left" vertical="center" wrapText="1"/>
    </xf>
    <xf numFmtId="0" fontId="148" fillId="0" borderId="21" xfId="1653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653" applyFont="1" applyBorder="1" applyAlignment="1">
      <alignment vertical="center" wrapText="1"/>
    </xf>
    <xf numFmtId="0" fontId="146" fillId="0" borderId="20" xfId="1652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53" fillId="0" borderId="21" xfId="1652" applyFont="1" applyBorder="1" applyAlignment="1">
      <alignment horizontal="center" vertical="center"/>
    </xf>
    <xf numFmtId="0" fontId="153" fillId="0" borderId="49" xfId="1652" applyFont="1" applyBorder="1" applyAlignment="1">
      <alignment horizontal="center" vertical="center"/>
    </xf>
    <xf numFmtId="0" fontId="153" fillId="0" borderId="3" xfId="1652" applyFont="1" applyBorder="1" applyAlignment="1">
      <alignment vertical="center" wrapText="1"/>
    </xf>
    <xf numFmtId="0" fontId="146" fillId="0" borderId="3" xfId="1614" applyFont="1" applyBorder="1" applyAlignment="1">
      <alignment horizontal="center" vertical="center" wrapText="1"/>
    </xf>
    <xf numFmtId="0" fontId="153" fillId="0" borderId="3" xfId="1614" applyFont="1" applyBorder="1" applyAlignment="1">
      <alignment horizontal="center" vertical="center"/>
    </xf>
    <xf numFmtId="0" fontId="153" fillId="0" borderId="3" xfId="1652" applyFont="1" applyBorder="1" applyAlignment="1">
      <alignment horizontal="center" vertical="center"/>
    </xf>
    <xf numFmtId="207" fontId="153" fillId="0" borderId="3" xfId="1614" applyNumberFormat="1" applyFont="1" applyBorder="1" applyAlignment="1">
      <alignment horizontal="center" vertical="center"/>
    </xf>
    <xf numFmtId="3" fontId="146" fillId="0" borderId="3" xfId="1614" applyNumberFormat="1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46" fillId="0" borderId="23" xfId="1614" applyFont="1" applyBorder="1" applyAlignment="1">
      <alignment horizontal="center" vertical="center"/>
    </xf>
    <xf numFmtId="0" fontId="146" fillId="0" borderId="24" xfId="1614" applyFont="1" applyBorder="1" applyAlignment="1">
      <alignment horizontal="left" vertical="center"/>
    </xf>
    <xf numFmtId="0" fontId="146" fillId="0" borderId="24" xfId="1614" applyFont="1" applyBorder="1" applyAlignment="1">
      <alignment vertical="center"/>
    </xf>
    <xf numFmtId="0" fontId="153" fillId="0" borderId="24" xfId="1614" applyFont="1" applyBorder="1" applyAlignment="1">
      <alignment horizontal="center" vertical="center"/>
    </xf>
    <xf numFmtId="3" fontId="146" fillId="0" borderId="24" xfId="1614" applyNumberFormat="1" applyFont="1" applyBorder="1" applyAlignment="1">
      <alignment horizontal="center" vertical="center"/>
    </xf>
    <xf numFmtId="3" fontId="146" fillId="0" borderId="25" xfId="1614" applyNumberFormat="1" applyFont="1" applyBorder="1" applyAlignment="1">
      <alignment horizontal="center" vertical="center"/>
    </xf>
    <xf numFmtId="0" fontId="148" fillId="0" borderId="26" xfId="1614" applyFont="1" applyBorder="1" applyAlignment="1">
      <alignment horizontal="center" vertical="center"/>
    </xf>
    <xf numFmtId="37" fontId="150" fillId="0" borderId="27" xfId="1614" applyNumberFormat="1" applyFont="1" applyBorder="1" applyAlignment="1">
      <alignment horizontal="center"/>
    </xf>
    <xf numFmtId="37" fontId="148" fillId="0" borderId="27" xfId="1614" applyNumberFormat="1" applyFont="1" applyBorder="1" applyAlignment="1">
      <alignment horizontal="center"/>
    </xf>
    <xf numFmtId="0" fontId="148" fillId="0" borderId="28" xfId="1614" applyFont="1" applyBorder="1" applyAlignment="1">
      <alignment horizontal="center" vertical="center"/>
    </xf>
    <xf numFmtId="37" fontId="150" fillId="0" borderId="29" xfId="1614" applyNumberFormat="1" applyFont="1" applyBorder="1" applyAlignment="1">
      <alignment horizontal="center"/>
    </xf>
    <xf numFmtId="37" fontId="148" fillId="0" borderId="29" xfId="1614" applyNumberFormat="1" applyFont="1" applyBorder="1" applyAlignment="1">
      <alignment horizontal="center"/>
    </xf>
    <xf numFmtId="37" fontId="154" fillId="0" borderId="30" xfId="1614" applyNumberFormat="1" applyFont="1" applyBorder="1" applyAlignment="1">
      <alignment horizontal="center"/>
    </xf>
    <xf numFmtId="37" fontId="154" fillId="0" borderId="32" xfId="1614" applyNumberFormat="1" applyFont="1" applyBorder="1" applyAlignment="1">
      <alignment horizontal="center"/>
    </xf>
    <xf numFmtId="0" fontId="154" fillId="0" borderId="34" xfId="1614" applyFont="1" applyBorder="1" applyAlignment="1">
      <alignment vertical="center"/>
    </xf>
    <xf numFmtId="0" fontId="148" fillId="0" borderId="19" xfId="1614" applyFont="1" applyBorder="1"/>
    <xf numFmtId="0" fontId="148" fillId="0" borderId="19" xfId="1614" applyFont="1" applyBorder="1" applyAlignment="1">
      <alignment horizontal="center"/>
    </xf>
    <xf numFmtId="0" fontId="148" fillId="0" borderId="19" xfId="1614" applyFont="1" applyBorder="1" applyAlignment="1">
      <alignment horizontal="right"/>
    </xf>
    <xf numFmtId="0" fontId="148" fillId="0" borderId="31" xfId="1614" applyFont="1" applyBorder="1" applyAlignment="1">
      <alignment horizontal="right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165" fontId="153" fillId="0" borderId="0" xfId="1652" applyNumberFormat="1" applyFont="1" applyAlignment="1">
      <alignment vertical="center"/>
    </xf>
    <xf numFmtId="0" fontId="148" fillId="0" borderId="0" xfId="1652" applyFont="1" applyAlignment="1">
      <alignment horizontal="right"/>
    </xf>
    <xf numFmtId="0" fontId="155" fillId="0" borderId="0" xfId="1644" applyFont="1" applyAlignment="1">
      <alignment horizontal="center" vertical="center"/>
    </xf>
    <xf numFmtId="0" fontId="153" fillId="0" borderId="0" xfId="1652" applyFont="1" applyAlignment="1">
      <alignment vertical="center"/>
    </xf>
    <xf numFmtId="0" fontId="156" fillId="39" borderId="71" xfId="2670" applyFont="1" applyFill="1" applyBorder="1" applyAlignment="1">
      <alignment horizontal="left" vertical="center"/>
    </xf>
    <xf numFmtId="0" fontId="156" fillId="39" borderId="72" xfId="2670" applyFont="1" applyFill="1" applyBorder="1" applyAlignment="1">
      <alignment horizontal="center" vertical="center"/>
    </xf>
    <xf numFmtId="0" fontId="156" fillId="39" borderId="74" xfId="2670" applyFont="1" applyFill="1" applyBorder="1" applyAlignment="1">
      <alignment horizontal="left" vertical="center"/>
    </xf>
    <xf numFmtId="0" fontId="156" fillId="39" borderId="70" xfId="2670" applyFont="1" applyFill="1" applyBorder="1" applyAlignment="1">
      <alignment horizontal="center" vertical="center"/>
    </xf>
    <xf numFmtId="0" fontId="156" fillId="39" borderId="76" xfId="2670" applyFont="1" applyFill="1" applyBorder="1" applyAlignment="1">
      <alignment horizontal="left" vertical="center"/>
    </xf>
    <xf numFmtId="0" fontId="156" fillId="39" borderId="77" xfId="2670" applyFont="1" applyFill="1" applyBorder="1" applyAlignment="1">
      <alignment horizontal="center" vertical="center"/>
    </xf>
    <xf numFmtId="167" fontId="138" fillId="40" borderId="73" xfId="2672" applyFont="1" applyFill="1" applyBorder="1" applyAlignment="1" applyProtection="1">
      <alignment horizontal="right" vertical="center" wrapText="1"/>
      <protection locked="0"/>
    </xf>
    <xf numFmtId="167" fontId="138" fillId="40" borderId="75" xfId="2672" applyFont="1" applyFill="1" applyBorder="1" applyAlignment="1" applyProtection="1">
      <alignment horizontal="right" vertical="center"/>
      <protection locked="0"/>
    </xf>
    <xf numFmtId="169" fontId="138" fillId="40" borderId="75" xfId="2672" applyNumberFormat="1" applyFont="1" applyFill="1" applyBorder="1" applyAlignment="1" applyProtection="1">
      <alignment horizontal="right" vertical="center"/>
      <protection locked="0"/>
    </xf>
    <xf numFmtId="169" fontId="138" fillId="40" borderId="78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1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4" fillId="35" borderId="82" xfId="2673" applyFont="1" applyFill="1" applyBorder="1" applyAlignment="1">
      <alignment vertical="center" wrapText="1"/>
    </xf>
    <xf numFmtId="0" fontId="144" fillId="43" borderId="82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86" xfId="2673" applyFont="1" applyFill="1" applyBorder="1" applyAlignment="1">
      <alignment vertical="center" wrapText="1"/>
    </xf>
    <xf numFmtId="0" fontId="105" fillId="0" borderId="63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9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42" fillId="47" borderId="0" xfId="2672" applyNumberFormat="1" applyFont="1" applyFill="1" applyBorder="1" applyAlignment="1" applyProtection="1">
      <alignment horizontal="right" vertical="center"/>
    </xf>
    <xf numFmtId="0" fontId="146" fillId="0" borderId="21" xfId="1615" applyFont="1" applyBorder="1" applyAlignment="1">
      <alignment horizontal="left" vertical="center" wrapText="1"/>
    </xf>
    <xf numFmtId="0" fontId="152" fillId="0" borderId="20" xfId="1653" applyFont="1" applyBorder="1" applyAlignment="1">
      <alignment horizontal="center" vertical="center"/>
    </xf>
    <xf numFmtId="0" fontId="153" fillId="0" borderId="21" xfId="1615" applyFont="1" applyBorder="1" applyAlignment="1">
      <alignment horizontal="center" vertical="center"/>
    </xf>
    <xf numFmtId="0" fontId="146" fillId="0" borderId="20" xfId="1615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9" fontId="118" fillId="33" borderId="0" xfId="2542" applyFont="1" applyFill="1" applyAlignment="1">
      <alignment horizontal="center"/>
    </xf>
    <xf numFmtId="9" fontId="114" fillId="33" borderId="0" xfId="2542" applyFont="1" applyFill="1" applyBorder="1" applyAlignment="1">
      <alignment horizontal="center" vertical="center"/>
    </xf>
    <xf numFmtId="0" fontId="119" fillId="0" borderId="0" xfId="1451" applyFont="1"/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37" xfId="1451" applyFont="1" applyBorder="1"/>
    <xf numFmtId="0" fontId="119" fillId="0" borderId="28" xfId="1451" applyFont="1" applyBorder="1"/>
    <xf numFmtId="0" fontId="120" fillId="0" borderId="0" xfId="1451" applyFont="1" applyAlignment="1">
      <alignment vertical="center"/>
    </xf>
    <xf numFmtId="0" fontId="171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5" fillId="0" borderId="0" xfId="1451" applyFont="1" applyAlignment="1">
      <alignment vertical="center"/>
    </xf>
    <xf numFmtId="0" fontId="115" fillId="0" borderId="37" xfId="1451" applyFont="1" applyBorder="1" applyAlignment="1">
      <alignment vertical="center"/>
    </xf>
    <xf numFmtId="0" fontId="124" fillId="0" borderId="0" xfId="1451" applyFont="1" applyAlignment="1">
      <alignment horizontal="center"/>
    </xf>
    <xf numFmtId="0" fontId="115" fillId="0" borderId="0" xfId="1451" applyFont="1" applyAlignment="1">
      <alignment horizontal="center" vertical="center"/>
    </xf>
    <xf numFmtId="0" fontId="115" fillId="0" borderId="37" xfId="1451" applyFont="1" applyBorder="1" applyAlignment="1">
      <alignment horizontal="center" vertical="center"/>
    </xf>
    <xf numFmtId="0" fontId="119" fillId="0" borderId="34" xfId="1451" applyFont="1" applyBorder="1"/>
    <xf numFmtId="0" fontId="119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119" fillId="0" borderId="31" xfId="1451" applyFont="1" applyBorder="1"/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9" fillId="0" borderId="21" xfId="1614" applyFont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3" fontId="9" fillId="0" borderId="21" xfId="1599" applyNumberFormat="1" applyFont="1" applyBorder="1" applyAlignment="1">
      <alignment horizontal="center" vertical="center"/>
    </xf>
    <xf numFmtId="0" fontId="126" fillId="0" borderId="21" xfId="1652" applyFont="1" applyBorder="1" applyAlignment="1">
      <alignment horizontal="center" vertical="center"/>
    </xf>
    <xf numFmtId="0" fontId="152" fillId="0" borderId="21" xfId="1652" applyFont="1" applyBorder="1" applyAlignment="1">
      <alignment horizontal="center" vertical="center"/>
    </xf>
    <xf numFmtId="0" fontId="148" fillId="48" borderId="21" xfId="1653" applyFont="1" applyFill="1" applyBorder="1" applyAlignment="1">
      <alignment vertical="center" wrapText="1"/>
    </xf>
    <xf numFmtId="0" fontId="43" fillId="48" borderId="21" xfId="1451" applyFont="1" applyFill="1" applyBorder="1" applyAlignment="1">
      <alignment horizontal="left" vertical="center" wrapText="1"/>
    </xf>
    <xf numFmtId="0" fontId="119" fillId="33" borderId="0" xfId="1451" applyFont="1" applyFill="1" applyAlignment="1">
      <alignment horizontal="center" vertical="center"/>
    </xf>
    <xf numFmtId="0" fontId="119" fillId="33" borderId="0" xfId="1451" applyFont="1" applyFill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4" fillId="33" borderId="0" xfId="2677" applyFont="1" applyFill="1" applyAlignment="1">
      <alignment horizontal="center"/>
    </xf>
    <xf numFmtId="0" fontId="114" fillId="33" borderId="26" xfId="2677" applyFont="1" applyFill="1" applyBorder="1" applyAlignment="1">
      <alignment horizontal="center"/>
    </xf>
    <xf numFmtId="0" fontId="114" fillId="33" borderId="36" xfId="2677" applyFont="1" applyFill="1" applyBorder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quotePrefix="1" applyFont="1" applyFill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4" fillId="33" borderId="37" xfId="2677" applyFont="1" applyFill="1" applyBorder="1" applyAlignment="1">
      <alignment horizont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0" fontId="134" fillId="33" borderId="0" xfId="2677" applyFont="1" applyFill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0" fontId="114" fillId="33" borderId="38" xfId="2677" applyFont="1" applyFill="1" applyBorder="1" applyAlignment="1">
      <alignment horizontal="center"/>
    </xf>
    <xf numFmtId="0" fontId="115" fillId="33" borderId="0" xfId="2677" applyFont="1" applyFill="1" applyAlignment="1">
      <alignment horizontal="left"/>
    </xf>
    <xf numFmtId="0" fontId="115" fillId="33" borderId="0" xfId="2677" applyFont="1" applyFill="1" applyAlignment="1">
      <alignment horizontal="center"/>
    </xf>
    <xf numFmtId="0" fontId="91" fillId="33" borderId="40" xfId="2677" applyFont="1" applyFill="1" applyBorder="1" applyAlignment="1">
      <alignment horizontal="center" vertical="center"/>
    </xf>
    <xf numFmtId="0" fontId="91" fillId="33" borderId="47" xfId="2677" applyFont="1" applyFill="1" applyBorder="1" applyAlignment="1">
      <alignment horizontal="center" vertical="center"/>
    </xf>
    <xf numFmtId="0" fontId="114" fillId="33" borderId="3" xfId="2677" applyFont="1" applyFill="1" applyBorder="1" applyAlignment="1">
      <alignment horizontal="center" vertical="center"/>
    </xf>
    <xf numFmtId="0" fontId="114" fillId="33" borderId="39" xfId="2677" applyFont="1" applyFill="1" applyBorder="1" applyAlignment="1">
      <alignment horizontal="center" vertical="center"/>
    </xf>
    <xf numFmtId="0" fontId="91" fillId="33" borderId="102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left" vertical="center"/>
    </xf>
    <xf numFmtId="0" fontId="91" fillId="33" borderId="59" xfId="2677" applyFont="1" applyFill="1" applyBorder="1" applyAlignment="1">
      <alignment horizontal="left" vertical="center"/>
    </xf>
    <xf numFmtId="0" fontId="91" fillId="33" borderId="60" xfId="2677" applyFont="1" applyFill="1" applyBorder="1" applyAlignment="1">
      <alignment horizontal="left" vertical="center"/>
    </xf>
    <xf numFmtId="0" fontId="117" fillId="33" borderId="0" xfId="2677" applyFont="1" applyFill="1" applyAlignment="1">
      <alignment horizontal="center"/>
    </xf>
    <xf numFmtId="0" fontId="91" fillId="33" borderId="69" xfId="2677" applyFont="1" applyFill="1" applyBorder="1" applyAlignment="1">
      <alignment horizontal="left" vertical="center"/>
    </xf>
    <xf numFmtId="0" fontId="114" fillId="33" borderId="39" xfId="2677" applyFont="1" applyFill="1" applyBorder="1" applyAlignment="1">
      <alignment horizontal="center" vertical="top" wrapText="1"/>
    </xf>
    <xf numFmtId="0" fontId="172" fillId="33" borderId="59" xfId="2677" applyFont="1" applyFill="1" applyBorder="1" applyAlignment="1">
      <alignment horizontal="left" vertical="center"/>
    </xf>
    <xf numFmtId="0" fontId="172" fillId="33" borderId="69" xfId="2677" applyFont="1" applyFill="1" applyBorder="1" applyAlignment="1">
      <alignment horizontal="left" vertical="center"/>
    </xf>
    <xf numFmtId="0" fontId="91" fillId="33" borderId="98" xfId="2677" applyFont="1" applyFill="1" applyBorder="1" applyAlignment="1">
      <alignment horizontal="center" vertical="center"/>
    </xf>
    <xf numFmtId="0" fontId="172" fillId="33" borderId="101" xfId="2677" applyFont="1" applyFill="1" applyBorder="1" applyAlignment="1">
      <alignment horizontal="left" vertical="center"/>
    </xf>
    <xf numFmtId="0" fontId="172" fillId="33" borderId="100" xfId="2677" applyFont="1" applyFill="1" applyBorder="1" applyAlignment="1">
      <alignment horizontal="left" vertical="center"/>
    </xf>
    <xf numFmtId="0" fontId="172" fillId="33" borderId="99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4" fillId="33" borderId="3" xfId="2677" applyFont="1" applyFill="1" applyBorder="1" applyAlignment="1">
      <alignment vertical="top" wrapText="1"/>
    </xf>
    <xf numFmtId="0" fontId="114" fillId="33" borderId="39" xfId="2677" applyFont="1" applyFill="1" applyBorder="1" applyAlignment="1">
      <alignment vertical="top" wrapText="1"/>
    </xf>
    <xf numFmtId="0" fontId="118" fillId="33" borderId="95" xfId="2677" applyFont="1" applyFill="1" applyBorder="1" applyAlignment="1">
      <alignment horizontal="center" vertical="top" wrapText="1"/>
    </xf>
    <xf numFmtId="0" fontId="118" fillId="33" borderId="94" xfId="2677" applyFont="1" applyFill="1" applyBorder="1" applyAlignment="1">
      <alignment horizontal="center" vertical="top" wrapText="1"/>
    </xf>
    <xf numFmtId="0" fontId="114" fillId="33" borderId="42" xfId="2677" applyFont="1" applyFill="1" applyBorder="1" applyAlignment="1">
      <alignment horizontal="center"/>
    </xf>
    <xf numFmtId="0" fontId="118" fillId="33" borderId="28" xfId="2677" applyFont="1" applyFill="1" applyBorder="1" applyAlignment="1">
      <alignment horizontal="center"/>
    </xf>
    <xf numFmtId="0" fontId="118" fillId="33" borderId="0" xfId="2677" applyFont="1" applyFill="1" applyAlignment="1">
      <alignment horizontal="center"/>
    </xf>
    <xf numFmtId="20" fontId="114" fillId="33" borderId="39" xfId="2677" applyNumberFormat="1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42" xfId="2677" applyFont="1" applyFill="1" applyBorder="1" applyAlignment="1">
      <alignment horizontal="center" vertical="center" wrapText="1"/>
    </xf>
    <xf numFmtId="0" fontId="114" fillId="33" borderId="0" xfId="2677" applyFont="1" applyFill="1" applyAlignment="1">
      <alignment horizontal="center" vertical="center"/>
    </xf>
    <xf numFmtId="0" fontId="118" fillId="33" borderId="0" xfId="2677" applyFont="1" applyFill="1" applyAlignment="1">
      <alignment horizontal="center" vertical="center"/>
    </xf>
    <xf numFmtId="0" fontId="118" fillId="33" borderId="34" xfId="2677" applyFont="1" applyFill="1" applyBorder="1" applyAlignment="1">
      <alignment horizontal="center"/>
    </xf>
    <xf numFmtId="0" fontId="118" fillId="33" borderId="19" xfId="2677" applyFont="1" applyFill="1" applyBorder="1" applyAlignment="1">
      <alignment horizontal="center"/>
    </xf>
    <xf numFmtId="0" fontId="114" fillId="33" borderId="19" xfId="2677" applyFont="1" applyFill="1" applyBorder="1" applyAlignment="1">
      <alignment horizontal="center"/>
    </xf>
    <xf numFmtId="0" fontId="114" fillId="33" borderId="46" xfId="2677" applyFont="1" applyFill="1" applyBorder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74" fillId="0" borderId="0" xfId="0" applyFont="1" applyAlignment="1">
      <alignment horizontal="center" vertical="center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5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51" fillId="0" borderId="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159" fillId="42" borderId="79" xfId="2673" applyFont="1" applyFill="1" applyBorder="1" applyAlignment="1">
      <alignment horizontal="center" vertical="center" wrapText="1"/>
    </xf>
    <xf numFmtId="0" fontId="159" fillId="42" borderId="80" xfId="2673" applyFont="1" applyFill="1" applyBorder="1" applyAlignment="1">
      <alignment horizontal="center" vertical="center" wrapText="1"/>
    </xf>
    <xf numFmtId="0" fontId="159" fillId="42" borderId="81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43" borderId="61" xfId="2673" applyNumberFormat="1" applyFont="1" applyFill="1" applyBorder="1" applyAlignment="1">
      <alignment horizontal="center" vertical="center" wrapText="1"/>
    </xf>
    <xf numFmtId="2" fontId="132" fillId="43" borderId="83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4" borderId="3" xfId="2673" applyFont="1" applyFill="1" applyBorder="1" applyAlignment="1">
      <alignment horizontal="center" vertical="center" wrapText="1"/>
    </xf>
    <xf numFmtId="0" fontId="162" fillId="44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2" fontId="132" fillId="45" borderId="3" xfId="2673" applyNumberFormat="1" applyFont="1" applyFill="1" applyBorder="1" applyAlignment="1">
      <alignment horizontal="center" vertical="center" wrapText="1"/>
    </xf>
    <xf numFmtId="2" fontId="132" fillId="45" borderId="39" xfId="2673" applyNumberFormat="1" applyFont="1" applyFill="1" applyBorder="1" applyAlignment="1">
      <alignment horizontal="center" vertical="center" wrapText="1"/>
    </xf>
    <xf numFmtId="9" fontId="132" fillId="35" borderId="63" xfId="2675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7" fillId="0" borderId="84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85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1" xfId="2673" applyNumberFormat="1" applyFont="1" applyFill="1" applyBorder="1" applyAlignment="1">
      <alignment horizontal="center" vertical="center" wrapText="1"/>
    </xf>
    <xf numFmtId="2" fontId="132" fillId="35" borderId="83" xfId="2673" applyNumberFormat="1" applyFont="1" applyFill="1" applyBorder="1" applyAlignment="1">
      <alignment horizontal="center" vertical="center" wrapText="1"/>
    </xf>
    <xf numFmtId="0" fontId="159" fillId="41" borderId="79" xfId="2673" applyFont="1" applyFill="1" applyBorder="1" applyAlignment="1">
      <alignment horizontal="center" vertical="center" wrapText="1"/>
    </xf>
    <xf numFmtId="0" fontId="159" fillId="41" borderId="80" xfId="2673" applyFont="1" applyFill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3" xfId="2675" applyFont="1" applyFill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0" fontId="8" fillId="34" borderId="67" xfId="2670" applyFill="1" applyBorder="1" applyAlignment="1">
      <alignment horizontal="center" vertical="center"/>
    </xf>
    <xf numFmtId="0" fontId="136" fillId="0" borderId="68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1" fillId="0" borderId="44" xfId="1538" applyFont="1" applyBorder="1" applyAlignment="1">
      <alignment horizontal="left"/>
    </xf>
    <xf numFmtId="0" fontId="147" fillId="0" borderId="0" xfId="1644" applyFont="1" applyAlignment="1">
      <alignment horizontal="center" vertical="center"/>
    </xf>
    <xf numFmtId="37" fontId="154" fillId="0" borderId="19" xfId="1614" applyNumberFormat="1" applyFont="1" applyBorder="1" applyAlignment="1">
      <alignment horizontal="center"/>
    </xf>
    <xf numFmtId="0" fontId="150" fillId="0" borderId="0" xfId="1614" quotePrefix="1" applyFont="1" applyAlignment="1">
      <alignment horizontal="left" vertical="top" wrapText="1"/>
    </xf>
    <xf numFmtId="0" fontId="150" fillId="0" borderId="0" xfId="1614" applyFont="1" applyAlignment="1">
      <alignment horizontal="left" vertical="top" wrapText="1"/>
    </xf>
    <xf numFmtId="37" fontId="148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3" fillId="0" borderId="0" xfId="1652" applyFont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0" fontId="152" fillId="35" borderId="53" xfId="1614" applyFont="1" applyFill="1" applyBorder="1" applyAlignment="1">
      <alignment horizontal="center" vertical="center"/>
    </xf>
    <xf numFmtId="0" fontId="152" fillId="35" borderId="54" xfId="1614" applyFont="1" applyFill="1" applyBorder="1" applyAlignment="1">
      <alignment horizontal="center" vertical="center"/>
    </xf>
    <xf numFmtId="0" fontId="152" fillId="35" borderId="35" xfId="1652" applyFont="1" applyFill="1" applyBorder="1" applyAlignment="1">
      <alignment horizontal="center" vertical="center" wrapText="1"/>
    </xf>
    <xf numFmtId="0" fontId="152" fillId="35" borderId="33" xfId="1652" applyFont="1" applyFill="1" applyBorder="1" applyAlignment="1">
      <alignment horizontal="center" vertical="center" wrapText="1"/>
    </xf>
    <xf numFmtId="0" fontId="152" fillId="35" borderId="3" xfId="1614" applyFont="1" applyFill="1" applyBorder="1" applyAlignment="1">
      <alignment horizontal="center" vertical="center"/>
    </xf>
    <xf numFmtId="0" fontId="152" fillId="35" borderId="39" xfId="1614" applyFont="1" applyFill="1" applyBorder="1" applyAlignment="1">
      <alignment horizontal="center" vertical="center"/>
    </xf>
    <xf numFmtId="0" fontId="150" fillId="30" borderId="3" xfId="1614" applyFont="1" applyFill="1" applyBorder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37" fontId="148" fillId="0" borderId="36" xfId="1614" applyNumberFormat="1" applyFont="1" applyBorder="1" applyAlignment="1">
      <alignment horizontal="center"/>
    </xf>
    <xf numFmtId="0" fontId="152" fillId="35" borderId="51" xfId="1614" applyFont="1" applyFill="1" applyBorder="1" applyAlignment="1">
      <alignment horizontal="center" vertical="center"/>
    </xf>
    <xf numFmtId="0" fontId="152" fillId="35" borderId="49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/>
    </xf>
    <xf numFmtId="0" fontId="152" fillId="35" borderId="21" xfId="1614" applyFont="1" applyFill="1" applyBorder="1" applyAlignment="1">
      <alignment horizontal="center" vertical="center"/>
    </xf>
    <xf numFmtId="0" fontId="152" fillId="35" borderId="33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 wrapText="1"/>
    </xf>
    <xf numFmtId="0" fontId="152" fillId="35" borderId="21" xfId="1614" applyFont="1" applyFill="1" applyBorder="1" applyAlignment="1">
      <alignment horizontal="center" vertical="center" wrapText="1"/>
    </xf>
    <xf numFmtId="0" fontId="152" fillId="35" borderId="33" xfId="1614" applyFont="1" applyFill="1" applyBorder="1" applyAlignment="1">
      <alignment horizontal="center" vertical="center" wrapText="1"/>
    </xf>
    <xf numFmtId="0" fontId="129" fillId="35" borderId="55" xfId="2677" applyFont="1" applyFill="1" applyBorder="1" applyAlignment="1">
      <alignment horizontal="center" vertical="center"/>
    </xf>
    <xf numFmtId="0" fontId="129" fillId="35" borderId="36" xfId="2677" applyFont="1" applyFill="1" applyBorder="1" applyAlignment="1">
      <alignment horizontal="center" vertical="center"/>
    </xf>
    <xf numFmtId="0" fontId="129" fillId="35" borderId="48" xfId="2677" applyFont="1" applyFill="1" applyBorder="1" applyAlignment="1">
      <alignment horizontal="center" vertical="center"/>
    </xf>
    <xf numFmtId="0" fontId="129" fillId="35" borderId="43" xfId="2677" applyFont="1" applyFill="1" applyBorder="1" applyAlignment="1">
      <alignment horizontal="center" vertical="center"/>
    </xf>
    <xf numFmtId="0" fontId="129" fillId="35" borderId="44" xfId="2677" applyFont="1" applyFill="1" applyBorder="1" applyAlignment="1">
      <alignment horizontal="center" vertical="center"/>
    </xf>
    <xf numFmtId="0" fontId="129" fillId="35" borderId="45" xfId="2677" applyFont="1" applyFill="1" applyBorder="1" applyAlignment="1">
      <alignment horizontal="center" vertic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49" fontId="91" fillId="33" borderId="102" xfId="2677" applyNumberFormat="1" applyFont="1" applyFill="1" applyBorder="1" applyAlignment="1">
      <alignment horizontal="left" vertical="center"/>
    </xf>
    <xf numFmtId="49" fontId="91" fillId="33" borderId="40" xfId="2677" applyNumberFormat="1" applyFont="1" applyFill="1" applyBorder="1" applyAlignment="1">
      <alignment horizontal="left" vertical="center"/>
    </xf>
    <xf numFmtId="49" fontId="173" fillId="33" borderId="102" xfId="2677" applyNumberFormat="1" applyFont="1" applyFill="1" applyBorder="1" applyAlignment="1">
      <alignment horizontal="left" vertical="center"/>
    </xf>
    <xf numFmtId="49" fontId="173" fillId="33" borderId="40" xfId="2677" applyNumberFormat="1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horizontal="left" vertical="center"/>
    </xf>
    <xf numFmtId="49" fontId="114" fillId="33" borderId="41" xfId="2677" applyNumberFormat="1" applyFont="1" applyFill="1" applyBorder="1" applyAlignment="1">
      <alignment horizontal="left" vertical="center"/>
    </xf>
    <xf numFmtId="0" fontId="173" fillId="33" borderId="59" xfId="2677" applyFont="1" applyFill="1" applyBorder="1" applyAlignment="1">
      <alignment horizontal="left" vertical="center"/>
    </xf>
    <xf numFmtId="0" fontId="173" fillId="33" borderId="60" xfId="2677" applyFont="1" applyFill="1" applyBorder="1" applyAlignment="1">
      <alignment horizontal="left" vertical="center"/>
    </xf>
    <xf numFmtId="0" fontId="114" fillId="33" borderId="56" xfId="2677" applyFont="1" applyFill="1" applyBorder="1" applyAlignment="1">
      <alignment horizontal="center"/>
    </xf>
    <xf numFmtId="0" fontId="114" fillId="33" borderId="57" xfId="2677" applyFont="1" applyFill="1" applyBorder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5" fillId="33" borderId="0" xfId="2677" applyFont="1" applyFill="1" applyAlignment="1">
      <alignment horizontal="left"/>
    </xf>
    <xf numFmtId="0" fontId="115" fillId="33" borderId="37" xfId="2677" applyFont="1" applyFill="1" applyBorder="1" applyAlignment="1">
      <alignment horizontal="left"/>
    </xf>
    <xf numFmtId="0" fontId="130" fillId="33" borderId="50" xfId="2677" applyFont="1" applyFill="1" applyBorder="1" applyAlignment="1">
      <alignment horizontal="center" vertical="center"/>
    </xf>
    <xf numFmtId="0" fontId="130" fillId="33" borderId="7" xfId="2677" applyFont="1" applyFill="1" applyBorder="1" applyAlignment="1">
      <alignment horizontal="center" vertical="center"/>
    </xf>
    <xf numFmtId="0" fontId="130" fillId="33" borderId="41" xfId="2677" applyFont="1" applyFill="1" applyBorder="1" applyAlignment="1">
      <alignment horizontal="center" vertical="center"/>
    </xf>
    <xf numFmtId="0" fontId="115" fillId="33" borderId="50" xfId="2677" applyFont="1" applyFill="1" applyBorder="1" applyAlignment="1">
      <alignment horizontal="center" vertical="center"/>
    </xf>
    <xf numFmtId="0" fontId="115" fillId="33" borderId="7" xfId="2677" applyFont="1" applyFill="1" applyBorder="1" applyAlignment="1">
      <alignment horizontal="center" vertical="center"/>
    </xf>
    <xf numFmtId="0" fontId="115" fillId="33" borderId="58" xfId="2677" applyFont="1" applyFill="1" applyBorder="1" applyAlignment="1">
      <alignment horizontal="center" vertical="center"/>
    </xf>
    <xf numFmtId="0" fontId="91" fillId="33" borderId="59" xfId="2677" applyFont="1" applyFill="1" applyBorder="1" applyAlignment="1">
      <alignment horizontal="left" vertical="center"/>
    </xf>
    <xf numFmtId="0" fontId="91" fillId="33" borderId="60" xfId="2677" applyFont="1" applyFill="1" applyBorder="1" applyAlignment="1">
      <alignment horizontal="left" vertical="center"/>
    </xf>
    <xf numFmtId="0" fontId="91" fillId="33" borderId="102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vertical="center"/>
    </xf>
    <xf numFmtId="49" fontId="114" fillId="33" borderId="41" xfId="2677" applyNumberFormat="1" applyFont="1" applyFill="1" applyBorder="1" applyAlignment="1">
      <alignment vertical="center"/>
    </xf>
    <xf numFmtId="49" fontId="114" fillId="33" borderId="50" xfId="2677" applyNumberFormat="1" applyFont="1" applyFill="1" applyBorder="1" applyAlignment="1">
      <alignment vertical="top" wrapText="1"/>
    </xf>
    <xf numFmtId="49" fontId="114" fillId="33" borderId="41" xfId="2677" applyNumberFormat="1" applyFont="1" applyFill="1" applyBorder="1" applyAlignment="1">
      <alignment vertical="top" wrapText="1"/>
    </xf>
    <xf numFmtId="0" fontId="114" fillId="33" borderId="7" xfId="2677" applyFont="1" applyFill="1" applyBorder="1" applyAlignment="1">
      <alignment horizontal="center"/>
    </xf>
    <xf numFmtId="0" fontId="114" fillId="33" borderId="41" xfId="2677" applyFont="1" applyFill="1" applyBorder="1" applyAlignment="1">
      <alignment horizontal="center"/>
    </xf>
    <xf numFmtId="15" fontId="114" fillId="33" borderId="3" xfId="2677" applyNumberFormat="1" applyFont="1" applyFill="1" applyBorder="1" applyAlignment="1">
      <alignment horizontal="center"/>
    </xf>
    <xf numFmtId="0" fontId="114" fillId="33" borderId="7" xfId="2677" applyFont="1" applyFill="1" applyBorder="1" applyAlignment="1">
      <alignment vertical="top" wrapText="1"/>
    </xf>
    <xf numFmtId="0" fontId="114" fillId="33" borderId="41" xfId="2677" applyFont="1" applyFill="1" applyBorder="1" applyAlignment="1">
      <alignment vertical="top" wrapText="1"/>
    </xf>
    <xf numFmtId="0" fontId="118" fillId="33" borderId="97" xfId="2677" applyFont="1" applyFill="1" applyBorder="1" applyAlignment="1">
      <alignment horizontal="center" vertical="center" wrapText="1"/>
    </xf>
    <xf numFmtId="0" fontId="118" fillId="33" borderId="96" xfId="2677" applyFont="1" applyFill="1" applyBorder="1" applyAlignment="1">
      <alignment horizontal="center" vertical="center" wrapText="1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5" fillId="33" borderId="38" xfId="2677" applyFont="1" applyFill="1" applyBorder="1" applyAlignment="1">
      <alignment horizontal="left" vertical="top" wrapText="1"/>
    </xf>
    <xf numFmtId="0" fontId="115" fillId="33" borderId="56" xfId="2677" applyFont="1" applyFill="1" applyBorder="1" applyAlignment="1">
      <alignment horizontal="left" vertical="top" wrapText="1"/>
    </xf>
    <xf numFmtId="0" fontId="115" fillId="33" borderId="57" xfId="2677" applyFont="1" applyFill="1" applyBorder="1" applyAlignment="1">
      <alignment horizontal="left" vertical="top" wrapText="1"/>
    </xf>
    <xf numFmtId="0" fontId="115" fillId="33" borderId="43" xfId="2677" applyFont="1" applyFill="1" applyBorder="1" applyAlignment="1">
      <alignment horizontal="left" vertical="top" wrapText="1"/>
    </xf>
    <xf numFmtId="0" fontId="115" fillId="33" borderId="44" xfId="2677" applyFont="1" applyFill="1" applyBorder="1" applyAlignment="1">
      <alignment horizontal="left" vertical="top" wrapText="1"/>
    </xf>
    <xf numFmtId="0" fontId="115" fillId="33" borderId="45" xfId="2677" applyFont="1" applyFill="1" applyBorder="1" applyAlignment="1">
      <alignment horizontal="left" vertical="top" wrapText="1"/>
    </xf>
    <xf numFmtId="0" fontId="114" fillId="33" borderId="50" xfId="2677" applyFont="1" applyFill="1" applyBorder="1" applyAlignment="1">
      <alignment horizontal="center"/>
    </xf>
    <xf numFmtId="0" fontId="114" fillId="33" borderId="87" xfId="2677" applyFont="1" applyFill="1" applyBorder="1" applyAlignment="1">
      <alignment horizontal="center"/>
    </xf>
    <xf numFmtId="0" fontId="114" fillId="33" borderId="62" xfId="2677" applyFont="1" applyFill="1" applyBorder="1" applyAlignment="1">
      <alignment horizontal="center"/>
    </xf>
    <xf numFmtId="0" fontId="114" fillId="33" borderId="63" xfId="2677" applyFont="1" applyFill="1" applyBorder="1" applyAlignment="1">
      <alignment horizontal="center"/>
    </xf>
    <xf numFmtId="0" fontId="114" fillId="33" borderId="64" xfId="2677" applyFont="1" applyFill="1" applyBorder="1" applyAlignment="1">
      <alignment horizontal="center"/>
    </xf>
    <xf numFmtId="0" fontId="114" fillId="33" borderId="56" xfId="2677" applyFont="1" applyFill="1" applyBorder="1" applyAlignment="1">
      <alignment horizontal="center" vertical="center"/>
    </xf>
    <xf numFmtId="0" fontId="114" fillId="33" borderId="57" xfId="2677" applyFont="1" applyFill="1" applyBorder="1" applyAlignment="1">
      <alignment horizontal="center" vertical="center"/>
    </xf>
    <xf numFmtId="0" fontId="119" fillId="33" borderId="0" xfId="2677" applyFont="1" applyFill="1" applyAlignment="1">
      <alignment horizontal="center" vertical="center" wrapText="1"/>
    </xf>
    <xf numFmtId="0" fontId="119" fillId="33" borderId="37" xfId="2677" applyFont="1" applyFill="1" applyBorder="1" applyAlignment="1">
      <alignment horizontal="center" vertical="center" wrapText="1"/>
    </xf>
    <xf numFmtId="0" fontId="119" fillId="33" borderId="44" xfId="2677" applyFont="1" applyFill="1" applyBorder="1" applyAlignment="1">
      <alignment horizontal="center" vertical="center" wrapText="1"/>
    </xf>
    <xf numFmtId="0" fontId="119" fillId="33" borderId="45" xfId="2677" applyFont="1" applyFill="1" applyBorder="1" applyAlignment="1">
      <alignment horizontal="center" vertical="center" wrapText="1"/>
    </xf>
    <xf numFmtId="0" fontId="170" fillId="0" borderId="88" xfId="1451" applyFont="1" applyBorder="1" applyAlignment="1">
      <alignment horizontal="center" vertical="center"/>
    </xf>
    <xf numFmtId="0" fontId="170" fillId="0" borderId="89" xfId="1451" applyFont="1" applyBorder="1" applyAlignment="1">
      <alignment horizontal="center" vertical="center"/>
    </xf>
    <xf numFmtId="0" fontId="170" fillId="0" borderId="90" xfId="1451" applyFont="1" applyBorder="1" applyAlignment="1">
      <alignment horizontal="center" vertical="center"/>
    </xf>
    <xf numFmtId="0" fontId="170" fillId="0" borderId="91" xfId="1451" applyFont="1" applyBorder="1" applyAlignment="1">
      <alignment horizontal="center" vertical="center"/>
    </xf>
    <xf numFmtId="0" fontId="170" fillId="0" borderId="92" xfId="1451" applyFont="1" applyBorder="1" applyAlignment="1">
      <alignment horizontal="center" vertical="center"/>
    </xf>
    <xf numFmtId="0" fontId="170" fillId="0" borderId="93" xfId="1451" applyFont="1" applyBorder="1" applyAlignment="1">
      <alignment horizontal="center" vertical="center"/>
    </xf>
    <xf numFmtId="0" fontId="121" fillId="33" borderId="88" xfId="1451" applyFont="1" applyFill="1" applyBorder="1" applyAlignment="1">
      <alignment horizontal="center" vertical="center"/>
    </xf>
    <xf numFmtId="0" fontId="121" fillId="33" borderId="89" xfId="1451" applyFont="1" applyFill="1" applyBorder="1" applyAlignment="1">
      <alignment horizontal="center" vertical="center"/>
    </xf>
    <xf numFmtId="0" fontId="121" fillId="33" borderId="90" xfId="1451" applyFont="1" applyFill="1" applyBorder="1" applyAlignment="1">
      <alignment horizontal="center" vertical="center"/>
    </xf>
    <xf numFmtId="0" fontId="121" fillId="33" borderId="91" xfId="1451" applyFont="1" applyFill="1" applyBorder="1" applyAlignment="1">
      <alignment horizontal="center" vertical="center"/>
    </xf>
    <xf numFmtId="0" fontId="121" fillId="33" borderId="92" xfId="1451" applyFont="1" applyFill="1" applyBorder="1" applyAlignment="1">
      <alignment horizontal="center" vertical="center"/>
    </xf>
    <xf numFmtId="0" fontId="121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0.49363448015713002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4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136028</xdr:colOff>
      <xdr:row>65</xdr:row>
      <xdr:rowOff>76200</xdr:rowOff>
    </xdr:from>
    <xdr:to>
      <xdr:col>16</xdr:col>
      <xdr:colOff>334510</xdr:colOff>
      <xdr:row>71</xdr:row>
      <xdr:rowOff>88392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7290383-F508-4C45-9E20-027489BB3664}"/>
            </a:ext>
          </a:extLst>
        </xdr:cNvPr>
        <xdr:cNvSpPr/>
      </xdr:nvSpPr>
      <xdr:spPr>
        <a:xfrm>
          <a:off x="4250828" y="10134600"/>
          <a:ext cx="1722482" cy="92659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C918397-E095-430C-AE5E-4DDAF4F96D40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464BAFA-ED8B-4B81-A1A8-BC4CBE98C7E7}"/>
            </a:ext>
          </a:extLst>
        </xdr:cNvPr>
        <xdr:cNvGrpSpPr/>
      </xdr:nvGrpSpPr>
      <xdr:grpSpPr>
        <a:xfrm>
          <a:off x="9887299" y="818905"/>
          <a:ext cx="77114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D1DD25AB-EF27-FC1B-2F65-A7262E47AA3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07737EDA-D8FC-F553-93ED-F73CC2BE09F8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E37EC5B8-69F8-EDED-676A-BEA9A5D91C42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C9DB2192-0512-4782-BDCF-EE7FAE735296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64796BF4-7C3B-445E-8DD6-DF073F08F56F}"/>
            </a:ext>
          </a:extLst>
        </xdr:cNvPr>
        <xdr:cNvGrpSpPr/>
      </xdr:nvGrpSpPr>
      <xdr:grpSpPr>
        <a:xfrm>
          <a:off x="10645351" y="821737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A6DFFE61-AE94-7E0C-E54F-BD2270B7A20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6B7C91E-EE57-6D32-0A07-242D9E314E38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3401070B-9190-ABF2-5AF8-71D46984861F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8A5995A-6D04-4C16-B9CF-1856F24952D2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B6E7B88F-2D17-4EE7-9A5E-2EBB21A5510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DF574FC-0859-409C-92DE-58158E916DE8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3C4EEAF0-FFCE-422B-99F0-43DB2561D915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6C7D5F81-32FA-461A-BF5F-154885A6CE95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F435F6E2-F10E-4BBB-9EEB-301EE2D98393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85BD00F0-EFED-4855-BB44-149B90EC94A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1AEE9E66-5A56-4556-9FBC-00ACD8E6CB52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DB353648-52BD-4E95-9962-5A0D92331FC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12E3F76F-78EF-4013-A2F9-63692319AAE6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3BB683D-8863-4AAC-B90B-D81D4DD00D1F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44334769-C23B-4222-85C8-C0AA439F42C4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833D7FE-B8FF-4902-9F52-159D8877F21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1DE92EB7-9A6F-4BF2-9E55-0CD45440BE7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3AD85A65-7BD5-4C60-92E2-8F9EF25665E0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5AAEC56B-8830-40D2-A78B-8703680DC50E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CE60FD36-32F6-4C85-9B16-49815B148ACE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D7A308BC-0D76-4AF1-8879-DA4E1BD358D3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386DE0E-861B-4A4D-9195-AE21CB64521B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D1012EA6-54B0-4817-B95A-E5D036D50F6A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2E71FAE-9777-4393-A11B-B2E1572DF00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A9C9012B-16AF-4E25-AEC2-BBB8706BA97A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57BD370B-ED60-49BD-802C-BC59A12F5EAB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46FB56B-E8F9-4E9E-AF1D-EAC7C59E1B5B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82B04F39-1EC3-4C87-8825-3434D34678D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92CF4FA7-C907-45FD-91CA-3CA511C37A26}"/>
            </a:ext>
          </a:extLst>
        </xdr:cNvPr>
        <xdr:cNvGrpSpPr/>
      </xdr:nvGrpSpPr>
      <xdr:grpSpPr>
        <a:xfrm>
          <a:off x="9809382" y="2020750"/>
          <a:ext cx="195452" cy="117236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3D2809FE-EDA3-ACED-9D8B-482D1CEDFFB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39513567-8050-173D-421B-769AE6916803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A7F79D77-F01F-4EDB-8229-927A4E54C442}"/>
            </a:ext>
          </a:extLst>
        </xdr:cNvPr>
        <xdr:cNvGrpSpPr/>
      </xdr:nvGrpSpPr>
      <xdr:grpSpPr>
        <a:xfrm>
          <a:off x="10600452" y="2021333"/>
          <a:ext cx="198434" cy="117235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64392488-EDDE-1302-1DA4-AAD17BD2AD5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F5961F5B-6A98-5311-FB48-CB860AC695C3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2F2504A-AB63-4241-90E9-69CE915D77F7}"/>
            </a:ext>
          </a:extLst>
        </xdr:cNvPr>
        <xdr:cNvGrpSpPr/>
      </xdr:nvGrpSpPr>
      <xdr:grpSpPr>
        <a:xfrm>
          <a:off x="9744452" y="2185852"/>
          <a:ext cx="319467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A2546262-25B1-D6A6-C69C-7A50AD1427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5E005A8A-4475-206D-31FD-BB6B4661B94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64F285D6-6D50-3BDC-17D6-8AADB9631522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A939CBF3-A78D-E1F2-7E6D-632F11CC41B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CB92FA1B-8DBF-4908-AE3E-48D8860BCCC1}"/>
            </a:ext>
          </a:extLst>
        </xdr:cNvPr>
        <xdr:cNvGrpSpPr/>
      </xdr:nvGrpSpPr>
      <xdr:grpSpPr>
        <a:xfrm>
          <a:off x="10531204" y="218585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962791F2-263D-510A-E4A1-246AF2D6545F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33ED45D8-9674-6EBE-72AA-D19552E6A485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67184664-5105-8249-0280-4822A02BE498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95970615-51E0-7B3D-3323-C6E816D93E49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E107D29D-55F3-4571-ACF3-96FB6F4A7076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F0A7545-3C25-43BB-A081-419A4EFB4CE1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25B7189B-8FAC-4519-BA0B-A6B96F9A00AD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3F3F173-0586-4559-85CF-CAF18A52CB8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3CDB9618-FEA4-4CAA-90E6-72E5A2EE3001}"/>
            </a:ext>
          </a:extLst>
        </xdr:cNvPr>
        <xdr:cNvGrpSpPr/>
      </xdr:nvGrpSpPr>
      <xdr:grpSpPr>
        <a:xfrm>
          <a:off x="9863001" y="1879734"/>
          <a:ext cx="115711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615F4C3B-FC12-F236-A730-94C96BA32434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656770C5-113A-EE2D-4C24-1784B57D2D9B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4AE39B61-B1F6-F44C-6603-B329541D6897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40A9B4CB-3035-4B33-AC8F-212A68A26482}"/>
            </a:ext>
          </a:extLst>
        </xdr:cNvPr>
        <xdr:cNvGrpSpPr/>
      </xdr:nvGrpSpPr>
      <xdr:grpSpPr>
        <a:xfrm>
          <a:off x="10635227" y="1880440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0FFC9E84-08B4-45A9-E481-181FFA862A8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173BCF3-E915-58FC-27E1-792CFB1A23C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8B3A9AC8-C50A-FABB-9D86-F4BA515A004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D7AC3D76-FC11-47C8-AC96-B810F0520B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D15E08C6-2133-4E1D-885A-DA6B8ED5CEBC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6D3DC329-72FC-4545-B117-E702D127FB4C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33374E-1941-4325-82D8-768692C84CED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F62A2C9A-D6E4-4788-A001-C183230AFC08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E3E0B29D-2EE7-406B-9C5D-00A39CCB9384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5F194B0A-AAFE-4E97-9B0E-5013F2F87E78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847474D1-DE4C-4544-9F9F-EF7A2CD26929}"/>
            </a:ext>
          </a:extLst>
        </xdr:cNvPr>
        <xdr:cNvGrpSpPr/>
      </xdr:nvGrpSpPr>
      <xdr:grpSpPr>
        <a:xfrm rot="21429191">
          <a:off x="7141360" y="8822752"/>
          <a:ext cx="83822" cy="7955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7A489021-73DE-79EE-4482-3D312B9EEA74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72FC5CB8-F04A-16A6-1163-38A2B5B3B028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AE422544-B556-B2C2-E934-0A02EDB7E0A6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88849E8B-CC18-4EF3-93B3-4A9A95FC8767}"/>
            </a:ext>
          </a:extLst>
        </xdr:cNvPr>
        <xdr:cNvGrpSpPr/>
      </xdr:nvGrpSpPr>
      <xdr:grpSpPr>
        <a:xfrm>
          <a:off x="12701621" y="2273257"/>
          <a:ext cx="107252" cy="6187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5D96705D-5343-E9B3-82CD-0458EB1B3932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E3F9373E-5609-0EEA-1E1C-ABB0BD75FCC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7C053D02-97C6-3826-9580-0E671CAE3FCB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78BE3D10-4CE4-46A1-941C-07884DBB9096}"/>
            </a:ext>
          </a:extLst>
        </xdr:cNvPr>
        <xdr:cNvGrpSpPr/>
      </xdr:nvGrpSpPr>
      <xdr:grpSpPr>
        <a:xfrm>
          <a:off x="12658093" y="2414910"/>
          <a:ext cx="139135" cy="6344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B5CB6AB3-699D-18D9-6A1D-3699F1DC004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DD5821AE-AE81-1C55-5D1C-262864E1372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B78D3172-EA1F-47B3-E15B-A08AE6998BB5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E7E0197D-4D09-0ED8-20DB-85A10DCE661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2DD68002-22FB-4B58-98DF-385486D94D43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490DD22A-B1A4-4A07-AEC1-A12D23CAE5D4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ECCA5527-B092-43F7-8592-6D77DEAD3357}"/>
            </a:ext>
          </a:extLst>
        </xdr:cNvPr>
        <xdr:cNvGrpSpPr/>
      </xdr:nvGrpSpPr>
      <xdr:grpSpPr>
        <a:xfrm>
          <a:off x="11863800" y="2850005"/>
          <a:ext cx="206054" cy="11723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09320009-D8F3-ED7A-637C-D975CEBAA60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D1F7C2DB-5D46-9EDF-41CB-3D14C18A38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9BCD0556-FA75-4060-A231-96140ED3CC6F}"/>
            </a:ext>
          </a:extLst>
        </xdr:cNvPr>
        <xdr:cNvGrpSpPr/>
      </xdr:nvGrpSpPr>
      <xdr:grpSpPr>
        <a:xfrm>
          <a:off x="12657852" y="2850588"/>
          <a:ext cx="206054" cy="11723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5CEF5008-0B4A-5A85-6863-BA0E445ACD3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A9C89BBB-0B23-C877-42A0-6883B2E6E911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514D060A-CDD7-4B36-9BA9-44E0E487468C}"/>
            </a:ext>
          </a:extLst>
        </xdr:cNvPr>
        <xdr:cNvGrpSpPr/>
      </xdr:nvGrpSpPr>
      <xdr:grpSpPr>
        <a:xfrm>
          <a:off x="11806490" y="3015107"/>
          <a:ext cx="322449" cy="80601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81D469BF-EF9A-69DC-6E96-EE89DC2CAF5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0FB54D0C-20D2-7FF0-76B1-AD60A2EA1BC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B5262684-369A-9193-B70F-D5C8A62F16C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7D133864-C232-3F19-2624-89D232011109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7B32B280-552D-4B13-845F-7D9E75EF894B}"/>
            </a:ext>
          </a:extLst>
        </xdr:cNvPr>
        <xdr:cNvGrpSpPr/>
      </xdr:nvGrpSpPr>
      <xdr:grpSpPr>
        <a:xfrm>
          <a:off x="12596224" y="3015107"/>
          <a:ext cx="322449" cy="80601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69DA4F17-3B7E-D9DE-EB81-79C8DEC6B26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C1A5253B-17D7-F206-4116-B5127B400106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663D0856-5984-9817-BB5A-24288C00457A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21398F58-C4E7-DAA3-17C6-5F53098D873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4F676008-BE2E-4A09-9789-1D9212B7E47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25ACEA3-036C-44C1-9AA2-9969041B60D6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0F5EE04E-BA0E-4E92-8614-C716708EF0A2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23A280FD-71DA-418E-82A4-00A94B7EE90E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39E35902-CAC9-426D-B7E8-C18091B140A7}"/>
            </a:ext>
          </a:extLst>
        </xdr:cNvPr>
        <xdr:cNvGrpSpPr/>
      </xdr:nvGrpSpPr>
      <xdr:grpSpPr>
        <a:xfrm>
          <a:off x="11917419" y="2717934"/>
          <a:ext cx="126313" cy="5873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A3E6870-8A09-138F-F43F-07035294CED8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F270CCF3-A99B-672A-5D8B-96EA108806A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92B63910-4875-6209-84DA-7F5689B13047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F5146ABB-11D7-487C-81B6-E6188C53E2CD}"/>
            </a:ext>
          </a:extLst>
        </xdr:cNvPr>
        <xdr:cNvGrpSpPr/>
      </xdr:nvGrpSpPr>
      <xdr:grpSpPr>
        <a:xfrm>
          <a:off x="12692627" y="2718640"/>
          <a:ext cx="126313" cy="5873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BAD63A60-12E7-B65C-93B2-D3B9740CB37C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0EE0C97C-0488-BF0A-E8E5-A13782598E87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478A900C-8DF5-FAA2-4B76-5944D85405E3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59</xdr:row>
      <xdr:rowOff>94601</xdr:rowOff>
    </xdr:from>
    <xdr:to>
      <xdr:col>22</xdr:col>
      <xdr:colOff>96547</xdr:colOff>
      <xdr:row>62</xdr:row>
      <xdr:rowOff>24340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4231F22B-5A5C-4270-B152-98163CCE5C11}"/>
            </a:ext>
          </a:extLst>
        </xdr:cNvPr>
        <xdr:cNvSpPr txBox="1"/>
      </xdr:nvSpPr>
      <xdr:spPr>
        <a:xfrm>
          <a:off x="2465689" y="9238601"/>
          <a:ext cx="5555658" cy="38693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D5658F85-AD8C-4D90-A2D3-62DBD08156D3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BB353BE1-D83E-4419-A390-5DC01D60F859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C0806943-5452-44E1-A419-F97D97D108E9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5245E589-291B-4EB9-9085-C50A12F0EC73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97235477-E0B4-4717-930E-DD8D7F495F15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D633B5C0-3822-44BF-9165-471E4644FCD3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D4D3E1CC-D4D1-4D75-AF28-180D113AB867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FEA5AA83-6E54-455D-93D9-0C4C6509AE1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144BC253-62EA-45C4-98D8-D22017EF8B78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96770915-B8A5-4795-BD1D-395C11294655}"/>
            </a:ext>
          </a:extLst>
        </xdr:cNvPr>
        <xdr:cNvGrpSpPr/>
      </xdr:nvGrpSpPr>
      <xdr:grpSpPr>
        <a:xfrm>
          <a:off x="2981739" y="8555935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B689265F-2F9A-3E68-2253-16CB3BF1927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E683B3C2-2E8B-6BB5-442E-F0493C619EA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CC1B0C8C-9FB0-EB2E-D2EC-C3CA6B4F90B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D529FEAB-AD27-4463-9819-59E29850FEE5}"/>
            </a:ext>
          </a:extLst>
        </xdr:cNvPr>
        <xdr:cNvGrpSpPr/>
      </xdr:nvGrpSpPr>
      <xdr:grpSpPr>
        <a:xfrm>
          <a:off x="3385599" y="8538294"/>
          <a:ext cx="158386" cy="13786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29230F6-6271-F8ED-B64B-6695422AA4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383FEDB3-670B-318F-3B9D-6641F5A02DB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007D8FB4-F614-C125-862D-D8C76BB2D8C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F3B78C23-2165-44C1-9AEC-B45084DC3251}"/>
            </a:ext>
          </a:extLst>
        </xdr:cNvPr>
        <xdr:cNvGrpSpPr/>
      </xdr:nvGrpSpPr>
      <xdr:grpSpPr>
        <a:xfrm>
          <a:off x="3920904" y="8573079"/>
          <a:ext cx="157278" cy="137862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7609D9CD-E877-E834-1106-595852ABC85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BBA0364A-4D69-4CE1-9E8D-99D2E6D9585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9017CCB4-6199-957F-4622-6B7DD18BBEA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55</xdr:row>
      <xdr:rowOff>131445</xdr:rowOff>
    </xdr:from>
    <xdr:to>
      <xdr:col>12</xdr:col>
      <xdr:colOff>264567</xdr:colOff>
      <xdr:row>56</xdr:row>
      <xdr:rowOff>127878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C979297E-77D7-4CFD-AD4B-98B83211FA6D}"/>
            </a:ext>
          </a:extLst>
        </xdr:cNvPr>
        <xdr:cNvGrpSpPr/>
      </xdr:nvGrpSpPr>
      <xdr:grpSpPr>
        <a:xfrm>
          <a:off x="4244754" y="8538293"/>
          <a:ext cx="144552" cy="145520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27EF5974-6BF4-ECCB-B933-157BC259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81210EFE-07A1-D6E2-3CD6-D3614484B3B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75BA6E3A-C072-59DE-5A22-1B9559E5BEF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06EAD75E-38D6-4F21-80DD-60FD3BB4AE8A}"/>
            </a:ext>
          </a:extLst>
        </xdr:cNvPr>
        <xdr:cNvGrpSpPr/>
      </xdr:nvGrpSpPr>
      <xdr:grpSpPr>
        <a:xfrm>
          <a:off x="4768629" y="8567364"/>
          <a:ext cx="125502" cy="138305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AC7214B0-4427-EA2B-A13E-2CAF9F554D4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FC7DF95B-B13F-6010-B640-FF12F35DD5F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0A50E749-9EA3-326C-3EEE-BC3962C84E0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42798A84-6CDF-48CD-A0FE-164FDE31C3D0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45669313-2AC7-4145-8E8C-DEA7FF9B28A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607F5030-33F4-49D3-B6B4-52A77C3EC0EB}"/>
            </a:ext>
          </a:extLst>
        </xdr:cNvPr>
        <xdr:cNvGrpSpPr/>
      </xdr:nvGrpSpPr>
      <xdr:grpSpPr>
        <a:xfrm>
          <a:off x="5246784" y="8532578"/>
          <a:ext cx="125502" cy="14552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431D6BA0-BEFE-28DA-C71F-51A61D051C3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58494BC7-9235-25B9-CA43-6F9BC0CE0A2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242AE411-630B-AF6F-5771-86F9C8B5D09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1FE3264A-9080-4526-905F-FAAEBE278FEE}"/>
            </a:ext>
          </a:extLst>
        </xdr:cNvPr>
        <xdr:cNvGrpSpPr/>
      </xdr:nvGrpSpPr>
      <xdr:grpSpPr>
        <a:xfrm>
          <a:off x="5757324" y="8590225"/>
          <a:ext cx="144423" cy="151615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A24D965-FF4A-0100-01D4-6A217F799CC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01A8635E-248C-2883-141E-A3DB9C71BEA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44B08AAF-7947-D542-AB81-9E27B96E060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B4FA252-49DA-42A9-A44E-B3A214D32CB6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971B0682-6A69-4CA1-9A08-4B7D6F95F3AB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38CF509E-31D6-4BEB-B7BB-83591E867BFF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4CFDD683-17B0-40BC-B5DE-5CE7A12B2856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7838B9AB-FA92-45AA-AFF1-76365794EB4C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8827F401-D537-4F43-AAC3-DD63EC9A93C1}"/>
            </a:ext>
          </a:extLst>
        </xdr:cNvPr>
        <xdr:cNvGrpSpPr/>
      </xdr:nvGrpSpPr>
      <xdr:grpSpPr>
        <a:xfrm>
          <a:off x="2436909" y="8504003"/>
          <a:ext cx="231003" cy="9140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01D2C14B-F97B-38A9-3ADF-B45FFA26BF7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C2F41D5C-BD33-F1F4-8A92-7C216FAC816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9E446FDC-B4F6-6505-BBB4-7FD69BB49D3F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123743</xdr:colOff>
      <xdr:row>55</xdr:row>
      <xdr:rowOff>29156</xdr:rowOff>
    </xdr:from>
    <xdr:to>
      <xdr:col>6</xdr:col>
      <xdr:colOff>284862</xdr:colOff>
      <xdr:row>55</xdr:row>
      <xdr:rowOff>114347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A5CF3747-4637-43CF-A0F8-A1E567B05156}"/>
            </a:ext>
          </a:extLst>
        </xdr:cNvPr>
        <xdr:cNvSpPr/>
      </xdr:nvSpPr>
      <xdr:spPr>
        <a:xfrm>
          <a:off x="1952543" y="8563556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D2154F5-8F48-435B-9507-C39E26CB4C21}"/>
            </a:ext>
          </a:extLst>
        </xdr:cNvPr>
        <xdr:cNvGrpSpPr/>
      </xdr:nvGrpSpPr>
      <xdr:grpSpPr>
        <a:xfrm>
          <a:off x="1958754" y="8727883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56001E5-7133-8088-9FF0-3654A3680069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9848FF4B-0D90-0B0A-04D2-D8892F9B737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E2860A98-03D4-BC3E-193A-5E0C78198C46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1B50662A-61B4-43D7-8F01-BA9C31530846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BDA4AC87-1267-486E-8BC1-BCB65DF762D2}"/>
            </a:ext>
          </a:extLst>
        </xdr:cNvPr>
        <xdr:cNvGrpSpPr/>
      </xdr:nvGrpSpPr>
      <xdr:grpSpPr>
        <a:xfrm rot="21429191">
          <a:off x="7504209" y="8836468"/>
          <a:ext cx="83822" cy="7955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1FCD6DC2-91E2-A7F2-A64C-2C61EC68536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ED066424-8545-0116-D870-42D21AD33C8A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AC725808-0C31-B506-A1CA-EEAB215BC2A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E61361-729D-4D72-89AC-32EE8DC28A54}"/>
            </a:ext>
          </a:extLst>
        </xdr:cNvPr>
        <xdr:cNvGrpSpPr/>
      </xdr:nvGrpSpPr>
      <xdr:grpSpPr>
        <a:xfrm>
          <a:off x="7725189" y="8839325"/>
          <a:ext cx="139135" cy="6344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23B344F7-0396-E6D4-ECDD-48C547A70E5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21FC3FCC-4697-4842-AB85-A737CEC4464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B4383615-B78B-F42D-BBE2-EE1278C8FA4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5DE024E6-FC72-BD28-BF12-988EECF9C94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E7A6E0B-EE29-4944-AEE6-03E1FF24B9C5}"/>
            </a:ext>
          </a:extLst>
        </xdr:cNvPr>
        <xdr:cNvGrpSpPr/>
      </xdr:nvGrpSpPr>
      <xdr:grpSpPr>
        <a:xfrm>
          <a:off x="7938549" y="8824084"/>
          <a:ext cx="139135" cy="6344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645EE113-A6EB-9DCC-4276-349892E82F8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C23FA911-2B91-8EA7-9B25-9CF5EB06FAE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018949FE-F94E-9595-3184-EB3907EB9EB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BD1093D8-EA15-0E8A-BC6F-F0B2FD3CBBE9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71416</xdr:colOff>
      <xdr:row>5</xdr:row>
      <xdr:rowOff>132522</xdr:rowOff>
    </xdr:from>
    <xdr:to>
      <xdr:col>11</xdr:col>
      <xdr:colOff>323022</xdr:colOff>
      <xdr:row>37</xdr:row>
      <xdr:rowOff>124242</xdr:rowOff>
    </xdr:to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F804F68F-12AE-41BC-A800-1C6263A22EEB}"/>
            </a:ext>
          </a:extLst>
        </xdr:cNvPr>
        <xdr:cNvSpPr txBox="1"/>
      </xdr:nvSpPr>
      <xdr:spPr>
        <a:xfrm rot="5400000">
          <a:off x="1491996" y="3226792"/>
          <a:ext cx="4878045" cy="25160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11</xdr:col>
      <xdr:colOff>265043</xdr:colOff>
      <xdr:row>21</xdr:row>
      <xdr:rowOff>66261</xdr:rowOff>
    </xdr:from>
    <xdr:to>
      <xdr:col>18</xdr:col>
      <xdr:colOff>215347</xdr:colOff>
      <xdr:row>22</xdr:row>
      <xdr:rowOff>57978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ED7BC575-A879-4FE6-9F10-A72D58DCEB83}"/>
            </a:ext>
          </a:extLst>
        </xdr:cNvPr>
        <xdr:cNvSpPr txBox="1"/>
      </xdr:nvSpPr>
      <xdr:spPr>
        <a:xfrm>
          <a:off x="3998843" y="3295236"/>
          <a:ext cx="2617304" cy="14411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12</xdr:col>
      <xdr:colOff>248479</xdr:colOff>
      <xdr:row>17</xdr:row>
      <xdr:rowOff>49695</xdr:rowOff>
    </xdr:from>
    <xdr:to>
      <xdr:col>13</xdr:col>
      <xdr:colOff>256761</xdr:colOff>
      <xdr:row>20</xdr:row>
      <xdr:rowOff>49695</xdr:rowOff>
    </xdr:to>
    <xdr:sp macro="" textlink="">
      <xdr:nvSpPr>
        <xdr:cNvPr id="187" name="Rectangle 186">
          <a:extLst>
            <a:ext uri="{FF2B5EF4-FFF2-40B4-BE49-F238E27FC236}">
              <a16:creationId xmlns:a16="http://schemas.microsoft.com/office/drawing/2014/main" id="{F7A09FF5-777D-4C76-BC17-C04EE8307242}"/>
            </a:ext>
          </a:extLst>
        </xdr:cNvPr>
        <xdr:cNvSpPr/>
      </xdr:nvSpPr>
      <xdr:spPr>
        <a:xfrm>
          <a:off x="4363279" y="2669070"/>
          <a:ext cx="389282" cy="45720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74543</xdr:colOff>
      <xdr:row>18</xdr:row>
      <xdr:rowOff>57976</xdr:rowOff>
    </xdr:from>
    <xdr:to>
      <xdr:col>11</xdr:col>
      <xdr:colOff>74542</xdr:colOff>
      <xdr:row>18</xdr:row>
      <xdr:rowOff>132519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2EDDC78A-80D9-400D-AAE7-47C64F0B0588}"/>
            </a:ext>
          </a:extLst>
        </xdr:cNvPr>
        <xdr:cNvSpPr txBox="1"/>
      </xdr:nvSpPr>
      <xdr:spPr>
        <a:xfrm>
          <a:off x="3046343" y="2829751"/>
          <a:ext cx="761999" cy="745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265043</xdr:colOff>
      <xdr:row>19</xdr:row>
      <xdr:rowOff>16563</xdr:rowOff>
    </xdr:from>
    <xdr:to>
      <xdr:col>11</xdr:col>
      <xdr:colOff>28595</xdr:colOff>
      <xdr:row>20</xdr:row>
      <xdr:rowOff>12996</xdr:rowOff>
    </xdr:to>
    <xdr:grpSp>
      <xdr:nvGrpSpPr>
        <xdr:cNvPr id="189" name="Group 13">
          <a:extLst>
            <a:ext uri="{FF2B5EF4-FFF2-40B4-BE49-F238E27FC236}">
              <a16:creationId xmlns:a16="http://schemas.microsoft.com/office/drawing/2014/main" id="{DB34F407-D89C-4907-9110-2683BE34A4E3}"/>
            </a:ext>
          </a:extLst>
        </xdr:cNvPr>
        <xdr:cNvGrpSpPr/>
      </xdr:nvGrpSpPr>
      <xdr:grpSpPr>
        <a:xfrm>
          <a:off x="3627782" y="2898911"/>
          <a:ext cx="144552" cy="145520"/>
          <a:chOff x="9937028" y="802652"/>
          <a:chExt cx="83991" cy="77961"/>
        </a:xfrm>
      </xdr:grpSpPr>
      <xdr:sp macro="" textlink="">
        <xdr:nvSpPr>
          <xdr:cNvPr id="190" name="Oval 1">
            <a:extLst>
              <a:ext uri="{FF2B5EF4-FFF2-40B4-BE49-F238E27FC236}">
                <a16:creationId xmlns:a16="http://schemas.microsoft.com/office/drawing/2014/main" id="{A70E270C-5A1A-A48D-51F6-7CF6C9B4EC5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1" name="Straight Connector 3">
            <a:extLst>
              <a:ext uri="{FF2B5EF4-FFF2-40B4-BE49-F238E27FC236}">
                <a16:creationId xmlns:a16="http://schemas.microsoft.com/office/drawing/2014/main" id="{B2875F5C-2647-7D60-A60D-6F87164BC56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Straight Connector 7">
            <a:extLst>
              <a:ext uri="{FF2B5EF4-FFF2-40B4-BE49-F238E27FC236}">
                <a16:creationId xmlns:a16="http://schemas.microsoft.com/office/drawing/2014/main" id="{90B14DDC-9918-63A1-FF91-0CB82917DA9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256761</xdr:colOff>
      <xdr:row>20</xdr:row>
      <xdr:rowOff>107670</xdr:rowOff>
    </xdr:from>
    <xdr:to>
      <xdr:col>11</xdr:col>
      <xdr:colOff>20313</xdr:colOff>
      <xdr:row>21</xdr:row>
      <xdr:rowOff>104103</xdr:rowOff>
    </xdr:to>
    <xdr:grpSp>
      <xdr:nvGrpSpPr>
        <xdr:cNvPr id="193" name="Group 13">
          <a:extLst>
            <a:ext uri="{FF2B5EF4-FFF2-40B4-BE49-F238E27FC236}">
              <a16:creationId xmlns:a16="http://schemas.microsoft.com/office/drawing/2014/main" id="{C126EFE5-AB96-4621-9376-7E4C17C392CE}"/>
            </a:ext>
          </a:extLst>
        </xdr:cNvPr>
        <xdr:cNvGrpSpPr/>
      </xdr:nvGrpSpPr>
      <xdr:grpSpPr>
        <a:xfrm>
          <a:off x="3619500" y="3139105"/>
          <a:ext cx="144552" cy="145520"/>
          <a:chOff x="9937028" y="802652"/>
          <a:chExt cx="83991" cy="77961"/>
        </a:xfrm>
      </xdr:grpSpPr>
      <xdr:sp macro="" textlink="">
        <xdr:nvSpPr>
          <xdr:cNvPr id="194" name="Oval 1">
            <a:extLst>
              <a:ext uri="{FF2B5EF4-FFF2-40B4-BE49-F238E27FC236}">
                <a16:creationId xmlns:a16="http://schemas.microsoft.com/office/drawing/2014/main" id="{8ED69DDC-767B-EEDA-004A-A1308367D2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5" name="Straight Connector 3">
            <a:extLst>
              <a:ext uri="{FF2B5EF4-FFF2-40B4-BE49-F238E27FC236}">
                <a16:creationId xmlns:a16="http://schemas.microsoft.com/office/drawing/2014/main" id="{8F73CA29-03A3-D858-9C5D-013526F573E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7">
            <a:extLst>
              <a:ext uri="{FF2B5EF4-FFF2-40B4-BE49-F238E27FC236}">
                <a16:creationId xmlns:a16="http://schemas.microsoft.com/office/drawing/2014/main" id="{25C2DA6F-3A38-00DD-028D-DA0E24AA0A3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356153</xdr:colOff>
      <xdr:row>19</xdr:row>
      <xdr:rowOff>132522</xdr:rowOff>
    </xdr:from>
    <xdr:to>
      <xdr:col>10</xdr:col>
      <xdr:colOff>225206</xdr:colOff>
      <xdr:row>20</xdr:row>
      <xdr:rowOff>68626</xdr:rowOff>
    </xdr:to>
    <xdr:grpSp>
      <xdr:nvGrpSpPr>
        <xdr:cNvPr id="197" name="Group 134">
          <a:extLst>
            <a:ext uri="{FF2B5EF4-FFF2-40B4-BE49-F238E27FC236}">
              <a16:creationId xmlns:a16="http://schemas.microsoft.com/office/drawing/2014/main" id="{06E6FBE9-33B5-41FC-A2CC-80A120309191}"/>
            </a:ext>
          </a:extLst>
        </xdr:cNvPr>
        <xdr:cNvGrpSpPr/>
      </xdr:nvGrpSpPr>
      <xdr:grpSpPr>
        <a:xfrm>
          <a:off x="3337892" y="3014870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98" name="Isosceles Triangle 118">
            <a:extLst>
              <a:ext uri="{FF2B5EF4-FFF2-40B4-BE49-F238E27FC236}">
                <a16:creationId xmlns:a16="http://schemas.microsoft.com/office/drawing/2014/main" id="{20C56B75-E13B-C23D-AB36-C4F33CD221B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9" name="Isosceles Triangle 119">
            <a:extLst>
              <a:ext uri="{FF2B5EF4-FFF2-40B4-BE49-F238E27FC236}">
                <a16:creationId xmlns:a16="http://schemas.microsoft.com/office/drawing/2014/main" id="{A5ABE9C0-99A3-0D8F-6348-CEC29C281AD7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0" name="Isosceles Triangle 120">
            <a:extLst>
              <a:ext uri="{FF2B5EF4-FFF2-40B4-BE49-F238E27FC236}">
                <a16:creationId xmlns:a16="http://schemas.microsoft.com/office/drawing/2014/main" id="{25F7CDE2-A63D-0D9B-0A52-3E8E2EF3E507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248478</xdr:colOff>
      <xdr:row>28</xdr:row>
      <xdr:rowOff>33130</xdr:rowOff>
    </xdr:from>
    <xdr:to>
      <xdr:col>18</xdr:col>
      <xdr:colOff>198782</xdr:colOff>
      <xdr:row>29</xdr:row>
      <xdr:rowOff>24847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4F095BA1-9D75-44B2-88F0-5EB08EF8CB56}"/>
            </a:ext>
          </a:extLst>
        </xdr:cNvPr>
        <xdr:cNvSpPr txBox="1"/>
      </xdr:nvSpPr>
      <xdr:spPr>
        <a:xfrm>
          <a:off x="3982278" y="4328905"/>
          <a:ext cx="2617304" cy="14411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4</xdr:col>
      <xdr:colOff>157370</xdr:colOff>
      <xdr:row>28</xdr:row>
      <xdr:rowOff>57978</xdr:rowOff>
    </xdr:from>
    <xdr:to>
      <xdr:col>11</xdr:col>
      <xdr:colOff>107674</xdr:colOff>
      <xdr:row>29</xdr:row>
      <xdr:rowOff>49695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EFECE025-3149-4133-B1E1-29913FBE092C}"/>
            </a:ext>
          </a:extLst>
        </xdr:cNvPr>
        <xdr:cNvSpPr txBox="1"/>
      </xdr:nvSpPr>
      <xdr:spPr>
        <a:xfrm>
          <a:off x="1224170" y="4353753"/>
          <a:ext cx="2617304" cy="14411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273326</xdr:colOff>
      <xdr:row>27</xdr:row>
      <xdr:rowOff>33131</xdr:rowOff>
    </xdr:from>
    <xdr:to>
      <xdr:col>11</xdr:col>
      <xdr:colOff>36878</xdr:colOff>
      <xdr:row>28</xdr:row>
      <xdr:rowOff>29564</xdr:rowOff>
    </xdr:to>
    <xdr:grpSp>
      <xdr:nvGrpSpPr>
        <xdr:cNvPr id="203" name="Group 13">
          <a:extLst>
            <a:ext uri="{FF2B5EF4-FFF2-40B4-BE49-F238E27FC236}">
              <a16:creationId xmlns:a16="http://schemas.microsoft.com/office/drawing/2014/main" id="{E26AB3EB-3EC8-43E9-8AA9-88676E65F4A9}"/>
            </a:ext>
          </a:extLst>
        </xdr:cNvPr>
        <xdr:cNvGrpSpPr/>
      </xdr:nvGrpSpPr>
      <xdr:grpSpPr>
        <a:xfrm>
          <a:off x="3636065" y="4108174"/>
          <a:ext cx="144552" cy="145520"/>
          <a:chOff x="9937028" y="802652"/>
          <a:chExt cx="83991" cy="77961"/>
        </a:xfrm>
      </xdr:grpSpPr>
      <xdr:sp macro="" textlink="">
        <xdr:nvSpPr>
          <xdr:cNvPr id="204" name="Oval 1">
            <a:extLst>
              <a:ext uri="{FF2B5EF4-FFF2-40B4-BE49-F238E27FC236}">
                <a16:creationId xmlns:a16="http://schemas.microsoft.com/office/drawing/2014/main" id="{F54357FF-90F0-A56E-A1EB-151F03ECC4A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5" name="Straight Connector 3">
            <a:extLst>
              <a:ext uri="{FF2B5EF4-FFF2-40B4-BE49-F238E27FC236}">
                <a16:creationId xmlns:a16="http://schemas.microsoft.com/office/drawing/2014/main" id="{533AF0E6-527B-114B-C0FE-5E1FA250511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7">
            <a:extLst>
              <a:ext uri="{FF2B5EF4-FFF2-40B4-BE49-F238E27FC236}">
                <a16:creationId xmlns:a16="http://schemas.microsoft.com/office/drawing/2014/main" id="{70FA0FA3-6E04-E13F-BA6F-B90541CE8D2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256761</xdr:colOff>
      <xdr:row>11</xdr:row>
      <xdr:rowOff>24848</xdr:rowOff>
    </xdr:from>
    <xdr:to>
      <xdr:col>11</xdr:col>
      <xdr:colOff>20313</xdr:colOff>
      <xdr:row>12</xdr:row>
      <xdr:rowOff>21281</xdr:rowOff>
    </xdr:to>
    <xdr:grpSp>
      <xdr:nvGrpSpPr>
        <xdr:cNvPr id="207" name="Group 13">
          <a:extLst>
            <a:ext uri="{FF2B5EF4-FFF2-40B4-BE49-F238E27FC236}">
              <a16:creationId xmlns:a16="http://schemas.microsoft.com/office/drawing/2014/main" id="{B61AB466-6596-4CB2-ACA8-91E0B7CED621}"/>
            </a:ext>
          </a:extLst>
        </xdr:cNvPr>
        <xdr:cNvGrpSpPr/>
      </xdr:nvGrpSpPr>
      <xdr:grpSpPr>
        <a:xfrm>
          <a:off x="3619500" y="1697935"/>
          <a:ext cx="144552" cy="145520"/>
          <a:chOff x="9937028" y="802652"/>
          <a:chExt cx="83991" cy="77961"/>
        </a:xfrm>
      </xdr:grpSpPr>
      <xdr:sp macro="" textlink="">
        <xdr:nvSpPr>
          <xdr:cNvPr id="208" name="Oval 1">
            <a:extLst>
              <a:ext uri="{FF2B5EF4-FFF2-40B4-BE49-F238E27FC236}">
                <a16:creationId xmlns:a16="http://schemas.microsoft.com/office/drawing/2014/main" id="{85446D8B-CD5E-A4F1-0241-A9F713AAAAE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3">
            <a:extLst>
              <a:ext uri="{FF2B5EF4-FFF2-40B4-BE49-F238E27FC236}">
                <a16:creationId xmlns:a16="http://schemas.microsoft.com/office/drawing/2014/main" id="{D7FC51EA-4EB3-E3A4-26BA-7714A606955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7">
            <a:extLst>
              <a:ext uri="{FF2B5EF4-FFF2-40B4-BE49-F238E27FC236}">
                <a16:creationId xmlns:a16="http://schemas.microsoft.com/office/drawing/2014/main" id="{6E1288CD-10B5-FE9C-7F79-4BA87F5468B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8283</xdr:colOff>
      <xdr:row>21</xdr:row>
      <xdr:rowOff>8282</xdr:rowOff>
    </xdr:from>
    <xdr:to>
      <xdr:col>10</xdr:col>
      <xdr:colOff>169402</xdr:colOff>
      <xdr:row>21</xdr:row>
      <xdr:rowOff>93473</xdr:rowOff>
    </xdr:to>
    <xdr:sp macro="" textlink="">
      <xdr:nvSpPr>
        <xdr:cNvPr id="211" name="Isosceles Triangle 120">
          <a:extLst>
            <a:ext uri="{FF2B5EF4-FFF2-40B4-BE49-F238E27FC236}">
              <a16:creationId xmlns:a16="http://schemas.microsoft.com/office/drawing/2014/main" id="{01F74617-8A40-4ED5-85A3-75396E714D8A}"/>
            </a:ext>
          </a:extLst>
        </xdr:cNvPr>
        <xdr:cNvSpPr/>
      </xdr:nvSpPr>
      <xdr:spPr>
        <a:xfrm>
          <a:off x="3361083" y="3237257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265043</xdr:colOff>
      <xdr:row>11</xdr:row>
      <xdr:rowOff>46159</xdr:rowOff>
    </xdr:from>
    <xdr:to>
      <xdr:col>10</xdr:col>
      <xdr:colOff>277930</xdr:colOff>
      <xdr:row>19</xdr:row>
      <xdr:rowOff>89323</xdr:rowOff>
    </xdr:to>
    <xdr:cxnSp macro="">
      <xdr:nvCxnSpPr>
        <xdr:cNvPr id="212" name="Straight Connector 139">
          <a:extLst>
            <a:ext uri="{FF2B5EF4-FFF2-40B4-BE49-F238E27FC236}">
              <a16:creationId xmlns:a16="http://schemas.microsoft.com/office/drawing/2014/main" id="{ADC0F904-2766-478F-B712-32FF6AAF0B0F}"/>
            </a:ext>
          </a:extLst>
        </xdr:cNvPr>
        <xdr:cNvCxnSpPr>
          <a:cxnSpLocks/>
          <a:stCxn id="208" idx="1"/>
          <a:endCxn id="190" idx="2"/>
        </xdr:cNvCxnSpPr>
      </xdr:nvCxnSpPr>
      <xdr:spPr bwMode="auto">
        <a:xfrm flipH="1">
          <a:off x="3617843" y="1741609"/>
          <a:ext cx="12887" cy="1271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265043</xdr:colOff>
      <xdr:row>19</xdr:row>
      <xdr:rowOff>89323</xdr:rowOff>
    </xdr:from>
    <xdr:to>
      <xdr:col>10</xdr:col>
      <xdr:colOff>294495</xdr:colOff>
      <xdr:row>27</xdr:row>
      <xdr:rowOff>54442</xdr:rowOff>
    </xdr:to>
    <xdr:cxnSp macro="">
      <xdr:nvCxnSpPr>
        <xdr:cNvPr id="213" name="Straight Connector 139">
          <a:extLst>
            <a:ext uri="{FF2B5EF4-FFF2-40B4-BE49-F238E27FC236}">
              <a16:creationId xmlns:a16="http://schemas.microsoft.com/office/drawing/2014/main" id="{4FC7A199-DBE6-4995-95CA-611289D461DE}"/>
            </a:ext>
          </a:extLst>
        </xdr:cNvPr>
        <xdr:cNvCxnSpPr>
          <a:cxnSpLocks/>
          <a:stCxn id="190" idx="2"/>
          <a:endCxn id="204" idx="1"/>
        </xdr:cNvCxnSpPr>
      </xdr:nvCxnSpPr>
      <xdr:spPr bwMode="auto">
        <a:xfrm>
          <a:off x="3617843" y="3013498"/>
          <a:ext cx="29452" cy="118431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8283</xdr:colOff>
      <xdr:row>15</xdr:row>
      <xdr:rowOff>74542</xdr:rowOff>
    </xdr:from>
    <xdr:to>
      <xdr:col>9</xdr:col>
      <xdr:colOff>211360</xdr:colOff>
      <xdr:row>22</xdr:row>
      <xdr:rowOff>91108</xdr:rowOff>
    </xdr:to>
    <xdr:sp macro="" textlink="">
      <xdr:nvSpPr>
        <xdr:cNvPr id="214" name="TextBox 157">
          <a:extLst>
            <a:ext uri="{FF2B5EF4-FFF2-40B4-BE49-F238E27FC236}">
              <a16:creationId xmlns:a16="http://schemas.microsoft.com/office/drawing/2014/main" id="{770AE282-AED9-4223-9139-498F22F562C5}"/>
            </a:ext>
          </a:extLst>
        </xdr:cNvPr>
        <xdr:cNvSpPr txBox="1"/>
      </xdr:nvSpPr>
      <xdr:spPr>
        <a:xfrm>
          <a:off x="2218083" y="2389117"/>
          <a:ext cx="965077" cy="108336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K2-283/167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CA-1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105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 313 160KVA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10</xdr:col>
      <xdr:colOff>380144</xdr:colOff>
      <xdr:row>11</xdr:row>
      <xdr:rowOff>149057</xdr:rowOff>
    </xdr:from>
    <xdr:to>
      <xdr:col>11</xdr:col>
      <xdr:colOff>7426</xdr:colOff>
      <xdr:row>19</xdr:row>
      <xdr:rowOff>37874</xdr:rowOff>
    </xdr:to>
    <xdr:cxnSp macro="">
      <xdr:nvCxnSpPr>
        <xdr:cNvPr id="215" name="Straight Connector 139">
          <a:extLst>
            <a:ext uri="{FF2B5EF4-FFF2-40B4-BE49-F238E27FC236}">
              <a16:creationId xmlns:a16="http://schemas.microsoft.com/office/drawing/2014/main" id="{7B3C60B6-D8DE-4462-89C0-2CC83AED44FA}"/>
            </a:ext>
          </a:extLst>
        </xdr:cNvPr>
        <xdr:cNvCxnSpPr>
          <a:cxnSpLocks/>
          <a:stCxn id="208" idx="5"/>
          <a:endCxn id="190" idx="7"/>
        </xdr:cNvCxnSpPr>
      </xdr:nvCxnSpPr>
      <xdr:spPr bwMode="auto">
        <a:xfrm>
          <a:off x="3732944" y="1844507"/>
          <a:ext cx="8282" cy="1117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7426</xdr:colOff>
      <xdr:row>19</xdr:row>
      <xdr:rowOff>140772</xdr:rowOff>
    </xdr:from>
    <xdr:to>
      <xdr:col>11</xdr:col>
      <xdr:colOff>15709</xdr:colOff>
      <xdr:row>27</xdr:row>
      <xdr:rowOff>54442</xdr:rowOff>
    </xdr:to>
    <xdr:cxnSp macro="">
      <xdr:nvCxnSpPr>
        <xdr:cNvPr id="216" name="Straight Connector 139">
          <a:extLst>
            <a:ext uri="{FF2B5EF4-FFF2-40B4-BE49-F238E27FC236}">
              <a16:creationId xmlns:a16="http://schemas.microsoft.com/office/drawing/2014/main" id="{3F0725B1-8369-4C21-B69B-4B4A3F9AD4FD}"/>
            </a:ext>
          </a:extLst>
        </xdr:cNvPr>
        <xdr:cNvCxnSpPr>
          <a:cxnSpLocks/>
          <a:stCxn id="190" idx="5"/>
          <a:endCxn id="204" idx="7"/>
        </xdr:cNvCxnSpPr>
      </xdr:nvCxnSpPr>
      <xdr:spPr bwMode="auto">
        <a:xfrm>
          <a:off x="3741226" y="3064947"/>
          <a:ext cx="8283" cy="11328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358284</xdr:colOff>
      <xdr:row>15</xdr:row>
      <xdr:rowOff>39283</xdr:rowOff>
    </xdr:from>
    <xdr:to>
      <xdr:col>11</xdr:col>
      <xdr:colOff>56842</xdr:colOff>
      <xdr:row>15</xdr:row>
      <xdr:rowOff>123105</xdr:rowOff>
    </xdr:to>
    <xdr:grpSp>
      <xdr:nvGrpSpPr>
        <xdr:cNvPr id="217" name="Group 73">
          <a:extLst>
            <a:ext uri="{FF2B5EF4-FFF2-40B4-BE49-F238E27FC236}">
              <a16:creationId xmlns:a16="http://schemas.microsoft.com/office/drawing/2014/main" id="{99946E90-8C4D-43A4-9490-3232D05AE2ED}"/>
            </a:ext>
          </a:extLst>
        </xdr:cNvPr>
        <xdr:cNvGrpSpPr/>
      </xdr:nvGrpSpPr>
      <xdr:grpSpPr>
        <a:xfrm rot="4755142">
          <a:off x="3718891" y="2327415"/>
          <a:ext cx="83822" cy="79558"/>
          <a:chOff x="12175074" y="2285812"/>
          <a:chExt cx="107252" cy="65186"/>
        </a:xfrm>
      </xdr:grpSpPr>
      <xdr:cxnSp macro="">
        <xdr:nvCxnSpPr>
          <xdr:cNvPr id="218" name="Straight Connector 74">
            <a:extLst>
              <a:ext uri="{FF2B5EF4-FFF2-40B4-BE49-F238E27FC236}">
                <a16:creationId xmlns:a16="http://schemas.microsoft.com/office/drawing/2014/main" id="{D3999088-1669-412E-C93C-816725F897D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75">
            <a:extLst>
              <a:ext uri="{FF2B5EF4-FFF2-40B4-BE49-F238E27FC236}">
                <a16:creationId xmlns:a16="http://schemas.microsoft.com/office/drawing/2014/main" id="{DD15CBCD-16C1-8B3C-9D80-BF5D86D24C0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76">
            <a:extLst>
              <a:ext uri="{FF2B5EF4-FFF2-40B4-BE49-F238E27FC236}">
                <a16:creationId xmlns:a16="http://schemas.microsoft.com/office/drawing/2014/main" id="{47B8F984-30B2-A1D4-6B24-7B87801BB9FF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347869</xdr:colOff>
      <xdr:row>20</xdr:row>
      <xdr:rowOff>66261</xdr:rowOff>
    </xdr:from>
    <xdr:to>
      <xdr:col>12</xdr:col>
      <xdr:colOff>124147</xdr:colOff>
      <xdr:row>21</xdr:row>
      <xdr:rowOff>55036</xdr:rowOff>
    </xdr:to>
    <xdr:grpSp>
      <xdr:nvGrpSpPr>
        <xdr:cNvPr id="221" name="Group 13">
          <a:extLst>
            <a:ext uri="{FF2B5EF4-FFF2-40B4-BE49-F238E27FC236}">
              <a16:creationId xmlns:a16="http://schemas.microsoft.com/office/drawing/2014/main" id="{50D97F6E-0CDD-4558-8E60-CD43A5797A1B}"/>
            </a:ext>
          </a:extLst>
        </xdr:cNvPr>
        <xdr:cNvGrpSpPr/>
      </xdr:nvGrpSpPr>
      <xdr:grpSpPr>
        <a:xfrm>
          <a:off x="4091608" y="3097696"/>
          <a:ext cx="157278" cy="137862"/>
          <a:chOff x="9937028" y="802652"/>
          <a:chExt cx="83991" cy="77961"/>
        </a:xfrm>
      </xdr:grpSpPr>
      <xdr:sp macro="" textlink="">
        <xdr:nvSpPr>
          <xdr:cNvPr id="222" name="Oval 1">
            <a:extLst>
              <a:ext uri="{FF2B5EF4-FFF2-40B4-BE49-F238E27FC236}">
                <a16:creationId xmlns:a16="http://schemas.microsoft.com/office/drawing/2014/main" id="{EEAF4B57-AE59-7882-8E96-014B90BE055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3" name="Straight Connector 3">
            <a:extLst>
              <a:ext uri="{FF2B5EF4-FFF2-40B4-BE49-F238E27FC236}">
                <a16:creationId xmlns:a16="http://schemas.microsoft.com/office/drawing/2014/main" id="{FC084C85-4354-FBC6-A9A4-DEC7CB58F97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7">
            <a:extLst>
              <a:ext uri="{FF2B5EF4-FFF2-40B4-BE49-F238E27FC236}">
                <a16:creationId xmlns:a16="http://schemas.microsoft.com/office/drawing/2014/main" id="{C2AA747D-7EC0-768F-EA0C-A3594C380EB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339587</xdr:colOff>
      <xdr:row>23</xdr:row>
      <xdr:rowOff>124239</xdr:rowOff>
    </xdr:from>
    <xdr:to>
      <xdr:col>11</xdr:col>
      <xdr:colOff>38145</xdr:colOff>
      <xdr:row>24</xdr:row>
      <xdr:rowOff>58974</xdr:rowOff>
    </xdr:to>
    <xdr:grpSp>
      <xdr:nvGrpSpPr>
        <xdr:cNvPr id="225" name="Group 73">
          <a:extLst>
            <a:ext uri="{FF2B5EF4-FFF2-40B4-BE49-F238E27FC236}">
              <a16:creationId xmlns:a16="http://schemas.microsoft.com/office/drawing/2014/main" id="{4F444254-9318-4A09-A21C-D5E0A64634A4}"/>
            </a:ext>
          </a:extLst>
        </xdr:cNvPr>
        <xdr:cNvGrpSpPr/>
      </xdr:nvGrpSpPr>
      <xdr:grpSpPr>
        <a:xfrm rot="4755142">
          <a:off x="3700194" y="3605067"/>
          <a:ext cx="83822" cy="79558"/>
          <a:chOff x="12175074" y="2285812"/>
          <a:chExt cx="107252" cy="65186"/>
        </a:xfrm>
      </xdr:grpSpPr>
      <xdr:cxnSp macro="">
        <xdr:nvCxnSpPr>
          <xdr:cNvPr id="226" name="Straight Connector 74">
            <a:extLst>
              <a:ext uri="{FF2B5EF4-FFF2-40B4-BE49-F238E27FC236}">
                <a16:creationId xmlns:a16="http://schemas.microsoft.com/office/drawing/2014/main" id="{AB488260-FEF0-B74C-B98A-9C72F926154A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75">
            <a:extLst>
              <a:ext uri="{FF2B5EF4-FFF2-40B4-BE49-F238E27FC236}">
                <a16:creationId xmlns:a16="http://schemas.microsoft.com/office/drawing/2014/main" id="{B50F854E-2CB9-001A-F102-65519967FB77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76">
            <a:extLst>
              <a:ext uri="{FF2B5EF4-FFF2-40B4-BE49-F238E27FC236}">
                <a16:creationId xmlns:a16="http://schemas.microsoft.com/office/drawing/2014/main" id="{EF1E7345-80AF-219F-00AD-553EDDF23650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248476</xdr:colOff>
      <xdr:row>18</xdr:row>
      <xdr:rowOff>47064</xdr:rowOff>
    </xdr:from>
    <xdr:to>
      <xdr:col>12</xdr:col>
      <xdr:colOff>356151</xdr:colOff>
      <xdr:row>19</xdr:row>
      <xdr:rowOff>16563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7F70253D-A8AC-4EA5-879D-7F293C842E1D}"/>
            </a:ext>
          </a:extLst>
        </xdr:cNvPr>
        <xdr:cNvSpPr/>
      </xdr:nvSpPr>
      <xdr:spPr>
        <a:xfrm>
          <a:off x="4363276" y="2818839"/>
          <a:ext cx="107675" cy="121899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28595</xdr:colOff>
      <xdr:row>19</xdr:row>
      <xdr:rowOff>16563</xdr:rowOff>
    </xdr:from>
    <xdr:to>
      <xdr:col>12</xdr:col>
      <xdr:colOff>302314</xdr:colOff>
      <xdr:row>19</xdr:row>
      <xdr:rowOff>89323</xdr:rowOff>
    </xdr:to>
    <xdr:cxnSp macro="">
      <xdr:nvCxnSpPr>
        <xdr:cNvPr id="230" name="Straight Connector 229">
          <a:extLst>
            <a:ext uri="{FF2B5EF4-FFF2-40B4-BE49-F238E27FC236}">
              <a16:creationId xmlns:a16="http://schemas.microsoft.com/office/drawing/2014/main" id="{723438D6-1B40-449C-B4CA-1E757E4D6DCD}"/>
            </a:ext>
          </a:extLst>
        </xdr:cNvPr>
        <xdr:cNvCxnSpPr>
          <a:cxnSpLocks/>
          <a:stCxn id="190" idx="6"/>
          <a:endCxn id="229" idx="2"/>
        </xdr:cNvCxnSpPr>
      </xdr:nvCxnSpPr>
      <xdr:spPr bwMode="auto">
        <a:xfrm flipV="1">
          <a:off x="3762395" y="2940738"/>
          <a:ext cx="654719" cy="727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265042</xdr:colOff>
      <xdr:row>19</xdr:row>
      <xdr:rowOff>82826</xdr:rowOff>
    </xdr:from>
    <xdr:to>
      <xdr:col>12</xdr:col>
      <xdr:colOff>372717</xdr:colOff>
      <xdr:row>20</xdr:row>
      <xdr:rowOff>52325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8409EE3D-AEB5-4516-BB55-547612072905}"/>
            </a:ext>
          </a:extLst>
        </xdr:cNvPr>
        <xdr:cNvSpPr/>
      </xdr:nvSpPr>
      <xdr:spPr>
        <a:xfrm>
          <a:off x="4379842" y="3007001"/>
          <a:ext cx="107675" cy="121899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7426</xdr:colOff>
      <xdr:row>19</xdr:row>
      <xdr:rowOff>140772</xdr:rowOff>
    </xdr:from>
    <xdr:to>
      <xdr:col>11</xdr:col>
      <xdr:colOff>347869</xdr:colOff>
      <xdr:row>20</xdr:row>
      <xdr:rowOff>135192</xdr:rowOff>
    </xdr:to>
    <xdr:cxnSp macro="">
      <xdr:nvCxnSpPr>
        <xdr:cNvPr id="232" name="Straight Connector 231">
          <a:extLst>
            <a:ext uri="{FF2B5EF4-FFF2-40B4-BE49-F238E27FC236}">
              <a16:creationId xmlns:a16="http://schemas.microsoft.com/office/drawing/2014/main" id="{2AB26549-6BE7-4B66-8EBF-B8831B8D17CA}"/>
            </a:ext>
          </a:extLst>
        </xdr:cNvPr>
        <xdr:cNvCxnSpPr>
          <a:cxnSpLocks/>
          <a:stCxn id="190" idx="5"/>
          <a:endCxn id="222" idx="2"/>
        </xdr:cNvCxnSpPr>
      </xdr:nvCxnSpPr>
      <xdr:spPr bwMode="auto">
        <a:xfrm>
          <a:off x="3741226" y="3064947"/>
          <a:ext cx="340443" cy="1468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124147</xdr:colOff>
      <xdr:row>19</xdr:row>
      <xdr:rowOff>142119</xdr:rowOff>
    </xdr:from>
    <xdr:to>
      <xdr:col>12</xdr:col>
      <xdr:colOff>265042</xdr:colOff>
      <xdr:row>20</xdr:row>
      <xdr:rowOff>135192</xdr:rowOff>
    </xdr:to>
    <xdr:cxnSp macro="">
      <xdr:nvCxnSpPr>
        <xdr:cNvPr id="233" name="Straight Connector 232">
          <a:extLst>
            <a:ext uri="{FF2B5EF4-FFF2-40B4-BE49-F238E27FC236}">
              <a16:creationId xmlns:a16="http://schemas.microsoft.com/office/drawing/2014/main" id="{F0CB78B8-F342-46B1-90AA-E54BD6790EE1}"/>
            </a:ext>
          </a:extLst>
        </xdr:cNvPr>
        <xdr:cNvCxnSpPr>
          <a:cxnSpLocks/>
          <a:stCxn id="222" idx="6"/>
          <a:endCxn id="231" idx="1"/>
        </xdr:cNvCxnSpPr>
      </xdr:nvCxnSpPr>
      <xdr:spPr bwMode="auto">
        <a:xfrm flipV="1">
          <a:off x="4238947" y="3066294"/>
          <a:ext cx="140895" cy="14547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140804</xdr:colOff>
      <xdr:row>20</xdr:row>
      <xdr:rowOff>33131</xdr:rowOff>
    </xdr:from>
    <xdr:to>
      <xdr:col>11</xdr:col>
      <xdr:colOff>279939</xdr:colOff>
      <xdr:row>20</xdr:row>
      <xdr:rowOff>96576</xdr:rowOff>
    </xdr:to>
    <xdr:grpSp>
      <xdr:nvGrpSpPr>
        <xdr:cNvPr id="234" name="Grup 244">
          <a:extLst>
            <a:ext uri="{FF2B5EF4-FFF2-40B4-BE49-F238E27FC236}">
              <a16:creationId xmlns:a16="http://schemas.microsoft.com/office/drawing/2014/main" id="{AB445A9D-05CF-4ED5-B0BE-EC7456E55808}"/>
            </a:ext>
          </a:extLst>
        </xdr:cNvPr>
        <xdr:cNvGrpSpPr/>
      </xdr:nvGrpSpPr>
      <xdr:grpSpPr>
        <a:xfrm>
          <a:off x="3884543" y="3064566"/>
          <a:ext cx="139135" cy="63445"/>
          <a:chOff x="13302191" y="2320613"/>
          <a:chExt cx="139135" cy="57233"/>
        </a:xfrm>
      </xdr:grpSpPr>
      <xdr:cxnSp macro="">
        <xdr:nvCxnSpPr>
          <xdr:cNvPr id="235" name="Straight Connector 81">
            <a:extLst>
              <a:ext uri="{FF2B5EF4-FFF2-40B4-BE49-F238E27FC236}">
                <a16:creationId xmlns:a16="http://schemas.microsoft.com/office/drawing/2014/main" id="{718825C1-EA21-3B76-A86B-FB6113C5FAC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82">
            <a:extLst>
              <a:ext uri="{FF2B5EF4-FFF2-40B4-BE49-F238E27FC236}">
                <a16:creationId xmlns:a16="http://schemas.microsoft.com/office/drawing/2014/main" id="{AD07ECE0-1353-99BB-280D-F09CAD68172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3">
            <a:extLst>
              <a:ext uri="{FF2B5EF4-FFF2-40B4-BE49-F238E27FC236}">
                <a16:creationId xmlns:a16="http://schemas.microsoft.com/office/drawing/2014/main" id="{878AD32B-7BE8-8451-1679-A2184811D6D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84">
            <a:extLst>
              <a:ext uri="{FF2B5EF4-FFF2-40B4-BE49-F238E27FC236}">
                <a16:creationId xmlns:a16="http://schemas.microsoft.com/office/drawing/2014/main" id="{AB4EF1D9-25C4-1684-07C1-9E0A6C841FF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372717</xdr:colOff>
      <xdr:row>20</xdr:row>
      <xdr:rowOff>124239</xdr:rowOff>
    </xdr:from>
    <xdr:to>
      <xdr:col>12</xdr:col>
      <xdr:colOff>0</xdr:colOff>
      <xdr:row>22</xdr:row>
      <xdr:rowOff>8282</xdr:rowOff>
    </xdr:to>
    <xdr:sp macro="" textlink="">
      <xdr:nvSpPr>
        <xdr:cNvPr id="239" name="TextBox 161">
          <a:extLst>
            <a:ext uri="{FF2B5EF4-FFF2-40B4-BE49-F238E27FC236}">
              <a16:creationId xmlns:a16="http://schemas.microsoft.com/office/drawing/2014/main" id="{0AA0C084-CD6F-4D25-8BC5-60D140E66273}"/>
            </a:ext>
          </a:extLst>
        </xdr:cNvPr>
        <xdr:cNvSpPr txBox="1"/>
      </xdr:nvSpPr>
      <xdr:spPr>
        <a:xfrm>
          <a:off x="3725517" y="3200814"/>
          <a:ext cx="389283" cy="1888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50m</a:t>
          </a:r>
        </a:p>
      </xdr:txBody>
    </xdr:sp>
    <xdr:clientData/>
  </xdr:twoCellAnchor>
  <xdr:twoCellAnchor>
    <xdr:from>
      <xdr:col>12</xdr:col>
      <xdr:colOff>0</xdr:colOff>
      <xdr:row>22</xdr:row>
      <xdr:rowOff>140803</xdr:rowOff>
    </xdr:from>
    <xdr:to>
      <xdr:col>14</xdr:col>
      <xdr:colOff>203077</xdr:colOff>
      <xdr:row>26</xdr:row>
      <xdr:rowOff>140803</xdr:rowOff>
    </xdr:to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D91BF7D2-DFA3-4238-8581-BD6E14C0059A}"/>
            </a:ext>
          </a:extLst>
        </xdr:cNvPr>
        <xdr:cNvSpPr txBox="1"/>
      </xdr:nvSpPr>
      <xdr:spPr>
        <a:xfrm>
          <a:off x="4114800" y="3522178"/>
          <a:ext cx="965077" cy="6096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K2-283/167/A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140803</xdr:colOff>
      <xdr:row>14</xdr:row>
      <xdr:rowOff>140804</xdr:rowOff>
    </xdr:from>
    <xdr:to>
      <xdr:col>15</xdr:col>
      <xdr:colOff>16565</xdr:colOff>
      <xdr:row>18</xdr:row>
      <xdr:rowOff>1</xdr:rowOff>
    </xdr:to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025933AA-AFFF-4483-B0F4-BC01D1CAEA4C}"/>
            </a:ext>
          </a:extLst>
        </xdr:cNvPr>
        <xdr:cNvSpPr txBox="1"/>
      </xdr:nvSpPr>
      <xdr:spPr>
        <a:xfrm>
          <a:off x="4255603" y="2302979"/>
          <a:ext cx="1018762" cy="46879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APP 33 KVA</a:t>
          </a:r>
        </a:p>
        <a:p>
          <a:pPr algn="l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4X16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= 45M</a:t>
          </a:r>
          <a:endParaRPr lang="en-ID" sz="80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CM2-11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107674</xdr:colOff>
      <xdr:row>20</xdr:row>
      <xdr:rowOff>33132</xdr:rowOff>
    </xdr:from>
    <xdr:to>
      <xdr:col>12</xdr:col>
      <xdr:colOff>246809</xdr:colOff>
      <xdr:row>20</xdr:row>
      <xdr:rowOff>96577</xdr:rowOff>
    </xdr:to>
    <xdr:grpSp>
      <xdr:nvGrpSpPr>
        <xdr:cNvPr id="242" name="Grup 244">
          <a:extLst>
            <a:ext uri="{FF2B5EF4-FFF2-40B4-BE49-F238E27FC236}">
              <a16:creationId xmlns:a16="http://schemas.microsoft.com/office/drawing/2014/main" id="{1DB7E86E-D71E-47D1-B823-6FCD12EF7E42}"/>
            </a:ext>
          </a:extLst>
        </xdr:cNvPr>
        <xdr:cNvGrpSpPr/>
      </xdr:nvGrpSpPr>
      <xdr:grpSpPr>
        <a:xfrm rot="1424479">
          <a:off x="4232413" y="3064567"/>
          <a:ext cx="139135" cy="63445"/>
          <a:chOff x="13302191" y="2320613"/>
          <a:chExt cx="139135" cy="57233"/>
        </a:xfrm>
      </xdr:grpSpPr>
      <xdr:cxnSp macro="">
        <xdr:nvCxnSpPr>
          <xdr:cNvPr id="243" name="Straight Connector 81">
            <a:extLst>
              <a:ext uri="{FF2B5EF4-FFF2-40B4-BE49-F238E27FC236}">
                <a16:creationId xmlns:a16="http://schemas.microsoft.com/office/drawing/2014/main" id="{CABC2A82-D467-4936-0F28-DC0CA16E674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82">
            <a:extLst>
              <a:ext uri="{FF2B5EF4-FFF2-40B4-BE49-F238E27FC236}">
                <a16:creationId xmlns:a16="http://schemas.microsoft.com/office/drawing/2014/main" id="{70C43B9B-2BE8-1438-2587-CE13E8B026D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83">
            <a:extLst>
              <a:ext uri="{FF2B5EF4-FFF2-40B4-BE49-F238E27FC236}">
                <a16:creationId xmlns:a16="http://schemas.microsoft.com/office/drawing/2014/main" id="{3297EFFD-FD3A-8AA4-8F98-32D7D437D6BC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84">
            <a:extLst>
              <a:ext uri="{FF2B5EF4-FFF2-40B4-BE49-F238E27FC236}">
                <a16:creationId xmlns:a16="http://schemas.microsoft.com/office/drawing/2014/main" id="{56BF17FB-B084-0E70-A7FA-DFB4BA218599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C383D1-5CC4-4725-923B-97C2667328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68560E7-5752-465A-A76B-09E578FE8534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3</xdr:col>
      <xdr:colOff>20265</xdr:colOff>
      <xdr:row>6</xdr:row>
      <xdr:rowOff>101330</xdr:rowOff>
    </xdr:from>
    <xdr:to>
      <xdr:col>28</xdr:col>
      <xdr:colOff>142220</xdr:colOff>
      <xdr:row>54</xdr:row>
      <xdr:rowOff>81063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64B578-407A-42E1-BF8F-988E43AC7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0390" y="1101455"/>
          <a:ext cx="14609480" cy="7752133"/>
        </a:xfrm>
        <a:prstGeom prst="rect">
          <a:avLst/>
        </a:prstGeom>
      </xdr:spPr>
    </xdr:pic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64B25F5-04F4-439B-9852-94B25F6D6885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11BAAD-3851-4E69-989F-BFF7429651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twoCellAnchor editAs="oneCell">
    <xdr:from>
      <xdr:col>4</xdr:col>
      <xdr:colOff>575930</xdr:colOff>
      <xdr:row>9</xdr:row>
      <xdr:rowOff>110756</xdr:rowOff>
    </xdr:from>
    <xdr:to>
      <xdr:col>25</xdr:col>
      <xdr:colOff>110755</xdr:colOff>
      <xdr:row>63</xdr:row>
      <xdr:rowOff>101616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24082E-ECCB-4EB3-8D4D-040148880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0830" y="1510931"/>
          <a:ext cx="12298325" cy="873481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Music\KKO%20KKF%20PD%20INDOMARET%20KEDUNGWUNGU%2017,6-33KVA.xlsx" TargetMode="External"/><Relationship Id="rId1" Type="http://schemas.openxmlformats.org/officeDocument/2006/relationships/externalLinkPath" Target="KKO%20KKF%20PD%20INDOMARET%20KEDUNGWUNGU%2017,6-33KVA.xlsx" TargetMode="External"/></Relationships>
</file>

<file path=xl/externalLinks/_rels/externalLink9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Music\52553_KKO_KKF_PD%20INDOMARET%2017,6-33%20KVA.xlsx" TargetMode="External"/><Relationship Id="rId1" Type="http://schemas.openxmlformats.org/officeDocument/2006/relationships/externalLinkPath" Target="52553_KKO_KKF_PD%20INDOMARET%2017,6-33%20K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PkRp"/>
      <sheetName val="PUNCAK-89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Rekap"/>
      <sheetName val="PROGRAM"/>
      <sheetName val="LOKASI"/>
      <sheetName val="DB"/>
      <sheetName val="TDL"/>
      <sheetName val="prod03"/>
      <sheetName val="HARGA SATUAN"/>
      <sheetName val="PkRp"/>
      <sheetName val="graf2"/>
      <sheetName val="PUNCAK-89"/>
      <sheetName val="Rekap PMG."/>
      <sheetName val="C"/>
      <sheetName val="JS_x0000__x0000_ꣀߗ_x000f_[lambaro.xls]BP_x0000_⿁_x0000__x0000__x000f_["/>
      <sheetName val="JS_x005f_x0000__x005f_x0000_ꣀߗ_x005f_x000f_[lamba"/>
      <sheetName val="x"/>
      <sheetName val="NRCPTK01"/>
      <sheetName val="Bank Data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KAP MATERIAL"/>
      <sheetName val="REKAP TIANG"/>
      <sheetName val="REKAP MDU"/>
      <sheetName val="Sheet1"/>
      <sheetName val="HARGA SATUAN"/>
      <sheetName val="KKO"/>
      <sheetName val="DATA"/>
      <sheetName val="KKF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7" t="s">
        <v>1133</v>
      </c>
      <c r="C4" s="527"/>
      <c r="D4" s="527"/>
      <c r="E4" s="527"/>
      <c r="F4" s="527"/>
      <c r="G4" s="527"/>
      <c r="H4" s="52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8" t="s">
        <v>0</v>
      </c>
      <c r="C7" s="528" t="s">
        <v>1</v>
      </c>
      <c r="D7" s="529" t="s">
        <v>42</v>
      </c>
      <c r="E7" s="529" t="s">
        <v>43</v>
      </c>
      <c r="F7" s="529" t="s">
        <v>1134</v>
      </c>
      <c r="G7" s="530" t="s">
        <v>41</v>
      </c>
      <c r="H7" s="526" t="s">
        <v>1042</v>
      </c>
      <c r="I7" s="526" t="s">
        <v>1136</v>
      </c>
      <c r="J7" s="526" t="s">
        <v>1026</v>
      </c>
      <c r="K7" s="520" t="s">
        <v>1024</v>
      </c>
      <c r="L7" s="521"/>
    </row>
    <row r="8" spans="1:12" ht="15" customHeight="1">
      <c r="B8" s="528"/>
      <c r="C8" s="528"/>
      <c r="D8" s="529"/>
      <c r="E8" s="529"/>
      <c r="F8" s="529"/>
      <c r="G8" s="530"/>
      <c r="H8" s="526"/>
      <c r="I8" s="526"/>
      <c r="J8" s="526"/>
      <c r="K8" s="522"/>
      <c r="L8" s="523"/>
    </row>
    <row r="9" spans="1:12" ht="15" customHeight="1">
      <c r="B9" s="528"/>
      <c r="C9" s="528"/>
      <c r="D9" s="529"/>
      <c r="E9" s="529"/>
      <c r="F9" s="529"/>
      <c r="G9" s="530"/>
      <c r="H9" s="526"/>
      <c r="I9" s="526"/>
      <c r="J9" s="526"/>
      <c r="K9" s="524"/>
      <c r="L9" s="52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3x35+1x35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35</v>
      </c>
      <c r="G14" s="41">
        <f ca="1">IF(ISERROR(OFFSET('HARGA SATUAN'!$I$6,MATCH(C14,'HARGA SATUAN'!$C$7:$C$1495,0),0)),"",OFFSET('HARGA SATUAN'!$I$6,MATCH(C14,'HARGA SATUAN'!$C$7:$C$1495,0),0))</f>
        <v>30400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3x70+1x70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50</v>
      </c>
      <c r="G15" s="41">
        <f ca="1">IF(ISERROR(OFFSET('HARGA SATUAN'!$I$6,MATCH(C15,'HARGA SATUAN'!$C$7:$C$1495,0),0)),"",OFFSET('HARGA SATUAN'!$I$6,MATCH(C15,'HARGA SATUAN'!$C$7:$C$1495,0),0))</f>
        <v>54500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Modem 3G/4G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Unit</v>
      </c>
      <c r="F16" s="138">
        <f t="shared" ca="1" si="2"/>
        <v>1</v>
      </c>
      <c r="G16" s="41">
        <f ca="1">IF(ISERROR(OFFSET('HARGA SATUAN'!$I$6,MATCH(C16,'HARGA SATUAN'!$C$7:$C$1495,0),0)),"",OFFSET('HARGA SATUAN'!$I$6,MATCH(C16,'HARGA SATUAN'!$C$7:$C$1495,0),0))</f>
        <v>1113900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38" t="str">
        <f t="shared" ca="1" si="2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SUMIFS(RAB!$F$14:$F$76,RAB!$C$14:$C$76,C714)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SUMIFS(RAB!$F$14:$F$76,RAB!$C$14:$C$76,C715)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SUMIFS(RAB!$F$14:$F$76,RAB!$C$14:$C$76,C716)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SUMIFS(RAB!$F$14:$F$76,RAB!$C$14:$C$76,C717)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SUMIFS(RAB!$F$14:$F$76,RAB!$C$14:$C$76,C718)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SUMIFS(RAB!$F$14:$F$76,RAB!$C$14:$C$76,C719)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SUMIFS(RAB!$F$14:$F$76,RAB!$C$14:$C$76,C720)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SUMIFS(RAB!$F$14:$F$76,RAB!$C$14:$C$76,C721)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SUMIFS(RAB!$F$14:$F$76,RAB!$C$14:$C$76,C722)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SUMIFS(RAB!$F$14:$F$76,RAB!$C$14:$C$76,C723)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SUMIFS(RAB!$F$14:$F$76,RAB!$C$14:$C$76,C724)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SUMIFS(RAB!$F$14:$F$76,RAB!$C$14:$C$76,C725)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SUMIFS(RAB!$F$14:$F$76,RAB!$C$14:$C$76,C726)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SUMIFS(RAB!$F$14:$F$76,RAB!$C$14:$C$76,C727)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SUMIFS(RAB!$F$14:$F$76,RAB!$C$14:$C$76,C728)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SUMIFS(RAB!$F$14:$F$76,RAB!$C$14:$C$76,C729)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SUMIFS(RAB!$F$14:$F$76,RAB!$C$14:$C$76,C730)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SUMIFS(RAB!$F$14:$F$76,RAB!$C$14:$C$76,C731)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SUMIFS(RAB!$F$14:$F$76,RAB!$C$14:$C$76,C732)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SUMIFS(RAB!$F$14:$F$76,RAB!$C$14:$C$76,C733)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SUMIFS(RAB!$F$14:$F$76,RAB!$C$14:$C$76,C734)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SUMIFS(RAB!$F$14:$F$76,RAB!$C$14:$C$76,C735)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SUMIFS(RAB!$F$14:$F$76,RAB!$C$14:$C$76,C736)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SUMIFS(RAB!$F$14:$F$76,RAB!$C$14:$C$76,C737)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SUMIFS(RAB!$F$14:$F$76,RAB!$C$14:$C$76,C738)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SUMIFS(RAB!$F$14:$F$76,RAB!$C$14:$C$76,C739)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SUMIFS(RAB!$F$14:$F$76,RAB!$C$14:$C$76,C740)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SUMIFS(RAB!$F$14:$F$76,RAB!$C$14:$C$76,C741)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SUMIFS(RAB!$F$14:$F$76,RAB!$C$14:$C$76,C742)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SUMIFS(RAB!$F$14:$F$76,RAB!$C$14:$C$76,C743)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SUMIFS(RAB!$F$14:$F$76,RAB!$C$14:$C$76,C744)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SUMIFS(RAB!$F$14:$F$76,RAB!$C$14:$C$76,C745)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SUMIFS(RAB!$F$14:$F$76,RAB!$C$14:$C$76,C746)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SUMIFS(RAB!$F$14:$F$76,RAB!$C$14:$C$76,C747)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SUMIFS(RAB!$F$14:$F$76,RAB!$C$14:$C$76,C748)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SUMIFS(RAB!$F$14:$F$76,RAB!$C$14:$C$76,C749)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SUMIFS(RAB!$F$14:$F$76,RAB!$C$14:$C$76,C750)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SUMIFS(RAB!$F$14:$F$76,RAB!$C$14:$C$76,C751)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SUMIFS(RAB!$F$14:$F$76,RAB!$C$14:$C$76,C752)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SUMIFS(RAB!$F$14:$F$76,RAB!$C$14:$C$76,C753)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SUMIFS(RAB!$F$14:$F$76,RAB!$C$14:$C$76,C754)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SUMIFS(RAB!$F$14:$F$76,RAB!$C$14:$C$76,C755)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SUMIFS(RAB!$F$14:$F$76,RAB!$C$14:$C$76,C756)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SUMIFS(RAB!$F$14:$F$76,RAB!$C$14:$C$76,C757)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SUMIFS(RAB!$F$14:$F$76,RAB!$C$14:$C$76,C758)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SUMIFS(RAB!$F$14:$F$76,RAB!$C$14:$C$76,C759)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SUMIFS(RAB!$F$14:$F$76,RAB!$C$14:$C$76,C760)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SUMIFS(RAB!$F$14:$F$76,RAB!$C$14:$C$76,C761)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SUMIFS(RAB!$F$14:$F$76,RAB!$C$14:$C$76,C762)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SUMIFS(RAB!$F$14:$F$76,RAB!$C$14:$C$76,C763)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SUMIFS(RAB!$F$14:$F$76,RAB!$C$14:$C$76,C764)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SUMIFS(RAB!$F$14:$F$76,RAB!$C$14:$C$76,C765)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SUMIFS(RAB!$F$14:$F$76,RAB!$C$14:$C$76,C766)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SUMIFS(RAB!$F$14:$F$76,RAB!$C$14:$C$76,C767)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SUMIFS(RAB!$F$14:$F$76,RAB!$C$14:$C$76,C768)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SUMIFS(RAB!$F$14:$F$76,RAB!$C$14:$C$76,C769)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SUMIFS(RAB!$F$14:$F$76,RAB!$C$14:$C$76,C770)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SUMIFS(RAB!$F$14:$F$76,RAB!$C$14:$C$76,C771)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SUMIFS(RAB!$F$14:$F$76,RAB!$C$14:$C$76,C772)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SUMIFS(RAB!$F$14:$F$76,RAB!$C$14:$C$76,C773)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SUMIFS(RAB!$F$14:$F$76,RAB!$C$14:$C$76,C774)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SUMIFS(RAB!$F$14:$F$76,RAB!$C$14:$C$76,C775)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SUMIFS(RAB!$F$14:$F$76,RAB!$C$14:$C$76,C776)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SUMIFS(RAB!$F$14:$F$76,RAB!$C$14:$C$76,C777)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SUMIFS(RAB!$F$14:$F$76,RAB!$C$14:$C$76,C778)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SUMIFS(RAB!$F$14:$F$76,RAB!$C$14:$C$76,C779)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SUMIFS(RAB!$F$14:$F$76,RAB!$C$14:$C$76,C780)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SUMIFS(RAB!$F$14:$F$76,RAB!$C$14:$C$76,C781)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SUMIFS(RAB!$F$14:$F$76,RAB!$C$14:$C$76,C782)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SUMIFS(RAB!$F$14:$F$76,RAB!$C$14:$C$76,C783)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SUMIFS(RAB!$F$14:$F$76,RAB!$C$14:$C$76,C784)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SUMIFS(RAB!$F$14:$F$76,RAB!$C$14:$C$76,C785)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SUMIFS(RAB!$F$14:$F$76,RAB!$C$14:$C$76,C786)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SUMIFS(RAB!$F$14:$F$76,RAB!$C$14:$C$76,C787)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SUMIFS(RAB!$F$14:$F$76,RAB!$C$14:$C$76,C788)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SUMIFS(RAB!$F$14:$F$76,RAB!$C$14:$C$76,C789)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SUMIFS(RAB!$F$14:$F$76,RAB!$C$14:$C$76,C790)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SUMIFS(RAB!$F$14:$F$76,RAB!$C$14:$C$76,C791)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SUMIFS(RAB!$F$14:$F$76,RAB!$C$14:$C$76,C792)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SUMIFS(RAB!$F$14:$F$76,RAB!$C$14:$C$76,C793)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SUMIFS(RAB!$F$14:$F$76,RAB!$C$14:$C$76,C794)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SUMIFS(RAB!$F$14:$F$76,RAB!$C$14:$C$76,C795)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SUMIFS(RAB!$F$14:$F$76,RAB!$C$14:$C$76,C796)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SUMIFS(RAB!$F$14:$F$76,RAB!$C$14:$C$76,C797)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SUMIFS(RAB!$F$14:$F$76,RAB!$C$14:$C$76,C798)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SUMIFS(RAB!$F$14:$F$76,RAB!$C$14:$C$76,C799)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SUMIFS(RAB!$F$14:$F$76,RAB!$C$14:$C$76,C800)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SUMIFS(RAB!$F$14:$F$76,RAB!$C$14:$C$76,C801)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SUMIFS(RAB!$F$14:$F$76,RAB!$C$14:$C$76,C802)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SUMIFS(RAB!$F$14:$F$76,RAB!$C$14:$C$76,C803)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SUMIFS(RAB!$F$14:$F$76,RAB!$C$14:$C$76,C804)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SUMIFS(RAB!$F$14:$F$76,RAB!$C$14:$C$76,C805)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SUMIFS(RAB!$F$14:$F$76,RAB!$C$14:$C$76,C806)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SUMIFS(RAB!$F$14:$F$76,RAB!$C$14:$C$76,C807)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SUMIFS(RAB!$F$14:$F$76,RAB!$C$14:$C$76,C808)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SUMIFS(RAB!$F$14:$F$76,RAB!$C$14:$C$76,C809)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SUMIFS(RAB!$F$14:$F$76,RAB!$C$14:$C$76,C810)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SUMIFS(RAB!$F$14:$F$76,RAB!$C$14:$C$76,C811)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SUMIFS(RAB!$F$14:$F$76,RAB!$C$14:$C$76,C812)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SUMIFS(RAB!$F$14:$F$76,RAB!$C$14:$C$76,C813)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SUMIFS(RAB!$F$14:$F$76,RAB!$C$14:$C$76,C814)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SUMIFS(RAB!$F$14:$F$76,RAB!$C$14:$C$76,C815)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SUMIFS(RAB!$F$14:$F$76,RAB!$C$14:$C$76,C816)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SUMIFS(RAB!$F$14:$F$76,RAB!$C$14:$C$76,C817)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SUMIFS(RAB!$F$14:$F$76,RAB!$C$14:$C$76,C818)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SUMIFS(RAB!$F$14:$F$76,RAB!$C$14:$C$76,C819)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SUMIFS(RAB!$F$14:$F$76,RAB!$C$14:$C$76,C820)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SUMIFS(RAB!$F$14:$F$76,RAB!$C$14:$C$76,C821)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SUMIFS(RAB!$F$14:$F$76,RAB!$C$14:$C$76,C822)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SUMIFS(RAB!$F$14:$F$76,RAB!$C$14:$C$76,C823)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SUMIFS(RAB!$F$14:$F$76,RAB!$C$14:$C$76,C824)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SUMIFS(RAB!$F$14:$F$76,RAB!$C$14:$C$76,C825)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SUMIFS(RAB!$F$14:$F$76,RAB!$C$14:$C$76,C826)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SUMIFS(RAB!$F$14:$F$76,RAB!$C$14:$C$76,C827)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SUMIFS(RAB!$F$14:$F$76,RAB!$C$14:$C$76,C828)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SUMIFS(RAB!$F$14:$F$76,RAB!$C$14:$C$76,C829)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SUMIFS(RAB!$F$14:$F$76,RAB!$C$14:$C$76,C830)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SUMIFS(RAB!$F$14:$F$76,RAB!$C$14:$C$76,C831)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SUMIFS(RAB!$F$14:$F$76,RAB!$C$14:$C$76,C832)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SUMIFS(RAB!$F$14:$F$76,RAB!$C$14:$C$76,C833)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SUMIFS(RAB!$F$14:$F$76,RAB!$C$14:$C$76,C834)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SUMIFS(RAB!$F$14:$F$76,RAB!$C$14:$C$76,C835)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SUMIFS(RAB!$F$14:$F$76,RAB!$C$14:$C$76,C836)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SUMIFS(RAB!$F$14:$F$76,RAB!$C$14:$C$76,C837)</f>
        <v>35</v>
      </c>
      <c r="E837" s="26">
        <f t="shared" ca="1" si="34"/>
        <v>1</v>
      </c>
      <c r="F837" s="26">
        <f ca="1">IF(D837=0,0,SUM($E$713:E837))</f>
        <v>3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SUMIFS(RAB!$F$14:$F$76,RAB!$C$14:$C$76,C838)</f>
        <v>50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SUMIFS(RAB!$F$14:$F$76,RAB!$C$14:$C$76,C839)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SUMIFS(RAB!$F$14:$F$76,RAB!$C$14:$C$76,C840)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SUMIFS(RAB!$F$14:$F$76,RAB!$C$14:$C$76,C841)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SUMIFS(RAB!$F$14:$F$76,RAB!$C$14:$C$76,C842)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SUMIFS(RAB!$F$14:$F$76,RAB!$C$14:$C$76,C843)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SUMIFS(RAB!$F$14:$F$76,RAB!$C$14:$C$76,C844)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SUMIFS(RAB!$F$14:$F$76,RAB!$C$14:$C$76,C845)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SUMIFS(RAB!$F$14:$F$76,RAB!$C$14:$C$76,C846)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SUMIFS(RAB!$F$14:$F$76,RAB!$C$14:$C$76,C847)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SUMIFS(RAB!$F$14:$F$76,RAB!$C$14:$C$76,C848)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SUMIFS(RAB!$F$14:$F$76,RAB!$C$14:$C$76,C849)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SUMIFS(RAB!$F$14:$F$76,RAB!$C$14:$C$76,C850)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SUMIFS(RAB!$F$14:$F$76,RAB!$C$14:$C$76,C851)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SUMIFS(RAB!$F$14:$F$76,RAB!$C$14:$C$76,C852)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SUMIFS(RAB!$F$14:$F$76,RAB!$C$14:$C$76,C853)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SUMIFS(RAB!$F$14:$F$76,RAB!$C$14:$C$76,C854)</f>
        <v>1</v>
      </c>
      <c r="E854" s="26">
        <f t="shared" ca="1" si="35"/>
        <v>1</v>
      </c>
      <c r="F854" s="26">
        <f ca="1">IF(D854=0,0,SUM($E$713:E854))</f>
        <v>5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SUMIFS(RAB!$F$14:$F$76,RAB!$C$14:$C$76,C855)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SUMIFS(RAB!$F$14:$F$76,RAB!$C$14:$C$76,C856)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SUMIFS(RAB!$F$14:$F$76,RAB!$C$14:$C$76,C857)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SUMIFS(RAB!$F$14:$F$76,RAB!$C$14:$C$76,C858)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SUMIFS(RAB!$F$14:$F$76,RAB!$C$14:$C$76,C859)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SUMIFS(RAB!$F$14:$F$76,RAB!$C$14:$C$76,C860)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SUMIFS(RAB!$F$14:$F$76,RAB!$C$14:$C$76,C861)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SUMIFS(RAB!$F$14:$F$76,RAB!$C$14:$C$76,C862)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SUMIFS(RAB!$F$14:$F$76,RAB!$C$14:$C$76,C863)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SUMIFS(RAB!$F$14:$F$76,RAB!$C$14:$C$76,C864)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SUMIFS(RAB!$F$14:$F$76,RAB!$C$14:$C$76,C865)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SUMIFS(RAB!$F$14:$F$76,RAB!$C$14:$C$76,C866)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SUMIFS(RAB!$F$14:$F$76,RAB!$C$14:$C$76,C867)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SUMIFS(RAB!$F$14:$F$76,RAB!$C$14:$C$76,C868)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SUMIFS(RAB!$F$14:$F$76,RAB!$C$14:$C$76,C869)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SUMIFS(RAB!$F$14:$F$76,RAB!$C$14:$C$76,C870)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SUMIFS(RAB!$F$14:$F$76,RAB!$C$14:$C$76,C871)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SUMIFS(RAB!$F$14:$F$76,RAB!$C$14:$C$76,C872)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SUMIFS(RAB!$F$14:$F$76,RAB!$C$14:$C$76,C873)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SUMIFS(RAB!$F$14:$F$76,RAB!$C$14:$C$76,C874)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SUMIFS(RAB!$F$14:$F$76,RAB!$C$14:$C$76,C875)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SUMIFS(RAB!$F$14:$F$76,RAB!$C$14:$C$76,C876)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SUMIFS(RAB!$F$14:$F$76,RAB!$C$14:$C$76,C877)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SUMIFS(RAB!$F$14:$F$76,RAB!$C$14:$C$76,C878)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SUMIFS(RAB!$F$14:$F$76,RAB!$C$14:$C$76,C879)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SUMIFS(RAB!$F$14:$F$76,RAB!$C$14:$C$76,C880)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SUMIFS(RAB!$F$14:$F$76,RAB!$C$14:$C$76,C881)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SUMIFS(RAB!$F$14:$F$76,RAB!$C$14:$C$76,C882)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SUMIFS(RAB!$F$14:$F$76,RAB!$C$14:$C$76,C883)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SUMIFS(RAB!$F$14:$F$76,RAB!$C$14:$C$76,C884)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SUMIFS(RAB!$F$14:$F$76,RAB!$C$14:$C$76,C885)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SUMIFS(RAB!$F$14:$F$76,RAB!$C$14:$C$76,C886)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SUMIFS(RAB!$F$14:$F$76,RAB!$C$14:$C$76,C887)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SUMIFS(RAB!$F$14:$F$76,RAB!$C$14:$C$76,C888)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SUMIFS(RAB!$F$14:$F$76,RAB!$C$14:$C$76,C889)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SUMIFS(RAB!$F$14:$F$76,RAB!$C$14:$C$76,C890)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SUMIFS(RAB!$F$14:$F$76,RAB!$C$14:$C$76,C891)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SUMIFS(RAB!$F$14:$F$76,RAB!$C$14:$C$76,C892)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SUMIFS(RAB!$F$14:$F$76,RAB!$C$14:$C$76,C893)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SUMIFS(RAB!$F$14:$F$76,RAB!$C$14:$C$76,C894)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SUMIFS(RAB!$F$14:$F$76,RAB!$C$14:$C$76,C895)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SUMIFS(RAB!$F$14:$F$76,RAB!$C$14:$C$76,C896)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SUMIFS(RAB!$F$14:$F$76,RAB!$C$14:$C$76,C897)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SUMIFS(RAB!$F$14:$F$76,RAB!$C$14:$C$76,C898)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SUMIFS(RAB!$F$14:$F$76,RAB!$C$14:$C$76,C899)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SUMIFS(RAB!$F$14:$F$76,RAB!$C$14:$C$76,C900)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SUMIFS(RAB!$F$14:$F$76,RAB!$C$14:$C$76,C901)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SUMIFS(RAB!$F$14:$F$76,RAB!$C$14:$C$76,C902)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SUMIFS(RAB!$F$14:$F$76,RAB!$C$14:$C$76,C903)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SUMIFS(RAB!$F$14:$F$76,RAB!$C$14:$C$76,C904)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SUMIFS(RAB!$F$14:$F$76,RAB!$C$14:$C$76,C905)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SUMIFS(RAB!$F$14:$F$76,RAB!$C$14:$C$76,C906)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SUMIFS(RAB!$F$14:$F$76,RAB!$C$14:$C$76,C907)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SUMIFS(RAB!$F$14:$F$76,RAB!$C$14:$C$76,C908)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SUMIFS(RAB!$F$14:$F$76,RAB!$C$14:$C$76,C909)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SUMIFS(RAB!$F$14:$F$76,RAB!$C$14:$C$76,C910)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SUMIFS(RAB!$F$14:$F$76,RAB!$C$14:$C$76,C911)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SUMIFS(RAB!$F$14:$F$76,RAB!$C$14:$C$76,C912)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SUMIFS(RAB!$F$14:$F$76,RAB!$C$14:$C$76,C913)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SUMIFS(RAB!$F$14:$F$76,RAB!$C$14:$C$76,C914)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SUMIFS(RAB!$F$14:$F$76,RAB!$C$14:$C$76,C915)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SUMIFS(RAB!$F$14:$F$76,RAB!$C$14:$C$76,C916)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SUMIFS(RAB!$F$14:$F$76,RAB!$C$14:$C$76,C917)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SUMIFS(RAB!$F$14:$F$76,RAB!$C$14:$C$76,C918)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SUMIFS(RAB!$F$14:$F$76,RAB!$C$14:$C$76,C919)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SUMIFS(RAB!$F$14:$F$76,RAB!$C$14:$C$76,C920)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SUMIFS(RAB!$F$14:$F$76,RAB!$C$14:$C$76,C921)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SUMIFS(RAB!$F$14:$F$76,RAB!$C$14:$C$76,C922)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SUMIFS(RAB!$F$14:$F$76,RAB!$C$14:$C$76,C923)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SUMIFS(RAB!$F$14:$F$76,RAB!$C$14:$C$76,C924)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SUMIFS(RAB!$F$14:$F$76,RAB!$C$14:$C$76,C925)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SUMIFS(RAB!$F$14:$F$76,RAB!$C$14:$C$76,C926)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SUMIFS(RAB!$F$14:$F$76,RAB!$C$14:$C$76,C927)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SUMIFS(RAB!$F$14:$F$76,RAB!$C$14:$C$76,C928)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SUMIFS(RAB!$F$14:$F$76,RAB!$C$14:$C$76,C929)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SUMIFS(RAB!$F$14:$F$76,RAB!$C$14:$C$76,C930)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SUMIFS(RAB!$F$14:$F$76,RAB!$C$14:$C$76,C931)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SUMIFS(RAB!$F$14:$F$76,RAB!$C$14:$C$76,C932)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SUMIFS(RAB!$F$14:$F$76,RAB!$C$14:$C$76,C933)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SUMIFS(RAB!$F$14:$F$76,RAB!$C$14:$C$76,C934)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SUMIFS(RAB!$F$14:$F$76,RAB!$C$14:$C$76,C935)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SUMIFS(RAB!$F$14:$F$76,RAB!$C$14:$C$76,C936)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SUMIFS(RAB!$F$14:$F$76,RAB!$C$14:$C$76,C937)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SUMIFS(RAB!$F$14:$F$76,RAB!$C$14:$C$76,C938)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SUMIFS(RAB!$F$14:$F$76,RAB!$C$14:$C$76,C939)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SUMIFS(RAB!$F$14:$F$76,RAB!$C$14:$C$76,C940)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SUMIFS(RAB!$F$14:$F$76,RAB!$C$14:$C$76,C941)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SUMIFS(RAB!$F$14:$F$76,RAB!$C$14:$C$76,C942)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SUMIFS(RAB!$F$14:$F$76,RAB!$C$14:$C$76,C943)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SUMIFS(RAB!$F$14:$F$76,RAB!$C$14:$C$76,C944)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SUMIFS(RAB!$F$14:$F$76,RAB!$C$14:$C$76,C945)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SUMIFS(RAB!$F$14:$F$76,RAB!$C$14:$C$76,C946)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SUMIFS(RAB!$F$14:$F$76,RAB!$C$14:$C$76,C947)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SUMIFS(RAB!$F$14:$F$76,RAB!$C$14:$C$76,C948)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SUMIFS(RAB!$F$14:$F$76,RAB!$C$14:$C$76,C949)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SUMIFS(RAB!$F$14:$F$76,RAB!$C$14:$C$76,C950)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SUMIFS(RAB!$F$14:$F$76,RAB!$C$14:$C$76,C951)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SUMIFS(RAB!$F$14:$F$76,RAB!$C$14:$C$76,C952)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SUMIFS(RAB!$F$14:$F$76,RAB!$C$14:$C$76,C953)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SUMIFS(RAB!$F$14:$F$76,RAB!$C$14:$C$76,C954)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SUMIFS(RAB!$F$14:$F$76,RAB!$C$14:$C$76,C955)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SUMIFS(RAB!$F$14:$F$76,RAB!$C$14:$C$76,C956)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SUMIFS(RAB!$F$14:$F$76,RAB!$C$14:$C$76,C957)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SUMIFS(RAB!$F$14:$F$76,RAB!$C$14:$C$76,C958)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SUMIFS(RAB!$F$14:$F$76,RAB!$C$14:$C$76,C959)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SUMIFS(RAB!$F$14:$F$76,RAB!$C$14:$C$76,C960)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SUMIFS(RAB!$F$14:$F$76,RAB!$C$14:$C$76,C961)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SUMIFS(RAB!$F$14:$F$76,RAB!$C$14:$C$76,C962)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SUMIFS(RAB!$F$14:$F$76,RAB!$C$14:$C$76,C963)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SUMIFS(RAB!$F$14:$F$76,RAB!$C$14:$C$76,C964)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SUMIFS(RAB!$F$14:$F$76,RAB!$C$14:$C$76,C965)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SUMIFS(RAB!$F$14:$F$76,RAB!$C$14:$C$76,C966)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SUMIFS(RAB!$F$14:$F$76,RAB!$C$14:$C$76,C967)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SUMIFS(RAB!$F$14:$F$76,RAB!$C$14:$C$76,C968)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SUMIFS(RAB!$F$14:$F$76,RAB!$C$14:$C$76,C969)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SUMIFS(RAB!$F$14:$F$76,RAB!$C$14:$C$76,C970)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SUMIFS(RAB!$F$14:$F$76,RAB!$C$14:$C$76,C971)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SUMIFS(RAB!$F$14:$F$76,RAB!$C$14:$C$76,C972)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SUMIFS(RAB!$F$14:$F$76,RAB!$C$14:$C$76,C973)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SUMIFS(RAB!$F$14:$F$76,RAB!$C$14:$C$76,C974)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SUMIFS(RAB!$F$14:$F$76,RAB!$C$14:$C$76,C975)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SUMIFS(RAB!$F$14:$F$76,RAB!$C$14:$C$76,C976)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SUMIFS(RAB!$F$14:$F$76,RAB!$C$14:$C$76,C977)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SUMIFS(RAB!$F$14:$F$76,RAB!$C$14:$C$76,C978)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SUMIFS(RAB!$F$14:$F$76,RAB!$C$14:$C$76,C979)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SUMIFS(RAB!$F$14:$F$76,RAB!$C$14:$C$76,C980)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SUMIFS(RAB!$F$14:$F$76,RAB!$C$14:$C$76,C981)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SUMIFS(RAB!$F$14:$F$76,RAB!$C$14:$C$76,C982)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SUMIFS(RAB!$F$14:$F$76,RAB!$C$14:$C$76,C983)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SUMIFS(RAB!$F$14:$F$76,RAB!$C$14:$C$76,C984)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SUMIFS(RAB!$F$14:$F$76,RAB!$C$14:$C$76,C985)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SUMIFS(RAB!$F$14:$F$76,RAB!$C$14:$C$76,C986)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SUMIFS(RAB!$F$14:$F$76,RAB!$C$14:$C$76,C987)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SUMIFS(RAB!$F$14:$F$76,RAB!$C$14:$C$76,C988)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SUMIFS(RAB!$F$14:$F$76,RAB!$C$14:$C$76,C989)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SUMIFS(RAB!$F$14:$F$76,RAB!$C$14:$C$76,C990)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SUMIFS(RAB!$F$14:$F$76,RAB!$C$14:$C$76,C991)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SUMIFS(RAB!$F$14:$F$76,RAB!$C$14:$C$76,C992)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SUMIFS(RAB!$F$14:$F$76,RAB!$C$14:$C$76,C993)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SUMIFS(RAB!$F$14:$F$76,RAB!$C$14:$C$76,C994)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SUMIFS(RAB!$F$14:$F$76,RAB!$C$14:$C$76,C995)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SUMIFS(RAB!$F$14:$F$76,RAB!$C$14:$C$76,C996)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SUMIFS(RAB!$F$14:$F$76,RAB!$C$14:$C$76,C997)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SUMIFS(RAB!$F$14:$F$76,RAB!$C$14:$C$76,C998)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SUMIFS(RAB!$F$14:$F$76,RAB!$C$14:$C$76,C999)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SUMIFS(RAB!$F$14:$F$76,RAB!$C$14:$C$76,C1000)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SUMIFS(RAB!$F$14:$F$76,RAB!$C$14:$C$76,C1001)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SUMIFS(RAB!$F$14:$F$76,RAB!$C$14:$C$76,C1002)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SUMIFS(RAB!$F$14:$F$76,RAB!$C$14:$C$76,C1003)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SUMIFS(RAB!$F$14:$F$76,RAB!$C$14:$C$76,C1004)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SUMIFS(RAB!$F$14:$F$76,RAB!$C$14:$C$76,C1005)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SUMIFS(RAB!$F$14:$F$76,RAB!$C$14:$C$76,C1006)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SUMIFS(RAB!$F$14:$F$76,RAB!$C$14:$C$76,C1007)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SUMIFS(RAB!$F$14:$F$76,RAB!$C$14:$C$76,C1008)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SUMIFS(RAB!$F$14:$F$76,RAB!$C$14:$C$76,C1009)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SUMIFS(RAB!$F$14:$F$76,RAB!$C$14:$C$76,C1010)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SUMIFS(RAB!$F$14:$F$76,RAB!$C$14:$C$76,C1011)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SUMIFS(RAB!$F$14:$F$76,RAB!$C$14:$C$76,C1012)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SUMIFS(RAB!$F$14:$F$76,RAB!$C$14:$C$76,C1013)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SUMIFS(RAB!$F$14:$F$76,RAB!$C$14:$C$76,C1014)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SUMIFS(RAB!$F$14:$F$76,RAB!$C$14:$C$76,C1015)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SUMIFS(RAB!$F$14:$F$76,RAB!$C$14:$C$76,C1016)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SUMIFS(RAB!$F$14:$F$76,RAB!$C$14:$C$76,C1017)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SUMIFS(RAB!$F$14:$F$76,RAB!$C$14:$C$76,C1018)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SUMIFS(RAB!$F$14:$F$76,RAB!$C$14:$C$76,C1019)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SUMIFS(RAB!$F$14:$F$76,RAB!$C$14:$C$76,C1020)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SUMIFS(RAB!$F$14:$F$76,RAB!$C$14:$C$76,C1021)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SUMIFS(RAB!$F$14:$F$76,RAB!$C$14:$C$76,C1022)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SUMIFS(RAB!$F$14:$F$76,RAB!$C$14:$C$76,C1023)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SUMIFS(RAB!$F$14:$F$76,RAB!$C$14:$C$76,C1024)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SUMIFS(RAB!$F$14:$F$76,RAB!$C$14:$C$76,C1025)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SUMIFS(RAB!$F$14:$F$76,RAB!$C$14:$C$76,C1026)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SUMIFS(RAB!$F$14:$F$76,RAB!$C$14:$C$76,C1027)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SUMIFS(RAB!$F$14:$F$76,RAB!$C$14:$C$76,C1028)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SUMIFS(RAB!$F$14:$F$76,RAB!$C$14:$C$76,C1029)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SUMIFS(RAB!$F$14:$F$76,RAB!$C$14:$C$76,C1030)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SUMIFS(RAB!$F$14:$F$76,RAB!$C$14:$C$76,C1031)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SUMIFS(RAB!$F$14:$F$76,RAB!$C$14:$C$76,C1032)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SUMIFS(RAB!$F$14:$F$76,RAB!$C$14:$C$76,C1033)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SUMIFS(RAB!$F$14:$F$76,RAB!$C$14:$C$76,C1034)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SUMIFS(RAB!$F$14:$F$76,RAB!$C$14:$C$76,C1035)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SUMIFS(RAB!$F$14:$F$76,RAB!$C$14:$C$76,C1036)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SUMIFS(RAB!$F$14:$F$76,RAB!$C$14:$C$76,C1037)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SUMIFS(RAB!$F$14:$F$76,RAB!$C$14:$C$76,C1038)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SUMIFS(RAB!$F$14:$F$76,RAB!$C$14:$C$76,C1039)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SUMIFS(RAB!$F$14:$F$76,RAB!$C$14:$C$76,C1040)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SUMIFS(RAB!$F$14:$F$76,RAB!$C$14:$C$76,C1041)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SUMIFS(RAB!$F$14:$F$76,RAB!$C$14:$C$76,C1042)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SUMIFS(RAB!$F$14:$F$76,RAB!$C$14:$C$76,C1043)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SUMIFS(RAB!$F$14:$F$76,RAB!$C$14:$C$76,C1044)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SUMIFS(RAB!$F$14:$F$76,RAB!$C$14:$C$76,C1045)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SUMIFS(RAB!$F$14:$F$76,RAB!$C$14:$C$76,C1046)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SUMIFS(RAB!$F$14:$F$76,RAB!$C$14:$C$76,C1047)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SUMIFS(RAB!$F$14:$F$76,RAB!$C$14:$C$76,C1048)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SUMIFS(RAB!$F$14:$F$76,RAB!$C$14:$C$76,C1049)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SUMIFS(RAB!$F$14:$F$76,RAB!$C$14:$C$76,C1050)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SUMIFS(RAB!$F$14:$F$76,RAB!$C$14:$C$76,C1051)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SUMIFS(RAB!$F$14:$F$76,RAB!$C$14:$C$76,C1052)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SUMIFS(RAB!$F$14:$F$76,RAB!$C$14:$C$76,C1053)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SUMIFS(RAB!$F$14:$F$76,RAB!$C$14:$C$76,C1054)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SUMIFS(RAB!$F$14:$F$76,RAB!$C$14:$C$76,C1055)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SUMIFS(RAB!$F$14:$F$76,RAB!$C$14:$C$76,C1056)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SUMIFS(RAB!$F$14:$F$76,RAB!$C$14:$C$76,C1057)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SUMIFS(RAB!$F$14:$F$76,RAB!$C$14:$C$76,C1058)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SUMIFS(RAB!$F$14:$F$76,RAB!$C$14:$C$76,C1059)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SUMIFS(RAB!$F$14:$F$76,RAB!$C$14:$C$76,C1060)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SUMIFS(RAB!$F$14:$F$76,RAB!$C$14:$C$76,C1061)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SUMIFS(RAB!$F$14:$F$76,RAB!$C$14:$C$76,C1062)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SUMIFS(RAB!$F$14:$F$76,RAB!$C$14:$C$76,C1063)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SUMIFS(RAB!$F$14:$F$76,RAB!$C$14:$C$76,C1064)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SUMIFS(RAB!$F$14:$F$76,RAB!$C$14:$C$76,C1065)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SUMIFS(RAB!$F$14:$F$76,RAB!$C$14:$C$76,C1066)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SUMIFS(RAB!$F$14:$F$76,RAB!$C$14:$C$76,C1067)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SUMIFS(RAB!$F$14:$F$76,RAB!$C$14:$C$76,C1068)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SUMIFS(RAB!$F$14:$F$76,RAB!$C$14:$C$76,C1069)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SUMIFS(RAB!$F$14:$F$76,RAB!$C$14:$C$76,C1070)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SUMIFS(RAB!$F$14:$F$76,RAB!$C$14:$C$76,C1071)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SUMIFS(RAB!$F$14:$F$76,RAB!$C$14:$C$76,C1072)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SUMIFS(RAB!$F$14:$F$76,RAB!$C$14:$C$76,C1073)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SUMIFS(RAB!$F$14:$F$76,RAB!$C$14:$C$76,C1074)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SUMIFS(RAB!$F$14:$F$76,RAB!$C$14:$C$76,C1075)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SUMIFS(RAB!$F$14:$F$76,RAB!$C$14:$C$76,C1076)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SUMIFS(RAB!$F$14:$F$76,RAB!$C$14:$C$76,C1077)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SUMIFS(RAB!$F$14:$F$76,RAB!$C$14:$C$76,C1078)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SUMIFS(RAB!$F$14:$F$76,RAB!$C$14:$C$76,C1079)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SUMIFS(RAB!$F$14:$F$76,RAB!$C$14:$C$76,C1080)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SUMIFS(RAB!$F$14:$F$76,RAB!$C$14:$C$76,C1081)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SUMIFS(RAB!$F$14:$F$76,RAB!$C$14:$C$76,C1082)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SUMIFS(RAB!$F$14:$F$76,RAB!$C$14:$C$76,C1083)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SUMIFS(RAB!$F$14:$F$76,RAB!$C$14:$C$76,C1084)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SUMIFS(RAB!$F$14:$F$76,RAB!$C$14:$C$76,C1085)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SUMIFS(RAB!$F$14:$F$76,RAB!$C$14:$C$76,C1086)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SUMIFS(RAB!$F$14:$F$76,RAB!$C$14:$C$76,C1087)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SUMIFS(RAB!$F$14:$F$76,RAB!$C$14:$C$76,C1088)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SUMIFS(RAB!$F$14:$F$76,RAB!$C$14:$C$76,C1089)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SUMIFS(RAB!$F$14:$F$76,RAB!$C$14:$C$76,C1090)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SUMIFS(RAB!$F$14:$F$76,RAB!$C$14:$C$76,C1091)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SUMIFS(RAB!$F$14:$F$76,RAB!$C$14:$C$76,C1092)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SUMIFS(RAB!$F$14:$F$76,RAB!$C$14:$C$76,C1093)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SUMIFS(RAB!$F$14:$F$76,RAB!$C$14:$C$76,C1094)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SUMIFS(RAB!$F$14:$F$76,RAB!$C$14:$C$76,C1095)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SUMIFS(RAB!$F$14:$F$76,RAB!$C$14:$C$76,C1096)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SUMIFS(RAB!$F$14:$F$76,RAB!$C$14:$C$76,C1097)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SUMIFS(RAB!$F$14:$F$76,RAB!$C$14:$C$76,C1098)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SUMIFS(RAB!$F$14:$F$76,RAB!$C$14:$C$76,C1099)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SUMIFS(RAB!$F$14:$F$76,RAB!$C$14:$C$76,C1100)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SUMIFS(RAB!$F$14:$F$76,RAB!$C$14:$C$76,C1101)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SUMIFS(RAB!$F$14:$F$76,RAB!$C$14:$C$76,C1102)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SUMIFS(RAB!$F$14:$F$76,RAB!$C$14:$C$76,C1103)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SUMIFS(RAB!$F$14:$F$76,RAB!$C$14:$C$76,C1104)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SUMIFS(RAB!$F$14:$F$76,RAB!$C$14:$C$76,C1105)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SUMIFS(RAB!$F$14:$F$76,RAB!$C$14:$C$76,C1106)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SUMIFS(RAB!$F$14:$F$76,RAB!$C$14:$C$76,C1107)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SUMIFS(RAB!$F$14:$F$76,RAB!$C$14:$C$76,C1108)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SUMIFS(RAB!$F$14:$F$76,RAB!$C$14:$C$76,C1109)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SUMIFS(RAB!$F$14:$F$76,RAB!$C$14:$C$76,C1110)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SUMIFS(RAB!$F$14:$F$76,RAB!$C$14:$C$76,C1111)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SUMIFS(RAB!$F$14:$F$76,RAB!$C$14:$C$76,C1112)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SUMIFS(RAB!$F$14:$F$76,RAB!$C$14:$C$76,C1113)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SUMIFS(RAB!$F$14:$F$76,RAB!$C$14:$C$76,C1114)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SUMIFS(RAB!$F$14:$F$76,RAB!$C$14:$C$76,C1115)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SUMIFS(RAB!$F$14:$F$76,RAB!$C$14:$C$76,C1116)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SUMIFS(RAB!$F$14:$F$76,RAB!$C$14:$C$76,C1117)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SUMIFS(RAB!$F$14:$F$76,RAB!$C$14:$C$76,C1118)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SUMIFS(RAB!$F$14:$F$76,RAB!$C$14:$C$76,C1119)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SUMIFS(RAB!$F$14:$F$76,RAB!$C$14:$C$76,C1120)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SUMIFS(RAB!$F$14:$F$76,RAB!$C$14:$C$76,C1121)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SUMIFS(RAB!$F$14:$F$76,RAB!$C$14:$C$76,C1122)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SUMIFS(RAB!$F$14:$F$76,RAB!$C$14:$C$76,C1123)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SUMIFS(RAB!$F$14:$F$76,RAB!$C$14:$C$76,C1124)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SUMIFS(RAB!$F$14:$F$76,RAB!$C$14:$C$76,C1125)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SUMIFS(RAB!$F$14:$F$76,RAB!$C$14:$C$76,C1126)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SUMIFS(RAB!$F$14:$F$76,RAB!$C$14:$C$76,C1127)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SUMIFS(RAB!$F$14:$F$76,RAB!$C$14:$C$76,C1128)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SUMIFS(RAB!$F$14:$F$76,RAB!$C$14:$C$76,C1129)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SUMIFS(RAB!$F$14:$F$76,RAB!$C$14:$C$76,C1130)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SUMIFS(RAB!$F$14:$F$76,RAB!$C$14:$C$76,C1131)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SUMIFS(RAB!$F$14:$F$76,RAB!$C$14:$C$76,C1132)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SUMIFS(RAB!$F$14:$F$76,RAB!$C$14:$C$76,C1133)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SUMIFS(RAB!$F$14:$F$76,RAB!$C$14:$C$76,C1134)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SUMIFS(RAB!$F$14:$F$76,RAB!$C$14:$C$76,C1135)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SUMIFS(RAB!$F$14:$F$76,RAB!$C$14:$C$76,C1136)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SUMIFS(RAB!$F$14:$F$76,RAB!$C$14:$C$76,C1137)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SUMIFS(RAB!$F$14:$F$76,RAB!$C$14:$C$76,C1138)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SUMIFS(RAB!$F$14:$F$76,RAB!$C$14:$C$76,C1139)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SUMIFS(RAB!$F$14:$F$76,RAB!$C$14:$C$76,C1140)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SUMIFS(RAB!$F$14:$F$76,RAB!$C$14:$C$76,C1141)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SUMIFS(RAB!$F$14:$F$76,RAB!$C$14:$C$76,C1142)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SUMIFS(RAB!$F$14:$F$76,RAB!$C$14:$C$76,C1143)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SUMIFS(RAB!$F$14:$F$76,RAB!$C$14:$C$76,C1144)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SUMIFS(RAB!$F$14:$F$76,RAB!$C$14:$C$76,C1145)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SUMIFS(RAB!$F$14:$F$76,RAB!$C$14:$C$76,C1146)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SUMIFS(RAB!$F$14:$F$76,RAB!$C$14:$C$76,C1147)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SUMIFS(RAB!$F$14:$F$76,RAB!$C$14:$C$76,C1148)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SUMIFS(RAB!$F$14:$F$76,RAB!$C$14:$C$76,C1149)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SUMIFS(RAB!$F$14:$F$76,RAB!$C$14:$C$76,C1150)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SUMIFS(RAB!$F$14:$F$76,RAB!$C$14:$C$76,C1151)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SUMIFS(RAB!$F$14:$F$76,RAB!$C$14:$C$76,C1152)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SUMIFS(RAB!$F$14:$F$76,RAB!$C$14:$C$76,C1153)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SUMIFS(RAB!$F$14:$F$76,RAB!$C$14:$C$76,C1154)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SUMIFS(RAB!$F$14:$F$76,RAB!$C$14:$C$76,C1155)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SUMIFS(RAB!$F$14:$F$76,RAB!$C$14:$C$76,C1156)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SUMIFS(RAB!$F$14:$F$76,RAB!$C$14:$C$76,C1157)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SUMIFS(RAB!$F$14:$F$76,RAB!$C$14:$C$76,C1158)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SUMIFS(RAB!$F$14:$F$76,RAB!$C$14:$C$76,C1159)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SUMIFS(RAB!$F$14:$F$76,RAB!$C$14:$C$76,C1160)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SUMIFS(RAB!$F$14:$F$76,RAB!$C$14:$C$76,C1161)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SUMIFS(RAB!$F$14:$F$76,RAB!$C$14:$C$76,C1162)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SUMIFS(RAB!$F$14:$F$76,RAB!$C$14:$C$76,C1163)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SUMIFS(RAB!$F$14:$F$76,RAB!$C$14:$C$76,C1164)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SUMIFS(RAB!$F$14:$F$76,RAB!$C$14:$C$76,C1165)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SUMIFS(RAB!$F$14:$F$76,RAB!$C$14:$C$76,C1166)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SUMIFS(RAB!$F$14:$F$76,RAB!$C$14:$C$76,C1167)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SUMIFS(RAB!$F$14:$F$76,RAB!$C$14:$C$76,C1168)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SUMIFS(RAB!$F$14:$F$76,RAB!$C$14:$C$76,C1169)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SUMIFS(RAB!$F$14:$F$76,RAB!$C$14:$C$76,C1170)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SUMIFS(RAB!$F$14:$F$76,RAB!$C$14:$C$76,C1171)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SUMIFS(RAB!$F$14:$F$76,RAB!$C$14:$C$76,C1172)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SUMIFS(RAB!$F$14:$F$76,RAB!$C$14:$C$76,C1173)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SUMIFS(RAB!$F$14:$F$76,RAB!$C$14:$C$76,C1174)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SUMIFS(RAB!$F$14:$F$76,RAB!$C$14:$C$76,C1175)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SUMIFS(RAB!$F$14:$F$76,RAB!$C$14:$C$76,C1176)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SUMIFS(RAB!$F$14:$F$76,RAB!$C$14:$C$76,C1177)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SUMIFS(RAB!$F$14:$F$76,RAB!$C$14:$C$76,C1178)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SUMIFS(RAB!$F$14:$F$76,RAB!$C$14:$C$76,C1179)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SUMIFS(RAB!$F$14:$F$76,RAB!$C$14:$C$76,C1180)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SUMIFS(RAB!$F$14:$F$76,RAB!$C$14:$C$76,C1181)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SUMIFS(RAB!$F$14:$F$76,RAB!$C$14:$C$76,C1182)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SUMIFS(RAB!$F$14:$F$76,RAB!$C$14:$C$76,C1183)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SUMIFS(RAB!$F$14:$F$76,RAB!$C$14:$C$76,C1184)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SUMIFS(RAB!$F$14:$F$76,RAB!$C$14:$C$76,C1185)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SUMIFS(RAB!$F$14:$F$76,RAB!$C$14:$C$76,C1186)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SUMIFS(RAB!$F$14:$F$76,RAB!$C$14:$C$76,C1187)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SUMIFS(RAB!$F$14:$F$76,RAB!$C$14:$C$76,C1188)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SUMIFS(RAB!$F$14:$F$76,RAB!$C$14:$C$76,C1189)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SUMIFS(RAB!$F$14:$F$76,RAB!$C$14:$C$76,C1190)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SUMIFS(RAB!$F$14:$F$76,RAB!$C$14:$C$76,C1191)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SUMIFS(RAB!$F$14:$F$76,RAB!$C$14:$C$76,C1192)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SUMIFS(RAB!$F$14:$F$76,RAB!$C$14:$C$76,C1193)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SUMIFS(RAB!$F$14:$F$76,RAB!$C$14:$C$76,C1194)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SUMIFS(RAB!$F$14:$F$76,RAB!$C$14:$C$76,C1195)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SUMIFS(RAB!$F$14:$F$76,RAB!$C$14:$C$76,C1196)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SUMIFS(RAB!$F$14:$F$76,RAB!$C$14:$C$76,C1197)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SUMIFS(RAB!$F$14:$F$76,RAB!$C$14:$C$76,C1198)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SUMIFS(RAB!$F$14:$F$76,RAB!$C$14:$C$76,C1199)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SUMIFS(RAB!$F$14:$F$76,RAB!$C$14:$C$76,C1200)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SUMIFS(RAB!$F$14:$F$76,RAB!$C$14:$C$76,C1201)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SUMIFS(RAB!$F$14:$F$76,RAB!$C$14:$C$76,C1202)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SUMIFS(RAB!$F$14:$F$76,RAB!$C$14:$C$76,C1203)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SUMIFS(RAB!$F$14:$F$76,RAB!$C$14:$C$76,C1204)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SUMIFS(RAB!$F$14:$F$76,RAB!$C$14:$C$76,C1205)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SUMIFS(RAB!$F$14:$F$76,RAB!$C$14:$C$76,C1206)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SUMIFS(RAB!$F$14:$F$76,RAB!$C$14:$C$76,C1207)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SUMIFS(RAB!$F$14:$F$76,RAB!$C$14:$C$76,C1208)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SUMIFS(RAB!$F$14:$F$76,RAB!$C$14:$C$76,C1209)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SUMIFS(RAB!$F$14:$F$76,RAB!$C$14:$C$76,C1210)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SUMIFS(RAB!$F$14:$F$76,RAB!$C$14:$C$76,C1211)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SUMIFS(RAB!$F$14:$F$76,RAB!$C$14:$C$76,C1212)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SUMIFS(RAB!$F$14:$F$76,RAB!$C$14:$C$76,C1213)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SUMIFS(RAB!$F$14:$F$76,RAB!$C$14:$C$76,C1214)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SUMIFS(RAB!$F$14:$F$76,RAB!$C$14:$C$76,C1215)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SUMIFS(RAB!$F$14:$F$76,RAB!$C$14:$C$76,C1216)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SUMIFS(RAB!$F$14:$F$76,RAB!$C$14:$C$76,C1217)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SUMIFS(RAB!$F$14:$F$76,RAB!$C$14:$C$76,C1218)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SUMIFS(RAB!$F$14:$F$76,RAB!$C$14:$C$76,C1219)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SUMIFS(RAB!$F$14:$F$76,RAB!$C$14:$C$76,C1220)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SUMIFS(RAB!$F$14:$F$76,RAB!$C$14:$C$76,C1221)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SUMIFS(RAB!$F$14:$F$76,RAB!$C$14:$C$76,C1222)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SUMIFS(RAB!$F$14:$F$76,RAB!$C$14:$C$76,C1223)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SUMIFS(RAB!$F$14:$F$76,RAB!$C$14:$C$76,C1224)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SUMIFS(RAB!$F$14:$F$76,RAB!$C$14:$C$76,C1225)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SUMIFS(RAB!$F$14:$F$76,RAB!$C$14:$C$76,C1226)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SUMIFS(RAB!$F$14:$F$76,RAB!$C$14:$C$76,C1227)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SUMIFS(RAB!$F$14:$F$76,RAB!$C$14:$C$76,C1228)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SUMIFS(RAB!$F$14:$F$76,RAB!$C$14:$C$76,C1229)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SUMIFS(RAB!$F$14:$F$76,RAB!$C$14:$C$76,C1230)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SUMIFS(RAB!$F$14:$F$76,RAB!$C$14:$C$76,C1231)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SUMIFS(RAB!$F$14:$F$76,RAB!$C$14:$C$76,C1232)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SUMIFS(RAB!$F$14:$F$76,RAB!$C$14:$C$76,C1233)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SUMIFS(RAB!$F$14:$F$76,RAB!$C$14:$C$76,C1234)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SUMIFS(RAB!$F$14:$F$76,RAB!$C$14:$C$76,C1235)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SUMIFS(RAB!$F$14:$F$76,RAB!$C$14:$C$76,C1236)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SUMIFS(RAB!$F$14:$F$76,RAB!$C$14:$C$76,C1237)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SUMIFS(RAB!$F$14:$F$76,RAB!$C$14:$C$76,C1238)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SUMIFS(RAB!$F$14:$F$76,RAB!$C$14:$C$76,C1239)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SUMIFS(RAB!$F$14:$F$76,RAB!$C$14:$C$76,C1240)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SUMIFS(RAB!$F$14:$F$76,RAB!$C$14:$C$76,C1241)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SUMIFS(RAB!$F$14:$F$76,RAB!$C$14:$C$76,C1242)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SUMIFS(RAB!$F$14:$F$76,RAB!$C$14:$C$76,C1243)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SUMIFS(RAB!$F$14:$F$76,RAB!$C$14:$C$76,C1244)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SUMIFS(RAB!$F$14:$F$76,RAB!$C$14:$C$76,C1245)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SUMIFS(RAB!$F$14:$F$76,RAB!$C$14:$C$76,C1246)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SUMIFS(RAB!$F$14:$F$76,RAB!$C$14:$C$76,C1247)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SUMIFS(RAB!$F$14:$F$76,RAB!$C$14:$C$76,C1248)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SUMIFS(RAB!$F$14:$F$76,RAB!$C$14:$C$76,C1249)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SUMIFS(RAB!$F$14:$F$76,RAB!$C$14:$C$76,C1250)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SUMIFS(RAB!$F$14:$F$76,RAB!$C$14:$C$76,C1251)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SUMIFS(RAB!$F$14:$F$76,RAB!$C$14:$C$76,C1252)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SUMIFS(RAB!$F$14:$F$76,RAB!$C$14:$C$76,C1253)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SUMIFS(RAB!$F$14:$F$76,RAB!$C$14:$C$76,C1254)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SUMIFS(RAB!$F$14:$F$76,RAB!$C$14:$C$76,C1255)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SUMIFS(RAB!$F$14:$F$76,RAB!$C$14:$C$76,C1256)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SUMIFS(RAB!$F$14:$F$76,RAB!$C$14:$C$76,C1257)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SUMIFS(RAB!$F$14:$F$76,RAB!$C$14:$C$76,C1258)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SUMIFS(RAB!$F$14:$F$76,RAB!$C$14:$C$76,C1259)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SUMIFS(RAB!$F$14:$F$76,RAB!$C$14:$C$76,C1260)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SUMIFS(RAB!$F$14:$F$76,RAB!$C$14:$C$76,C1261)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SUMIFS(RAB!$F$14:$F$76,RAB!$C$14:$C$76,C1262)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SUMIFS(RAB!$F$14:$F$76,RAB!$C$14:$C$76,C1263)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SUMIFS(RAB!$F$14:$F$76,RAB!$C$14:$C$76,C1264)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SUMIFS(RAB!$F$14:$F$76,RAB!$C$14:$C$76,C1265)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SUMIFS(RAB!$F$14:$F$76,RAB!$C$14:$C$76,C1266)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SUMIFS(RAB!$F$14:$F$76,RAB!$C$14:$C$76,C1267)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SUMIFS(RAB!$F$14:$F$76,RAB!$C$14:$C$76,C1268)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SUMIFS(RAB!$F$14:$F$76,RAB!$C$14:$C$76,C1269)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SUMIFS(RAB!$F$14:$F$76,RAB!$C$14:$C$76,C1270)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SUMIFS(RAB!$F$14:$F$76,RAB!$C$14:$C$76,C1271)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SUMIFS(RAB!$F$14:$F$76,RAB!$C$14:$C$76,C1272)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SUMIFS(RAB!$F$14:$F$76,RAB!$C$14:$C$76,C1273)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SUMIFS(RAB!$F$14:$F$76,RAB!$C$14:$C$76,C1274)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SUMIFS(RAB!$F$14:$F$76,RAB!$C$14:$C$76,C1275)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SUMIFS(RAB!$F$14:$F$76,RAB!$C$14:$C$76,C1276)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SUMIFS(RAB!$F$14:$F$76,RAB!$C$14:$C$76,C1277)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SUMIFS(RAB!$F$14:$F$76,RAB!$C$14:$C$76,C1278)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SUMIFS(RAB!$F$14:$F$76,RAB!$C$14:$C$76,C1279)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SUMIFS(RAB!$F$14:$F$76,RAB!$C$14:$C$76,C1280)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SUMIFS(RAB!$F$14:$F$76,RAB!$C$14:$C$76,C1281)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SUMIFS(RAB!$F$14:$F$76,RAB!$C$14:$C$76,C1282)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SUMIFS(RAB!$F$14:$F$76,RAB!$C$14:$C$76,C1283)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SUMIFS(RAB!$F$14:$F$76,RAB!$C$14:$C$76,C1284)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SUMIFS(RAB!$F$14:$F$76,RAB!$C$14:$C$76,C1285)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SUMIFS(RAB!$F$14:$F$76,RAB!$C$14:$C$76,C1286)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SUMIFS(RAB!$F$14:$F$76,RAB!$C$14:$C$76,C1287)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SUMIFS(RAB!$F$14:$F$76,RAB!$C$14:$C$76,C1288)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SUMIFS(RAB!$F$14:$F$76,RAB!$C$14:$C$76,C1289)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SUMIFS(RAB!$F$14:$F$76,RAB!$C$14:$C$76,C1290)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SUMIFS(RAB!$F$14:$F$76,RAB!$C$14:$C$76,C1291)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SUMIFS(RAB!$F$14:$F$76,RAB!$C$14:$C$76,C1292)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SUMIFS(RAB!$F$14:$F$76,RAB!$C$14:$C$76,C1293)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SUMIFS(RAB!$F$14:$F$76,RAB!$C$14:$C$76,C1294)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SUMIFS(RAB!$F$14:$F$76,RAB!$C$14:$C$76,C1295)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SUMIFS(RAB!$F$14:$F$76,RAB!$C$14:$C$76,C1296)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SUMIFS(RAB!$F$14:$F$76,RAB!$C$14:$C$76,C1297)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SUMIFS(RAB!$F$14:$F$76,RAB!$C$14:$C$76,C1298)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SUMIFS(RAB!$F$14:$F$76,RAB!$C$14:$C$76,C1299)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SUMIFS(RAB!$F$14:$F$76,RAB!$C$14:$C$76,C1300)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SUMIFS(RAB!$F$14:$F$76,RAB!$C$14:$C$76,C1301)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SUMIFS(RAB!$F$14:$F$76,RAB!$C$14:$C$76,C1302)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SUMIFS(RAB!$F$14:$F$76,RAB!$C$14:$C$76,C1303)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SUMIFS(RAB!$F$14:$F$76,RAB!$C$14:$C$76,C1304)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SUMIFS(RAB!$F$14:$F$76,RAB!$C$14:$C$76,C1305)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SUMIFS(RAB!$F$14:$F$76,RAB!$C$14:$C$76,C1306)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SUMIFS(RAB!$F$14:$F$76,RAB!$C$14:$C$76,C1307)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SUMIFS(RAB!$F$14:$F$76,RAB!$C$14:$C$76,C1308)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SUMIFS(RAB!$F$14:$F$76,RAB!$C$14:$C$76,C1309)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SUMIFS(RAB!$F$14:$F$76,RAB!$C$14:$C$76,C1310)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SUMIFS(RAB!$F$14:$F$76,RAB!$C$14:$C$76,C1311)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SUMIFS(RAB!$F$14:$F$76,RAB!$C$14:$C$76,C1312)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SUMIFS(RAB!$F$14:$F$76,RAB!$C$14:$C$76,C1313)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SUMIFS(RAB!$F$14:$F$76,RAB!$C$14:$C$76,C1314)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SUMIFS(RAB!$F$14:$F$76,RAB!$C$14:$C$76,C1315)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SUMIFS(RAB!$F$14:$F$76,RAB!$C$14:$C$76,C1316)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SUMIFS(RAB!$F$14:$F$76,RAB!$C$14:$C$76,C1317)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SUMIFS(RAB!$F$14:$F$76,RAB!$C$14:$C$76,C1318)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SUMIFS(RAB!$F$14:$F$76,RAB!$C$14:$C$76,C1319)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SUMIFS(RAB!$F$14:$F$76,RAB!$C$14:$C$76,C1320)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1127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5" t="str">
        <f>RAB!G6</f>
        <v>PD INDOMARET KEDUNGWUNGU 17,6-33KVA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DSN KEDUNGWUNGU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9" t="s">
        <v>41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46</v>
      </c>
      <c r="I12" s="546" t="s">
        <v>5</v>
      </c>
      <c r="J12" s="538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6" t="s">
        <v>1008</v>
      </c>
      <c r="D38" s="556"/>
      <c r="E38" s="556"/>
      <c r="F38" s="556"/>
      <c r="G38" s="77" t="s">
        <v>9</v>
      </c>
      <c r="H38" s="55">
        <f ca="1">SUM(H14:H37)</f>
        <v>0</v>
      </c>
      <c r="I38" s="55">
        <f ca="1">SUM(I14:I37)</f>
        <v>5800000</v>
      </c>
      <c r="J38" s="55">
        <f ca="1">SUM(J14:J37)</f>
        <v>0</v>
      </c>
      <c r="K38" s="55">
        <f ca="1">SUM(K14:K37)</f>
        <v>5800000</v>
      </c>
      <c r="L38" s="44"/>
      <c r="R38" s="99"/>
      <c r="S38" s="99"/>
      <c r="T38" s="99"/>
    </row>
    <row r="39" spans="1:20" s="36" customFormat="1">
      <c r="A39" s="30"/>
      <c r="B39" s="56"/>
      <c r="C39" s="557" t="s">
        <v>462</v>
      </c>
      <c r="D39" s="557"/>
      <c r="E39" s="557"/>
      <c r="F39" s="557"/>
      <c r="G39" s="59" t="s">
        <v>9</v>
      </c>
      <c r="H39" s="60">
        <f ca="1">H38*0.1</f>
        <v>0</v>
      </c>
      <c r="I39" s="60">
        <f ca="1">I38*0.1</f>
        <v>580000</v>
      </c>
      <c r="J39" s="60">
        <f ca="1">J38*0.1</f>
        <v>0</v>
      </c>
      <c r="K39" s="60">
        <f ca="1">K38*0.1</f>
        <v>580000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8" t="s">
        <v>463</v>
      </c>
      <c r="D40" s="548"/>
      <c r="E40" s="548"/>
      <c r="F40" s="548"/>
      <c r="G40" s="61" t="s">
        <v>9</v>
      </c>
      <c r="H40" s="78">
        <f ca="1">SUM(H38:H39)</f>
        <v>0</v>
      </c>
      <c r="I40" s="78">
        <f ca="1">SUM(I38:I39)</f>
        <v>6380000</v>
      </c>
      <c r="J40" s="61">
        <f ca="1">SUM(J38:J39)</f>
        <v>0</v>
      </c>
      <c r="K40" s="61">
        <f ca="1">SUM(K38:K39)</f>
        <v>6380000</v>
      </c>
      <c r="L40" s="44"/>
      <c r="R40" s="99"/>
      <c r="S40" s="99"/>
      <c r="T40" s="99"/>
    </row>
    <row r="41" spans="1:20" s="36" customFormat="1">
      <c r="A41" s="30"/>
      <c r="B41" s="549" t="e">
        <f ca="1">"Terbilang : ( "&amp;L42&amp;" Rupiah )"</f>
        <v>#NAME?</v>
      </c>
      <c r="C41" s="550"/>
      <c r="D41" s="550"/>
      <c r="E41" s="550"/>
      <c r="F41" s="550"/>
      <c r="G41" s="550"/>
      <c r="H41" s="550"/>
      <c r="I41" s="550"/>
      <c r="J41" s="550"/>
      <c r="K41" s="551"/>
      <c r="L41" s="44"/>
      <c r="R41" s="58"/>
      <c r="S41" s="58"/>
      <c r="T41" s="58"/>
    </row>
    <row r="42" spans="1:20" s="36" customFormat="1">
      <c r="A42" s="30"/>
      <c r="B42" s="552"/>
      <c r="C42" s="553"/>
      <c r="D42" s="553"/>
      <c r="E42" s="553"/>
      <c r="F42" s="553"/>
      <c r="G42" s="553"/>
      <c r="H42" s="553"/>
      <c r="I42" s="553"/>
      <c r="J42" s="553"/>
      <c r="K42" s="554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3"/>
      <c r="I45" s="543"/>
      <c r="J45" s="544"/>
      <c r="K45" s="54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3"/>
      <c r="I46" s="543"/>
      <c r="J46" s="544"/>
      <c r="K46" s="54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3"/>
      <c r="I47" s="543"/>
      <c r="J47" s="544"/>
      <c r="K47" s="54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3"/>
      <c r="I52" s="543"/>
      <c r="J52" s="544"/>
      <c r="K52" s="54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SUMIFS(RAB!$F$14:$F$76,RAB!$C$14:$C$76,'REKAP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SUMIFS(RAB!$F$14:$F$76,RAB!$C$14:$C$76,'REKAP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SUMIFS(RAB!$F$14:$F$76,RAB!$C$14:$C$76,'REKAP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SUMIFS(RAB!$F$14:$F$76,RAB!$C$14:$C$76,'REKAP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SUMIFS(RAB!$F$14:$F$76,RAB!$C$14:$C$76,'REKAP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SUMIFS(RAB!$F$14:$F$76,RAB!$C$14:$C$76,'REKAP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SUMIFS(RAB!$F$14:$F$76,RAB!$C$14:$C$76,'REKAP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SUMIFS(RAB!$F$14:$F$76,RAB!$C$14:$C$76,'REKAP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SUMIFS(RAB!$F$14:$F$76,RAB!$C$14:$C$76,'REKAP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SUMIFS(RAB!$F$14:$F$76,RAB!$C$14:$C$76,'REKAP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SUMIFS(RAB!$F$14:$F$76,RAB!$C$14:$C$76,'REKAP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SUMIFS(RAB!$F$14:$F$76,RAB!$C$14:$C$76,'REKAP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SUMIFS(RAB!$F$14:$F$76,RAB!$C$14:$C$76,'REKAP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SUMIFS(RAB!$F$14:$F$76,RAB!$C$14:$C$76,'REKAP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SUMIFS(RAB!$F$14:$F$76,RAB!$C$14:$C$76,'REKAP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SUMIFS(RAB!$F$14:$F$76,RAB!$C$14:$C$76,'REKAP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SUMIFS(RAB!$F$14:$F$76,RAB!$C$14:$C$76,'REKAP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SUMIFS(RAB!$F$14:$F$76,RAB!$C$14:$C$76,'REKAP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SUMIFS(RAB!$F$14:$F$76,RAB!$C$14:$C$76,'REKAP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SUMIFS(RAB!$F$14:$F$76,RAB!$C$14:$C$76,'REKAP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21" sqref="G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1034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5" t="str">
        <f>RAB!G6</f>
        <v>PD INDOMARET KEDUNGWUNGU 17,6-33KVA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DSN KEDUNGWUNGU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9" t="s">
        <v>41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46</v>
      </c>
      <c r="I12" s="546" t="s">
        <v>5</v>
      </c>
      <c r="J12" s="538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3x35+1x35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35</v>
      </c>
      <c r="G18" s="41">
        <f ca="1">IF(ISERROR(OFFSET('HARGA SATUAN'!$I$6,MATCH(C18,'HARGA SATUAN'!$C$7:$C$1495,0),0)),"",OFFSET('HARGA SATUAN'!$I$6,MATCH(C18,'HARGA SATUAN'!$C$7:$C$1495,0),0))</f>
        <v>30400</v>
      </c>
      <c r="H18" s="42">
        <f t="shared" ca="1" si="1"/>
        <v>1064000</v>
      </c>
      <c r="I18" s="42">
        <f t="shared" ca="1" si="2"/>
        <v>0</v>
      </c>
      <c r="J18" s="42">
        <f t="shared" ca="1" si="3"/>
        <v>0</v>
      </c>
      <c r="K18" s="43">
        <f t="shared" ca="1" si="0"/>
        <v>1064000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NFA2X-T 3x70+1x70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50</v>
      </c>
      <c r="G19" s="41">
        <f ca="1">IF(ISERROR(OFFSET('HARGA SATUAN'!$I$6,MATCH(C19,'HARGA SATUAN'!$C$7:$C$1495,0),0)),"",OFFSET('HARGA SATUAN'!$I$6,MATCH(C19,'HARGA SATUAN'!$C$7:$C$1495,0),0))</f>
        <v>54500</v>
      </c>
      <c r="H19" s="42">
        <f t="shared" ca="1" si="1"/>
        <v>2725000</v>
      </c>
      <c r="I19" s="42">
        <f t="shared" ca="1" si="2"/>
        <v>0</v>
      </c>
      <c r="J19" s="42">
        <f t="shared" ca="1" si="3"/>
        <v>0</v>
      </c>
      <c r="K19" s="43">
        <f t="shared" ca="1" si="0"/>
        <v>2725000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6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96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ref="C81:C144" ca="1" si="14">IF(ISERROR(OFFSET($C$223,MATCH(A97,$F$224:$F$373,0),0)),"",OFFSET($C$223,MATCH(A97,$F$224:$F$373,0),0))</f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5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5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5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5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5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5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5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5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5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6">IF(OR(D116="MDU",D116="MDU-KD"),G116*F116,0)</f>
        <v>0</v>
      </c>
      <c r="I116" s="42">
        <f t="shared" ref="I116:I165" ca="1" si="17">IF(D116="HDW",G116*F116,0)</f>
        <v>0</v>
      </c>
      <c r="J116" s="42">
        <f t="shared" ref="J116:J165" ca="1" si="18">IF(D116="JASA",G116*F116,0)</f>
        <v>0</v>
      </c>
      <c r="K116" s="43">
        <f t="shared" ref="K116:K165" ca="1" si="19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6"/>
        <v>0</v>
      </c>
      <c r="I117" s="42">
        <f t="shared" ca="1" si="17"/>
        <v>0</v>
      </c>
      <c r="J117" s="42">
        <f t="shared" ca="1" si="18"/>
        <v>0</v>
      </c>
      <c r="K117" s="43">
        <f t="shared" ca="1" si="19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6"/>
        <v>0</v>
      </c>
      <c r="I118" s="42">
        <f t="shared" ca="1" si="17"/>
        <v>0</v>
      </c>
      <c r="J118" s="42">
        <f t="shared" ca="1" si="18"/>
        <v>0</v>
      </c>
      <c r="K118" s="43">
        <f t="shared" ca="1" si="19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6"/>
        <v>0</v>
      </c>
      <c r="I119" s="42">
        <f t="shared" ca="1" si="17"/>
        <v>0</v>
      </c>
      <c r="J119" s="42">
        <f t="shared" ca="1" si="18"/>
        <v>0</v>
      </c>
      <c r="K119" s="43">
        <f t="shared" ca="1" si="19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6"/>
        <v>0</v>
      </c>
      <c r="I120" s="42">
        <f t="shared" ca="1" si="17"/>
        <v>0</v>
      </c>
      <c r="J120" s="42">
        <f t="shared" ca="1" si="18"/>
        <v>0</v>
      </c>
      <c r="K120" s="43">
        <f t="shared" ca="1" si="19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6"/>
        <v>0</v>
      </c>
      <c r="I121" s="42">
        <f t="shared" ca="1" si="17"/>
        <v>0</v>
      </c>
      <c r="J121" s="42">
        <f t="shared" ca="1" si="18"/>
        <v>0</v>
      </c>
      <c r="K121" s="43">
        <f t="shared" ca="1" si="19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6"/>
        <v>0</v>
      </c>
      <c r="I122" s="42">
        <f t="shared" ca="1" si="17"/>
        <v>0</v>
      </c>
      <c r="J122" s="42">
        <f t="shared" ca="1" si="18"/>
        <v>0</v>
      </c>
      <c r="K122" s="43">
        <f t="shared" ca="1" si="19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6"/>
        <v>0</v>
      </c>
      <c r="I123" s="42">
        <f t="shared" ca="1" si="17"/>
        <v>0</v>
      </c>
      <c r="J123" s="42">
        <f t="shared" ca="1" si="18"/>
        <v>0</v>
      </c>
      <c r="K123" s="43">
        <f t="shared" ca="1" si="19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6"/>
        <v>0</v>
      </c>
      <c r="I124" s="42">
        <f t="shared" ca="1" si="17"/>
        <v>0</v>
      </c>
      <c r="J124" s="42">
        <f t="shared" ca="1" si="18"/>
        <v>0</v>
      </c>
      <c r="K124" s="43">
        <f t="shared" ca="1" si="19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6"/>
        <v>0</v>
      </c>
      <c r="I125" s="42">
        <f t="shared" ca="1" si="17"/>
        <v>0</v>
      </c>
      <c r="J125" s="42">
        <f t="shared" ca="1" si="18"/>
        <v>0</v>
      </c>
      <c r="K125" s="43">
        <f t="shared" ca="1" si="19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6"/>
        <v>0</v>
      </c>
      <c r="I126" s="42">
        <f t="shared" ca="1" si="17"/>
        <v>0</v>
      </c>
      <c r="J126" s="42">
        <f t="shared" ca="1" si="18"/>
        <v>0</v>
      </c>
      <c r="K126" s="43">
        <f t="shared" ca="1" si="19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6"/>
        <v>0</v>
      </c>
      <c r="I127" s="42">
        <f t="shared" ca="1" si="17"/>
        <v>0</v>
      </c>
      <c r="J127" s="42">
        <f t="shared" ca="1" si="18"/>
        <v>0</v>
      </c>
      <c r="K127" s="43">
        <f t="shared" ca="1" si="19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6"/>
        <v>0</v>
      </c>
      <c r="I128" s="42">
        <f t="shared" ca="1" si="17"/>
        <v>0</v>
      </c>
      <c r="J128" s="42">
        <f t="shared" ca="1" si="18"/>
        <v>0</v>
      </c>
      <c r="K128" s="43">
        <f t="shared" ca="1" si="19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6"/>
        <v>0</v>
      </c>
      <c r="I129" s="42">
        <f t="shared" ca="1" si="17"/>
        <v>0</v>
      </c>
      <c r="J129" s="42">
        <f t="shared" ca="1" si="18"/>
        <v>0</v>
      </c>
      <c r="K129" s="43">
        <f t="shared" ca="1" si="19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6"/>
        <v>0</v>
      </c>
      <c r="I130" s="42">
        <f t="shared" ca="1" si="17"/>
        <v>0</v>
      </c>
      <c r="J130" s="42">
        <f t="shared" ca="1" si="18"/>
        <v>0</v>
      </c>
      <c r="K130" s="43">
        <f t="shared" ca="1" si="19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6"/>
        <v>0</v>
      </c>
      <c r="I131" s="42">
        <f t="shared" ca="1" si="17"/>
        <v>0</v>
      </c>
      <c r="J131" s="42">
        <f t="shared" ca="1" si="18"/>
        <v>0</v>
      </c>
      <c r="K131" s="43">
        <f t="shared" ca="1" si="19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6"/>
        <v>0</v>
      </c>
      <c r="I132" s="42">
        <f t="shared" ca="1" si="17"/>
        <v>0</v>
      </c>
      <c r="J132" s="42">
        <f t="shared" ca="1" si="18"/>
        <v>0</v>
      </c>
      <c r="K132" s="43">
        <f t="shared" ca="1" si="19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6"/>
        <v>0</v>
      </c>
      <c r="I133" s="42">
        <f t="shared" ca="1" si="17"/>
        <v>0</v>
      </c>
      <c r="J133" s="42">
        <f t="shared" ca="1" si="18"/>
        <v>0</v>
      </c>
      <c r="K133" s="43">
        <f t="shared" ca="1" si="19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6"/>
        <v>0</v>
      </c>
      <c r="I134" s="42">
        <f t="shared" ca="1" si="17"/>
        <v>0</v>
      </c>
      <c r="J134" s="42">
        <f t="shared" ca="1" si="18"/>
        <v>0</v>
      </c>
      <c r="K134" s="43">
        <f t="shared" ca="1" si="19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6"/>
        <v>0</v>
      </c>
      <c r="I135" s="42">
        <f t="shared" ca="1" si="17"/>
        <v>0</v>
      </c>
      <c r="J135" s="42">
        <f t="shared" ca="1" si="18"/>
        <v>0</v>
      </c>
      <c r="K135" s="43">
        <f t="shared" ca="1" si="19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6"/>
        <v>0</v>
      </c>
      <c r="I136" s="42">
        <f t="shared" ca="1" si="17"/>
        <v>0</v>
      </c>
      <c r="J136" s="42">
        <f t="shared" ca="1" si="18"/>
        <v>0</v>
      </c>
      <c r="K136" s="43">
        <f t="shared" ca="1" si="19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6"/>
        <v>0</v>
      </c>
      <c r="I137" s="42">
        <f t="shared" ca="1" si="17"/>
        <v>0</v>
      </c>
      <c r="J137" s="42">
        <f t="shared" ca="1" si="18"/>
        <v>0</v>
      </c>
      <c r="K137" s="43">
        <f t="shared" ca="1" si="19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6"/>
        <v>0</v>
      </c>
      <c r="I138" s="42">
        <f t="shared" ca="1" si="17"/>
        <v>0</v>
      </c>
      <c r="J138" s="42">
        <f t="shared" ca="1" si="18"/>
        <v>0</v>
      </c>
      <c r="K138" s="43">
        <f t="shared" ca="1" si="19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6"/>
        <v>0</v>
      </c>
      <c r="I139" s="42">
        <f t="shared" ca="1" si="17"/>
        <v>0</v>
      </c>
      <c r="J139" s="42">
        <f t="shared" ca="1" si="18"/>
        <v>0</v>
      </c>
      <c r="K139" s="43">
        <f t="shared" ca="1" si="19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6"/>
        <v>0</v>
      </c>
      <c r="I140" s="42">
        <f t="shared" ca="1" si="17"/>
        <v>0</v>
      </c>
      <c r="J140" s="42">
        <f t="shared" ca="1" si="18"/>
        <v>0</v>
      </c>
      <c r="K140" s="43">
        <f t="shared" ca="1" si="19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4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6"/>
        <v>0</v>
      </c>
      <c r="I141" s="42">
        <f t="shared" ca="1" si="17"/>
        <v>0</v>
      </c>
      <c r="J141" s="42">
        <f t="shared" ca="1" si="18"/>
        <v>0</v>
      </c>
      <c r="K141" s="43">
        <f t="shared" ca="1" si="19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4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6"/>
        <v>0</v>
      </c>
      <c r="I142" s="42">
        <f t="shared" ca="1" si="17"/>
        <v>0</v>
      </c>
      <c r="J142" s="42">
        <f t="shared" ca="1" si="18"/>
        <v>0</v>
      </c>
      <c r="K142" s="43">
        <f t="shared" ca="1" si="19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4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6"/>
        <v>0</v>
      </c>
      <c r="I143" s="42">
        <f t="shared" ca="1" si="17"/>
        <v>0</v>
      </c>
      <c r="J143" s="42">
        <f t="shared" ca="1" si="18"/>
        <v>0</v>
      </c>
      <c r="K143" s="43">
        <f t="shared" ca="1" si="19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4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6"/>
        <v>0</v>
      </c>
      <c r="I144" s="42">
        <f t="shared" ca="1" si="17"/>
        <v>0</v>
      </c>
      <c r="J144" s="42">
        <f t="shared" ca="1" si="18"/>
        <v>0</v>
      </c>
      <c r="K144" s="43">
        <f t="shared" ca="1" si="19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20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1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6"/>
        <v>0</v>
      </c>
      <c r="I145" s="42">
        <f t="shared" ca="1" si="17"/>
        <v>0</v>
      </c>
      <c r="J145" s="42">
        <f t="shared" ca="1" si="18"/>
        <v>0</v>
      </c>
      <c r="K145" s="43">
        <f t="shared" ca="1" si="19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20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1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6"/>
        <v>0</v>
      </c>
      <c r="I146" s="42">
        <f t="shared" ca="1" si="17"/>
        <v>0</v>
      </c>
      <c r="J146" s="42">
        <f t="shared" ca="1" si="18"/>
        <v>0</v>
      </c>
      <c r="K146" s="43">
        <f t="shared" ca="1" si="19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20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1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6"/>
        <v>0</v>
      </c>
      <c r="I147" s="42">
        <f t="shared" ca="1" si="17"/>
        <v>0</v>
      </c>
      <c r="J147" s="42">
        <f t="shared" ca="1" si="18"/>
        <v>0</v>
      </c>
      <c r="K147" s="43">
        <f t="shared" ca="1" si="19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20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1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6"/>
        <v>0</v>
      </c>
      <c r="I148" s="42">
        <f t="shared" ca="1" si="17"/>
        <v>0</v>
      </c>
      <c r="J148" s="42">
        <f t="shared" ca="1" si="18"/>
        <v>0</v>
      </c>
      <c r="K148" s="43">
        <f t="shared" ca="1" si="19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20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1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6"/>
        <v>0</v>
      </c>
      <c r="I149" s="42">
        <f t="shared" ca="1" si="17"/>
        <v>0</v>
      </c>
      <c r="J149" s="42">
        <f t="shared" ca="1" si="18"/>
        <v>0</v>
      </c>
      <c r="K149" s="43">
        <f t="shared" ca="1" si="19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20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1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6"/>
        <v>0</v>
      </c>
      <c r="I150" s="42">
        <f t="shared" ca="1" si="17"/>
        <v>0</v>
      </c>
      <c r="J150" s="42">
        <f t="shared" ca="1" si="18"/>
        <v>0</v>
      </c>
      <c r="K150" s="43">
        <f t="shared" ca="1" si="19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20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1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6"/>
        <v>0</v>
      </c>
      <c r="I151" s="42">
        <f t="shared" ca="1" si="17"/>
        <v>0</v>
      </c>
      <c r="J151" s="42">
        <f t="shared" ca="1" si="18"/>
        <v>0</v>
      </c>
      <c r="K151" s="43">
        <f t="shared" ca="1" si="19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20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1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6"/>
        <v>0</v>
      </c>
      <c r="I152" s="42">
        <f t="shared" ca="1" si="17"/>
        <v>0</v>
      </c>
      <c r="J152" s="42">
        <f t="shared" ca="1" si="18"/>
        <v>0</v>
      </c>
      <c r="K152" s="43">
        <f t="shared" ca="1" si="19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20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1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6"/>
        <v>0</v>
      </c>
      <c r="I153" s="42">
        <f t="shared" ca="1" si="17"/>
        <v>0</v>
      </c>
      <c r="J153" s="42">
        <f t="shared" ca="1" si="18"/>
        <v>0</v>
      </c>
      <c r="K153" s="43">
        <f t="shared" ca="1" si="19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20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1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6"/>
        <v>0</v>
      </c>
      <c r="I154" s="42">
        <f t="shared" ca="1" si="17"/>
        <v>0</v>
      </c>
      <c r="J154" s="42">
        <f t="shared" ca="1" si="18"/>
        <v>0</v>
      </c>
      <c r="K154" s="43">
        <f t="shared" ca="1" si="19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20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1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6"/>
        <v>0</v>
      </c>
      <c r="I155" s="42">
        <f t="shared" ca="1" si="17"/>
        <v>0</v>
      </c>
      <c r="J155" s="42">
        <f t="shared" ca="1" si="18"/>
        <v>0</v>
      </c>
      <c r="K155" s="43">
        <f t="shared" ca="1" si="19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20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1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6"/>
        <v>0</v>
      </c>
      <c r="I156" s="42">
        <f t="shared" ca="1" si="17"/>
        <v>0</v>
      </c>
      <c r="J156" s="42">
        <f t="shared" ca="1" si="18"/>
        <v>0</v>
      </c>
      <c r="K156" s="43">
        <f t="shared" ca="1" si="19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20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1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6"/>
        <v>0</v>
      </c>
      <c r="I157" s="42">
        <f t="shared" ca="1" si="17"/>
        <v>0</v>
      </c>
      <c r="J157" s="42">
        <f t="shared" ca="1" si="18"/>
        <v>0</v>
      </c>
      <c r="K157" s="43">
        <f t="shared" ca="1" si="19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20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1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6"/>
        <v>0</v>
      </c>
      <c r="I158" s="42">
        <f t="shared" ca="1" si="17"/>
        <v>0</v>
      </c>
      <c r="J158" s="42">
        <f t="shared" ca="1" si="18"/>
        <v>0</v>
      </c>
      <c r="K158" s="43">
        <f t="shared" ca="1" si="19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20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1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6"/>
        <v>0</v>
      </c>
      <c r="I159" s="42">
        <f t="shared" ca="1" si="17"/>
        <v>0</v>
      </c>
      <c r="J159" s="42">
        <f t="shared" ca="1" si="18"/>
        <v>0</v>
      </c>
      <c r="K159" s="43">
        <f t="shared" ca="1" si="19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20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1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6"/>
        <v>0</v>
      </c>
      <c r="I160" s="42">
        <f t="shared" ca="1" si="17"/>
        <v>0</v>
      </c>
      <c r="J160" s="42">
        <f t="shared" ca="1" si="18"/>
        <v>0</v>
      </c>
      <c r="K160" s="43">
        <f t="shared" ca="1" si="19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20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1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6"/>
        <v>0</v>
      </c>
      <c r="I161" s="42">
        <f t="shared" ca="1" si="17"/>
        <v>0</v>
      </c>
      <c r="J161" s="42">
        <f t="shared" ca="1" si="18"/>
        <v>0</v>
      </c>
      <c r="K161" s="43">
        <f t="shared" ca="1" si="19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20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1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6"/>
        <v>0</v>
      </c>
      <c r="I162" s="42">
        <f t="shared" ca="1" si="17"/>
        <v>0</v>
      </c>
      <c r="J162" s="42">
        <f t="shared" ca="1" si="18"/>
        <v>0</v>
      </c>
      <c r="K162" s="43">
        <f t="shared" ca="1" si="19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20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1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6"/>
        <v>0</v>
      </c>
      <c r="I163" s="42">
        <f t="shared" ca="1" si="17"/>
        <v>0</v>
      </c>
      <c r="J163" s="42">
        <f t="shared" ca="1" si="18"/>
        <v>0</v>
      </c>
      <c r="K163" s="43">
        <f t="shared" ca="1" si="19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20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1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6"/>
        <v>0</v>
      </c>
      <c r="I164" s="42">
        <f t="shared" ca="1" si="17"/>
        <v>0</v>
      </c>
      <c r="J164" s="42">
        <f t="shared" ca="1" si="18"/>
        <v>0</v>
      </c>
      <c r="K164" s="43">
        <f t="shared" ca="1" si="19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20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1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6"/>
        <v>0</v>
      </c>
      <c r="I165" s="42">
        <f t="shared" ca="1" si="17"/>
        <v>0</v>
      </c>
      <c r="J165" s="42">
        <f t="shared" ca="1" si="18"/>
        <v>0</v>
      </c>
      <c r="K165" s="43">
        <f t="shared" ca="1" si="19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6" t="s">
        <v>1008</v>
      </c>
      <c r="D168" s="556"/>
      <c r="E168" s="556"/>
      <c r="F168" s="556"/>
      <c r="G168" s="77" t="s">
        <v>9</v>
      </c>
      <c r="H168" s="55">
        <f ca="1">SUM(H14:H167)</f>
        <v>8781300</v>
      </c>
      <c r="I168" s="55">
        <f ca="1">SUM(I14:I167)</f>
        <v>0</v>
      </c>
      <c r="J168" s="55">
        <f ca="1">SUM(J14:J167)</f>
        <v>0</v>
      </c>
      <c r="K168" s="55">
        <f ca="1">SUM(K14:K167)</f>
        <v>8781300</v>
      </c>
      <c r="L168" s="44"/>
      <c r="R168" s="99"/>
      <c r="S168" s="99"/>
      <c r="T168" s="99"/>
    </row>
    <row r="169" spans="1:20" s="36" customFormat="1">
      <c r="A169" s="30"/>
      <c r="B169" s="56"/>
      <c r="C169" s="557" t="s">
        <v>462</v>
      </c>
      <c r="D169" s="557"/>
      <c r="E169" s="557"/>
      <c r="F169" s="557"/>
      <c r="G169" s="59" t="s">
        <v>9</v>
      </c>
      <c r="H169" s="60">
        <f ca="1">H168*0.1</f>
        <v>878130</v>
      </c>
      <c r="I169" s="60">
        <f ca="1">I168*0.1</f>
        <v>0</v>
      </c>
      <c r="J169" s="60">
        <f ca="1">J168*0.1</f>
        <v>0</v>
      </c>
      <c r="K169" s="60">
        <f ca="1">K168*0.1</f>
        <v>878130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8" t="s">
        <v>463</v>
      </c>
      <c r="D170" s="548"/>
      <c r="E170" s="548"/>
      <c r="F170" s="548"/>
      <c r="G170" s="61" t="s">
        <v>9</v>
      </c>
      <c r="H170" s="78">
        <f ca="1">SUM(H168:H169)</f>
        <v>9659430</v>
      </c>
      <c r="I170" s="78">
        <f ca="1">SUM(I168:I169)</f>
        <v>0</v>
      </c>
      <c r="J170" s="61">
        <f ca="1">SUM(J168:J169)</f>
        <v>0</v>
      </c>
      <c r="K170" s="61">
        <f ca="1">SUM(K168:K169)</f>
        <v>9659430</v>
      </c>
      <c r="L170" s="44"/>
      <c r="R170" s="99"/>
      <c r="S170" s="99"/>
      <c r="T170" s="99"/>
    </row>
    <row r="171" spans="1:20" s="36" customFormat="1">
      <c r="A171" s="30"/>
      <c r="B171" s="549" t="e">
        <f ca="1">"Terbilang : ( "&amp;L172&amp;" Rupiah )"</f>
        <v>#NAME?</v>
      </c>
      <c r="C171" s="550"/>
      <c r="D171" s="550"/>
      <c r="E171" s="550"/>
      <c r="F171" s="550"/>
      <c r="G171" s="550"/>
      <c r="H171" s="550"/>
      <c r="I171" s="550"/>
      <c r="J171" s="550"/>
      <c r="K171" s="551"/>
      <c r="L171" s="44"/>
      <c r="R171" s="58"/>
      <c r="S171" s="58"/>
      <c r="T171" s="58"/>
    </row>
    <row r="172" spans="1:20" s="36" customFormat="1">
      <c r="A172" s="30"/>
      <c r="B172" s="552"/>
      <c r="C172" s="553"/>
      <c r="D172" s="553"/>
      <c r="E172" s="553"/>
      <c r="F172" s="553"/>
      <c r="G172" s="553"/>
      <c r="H172" s="553"/>
      <c r="I172" s="553"/>
      <c r="J172" s="553"/>
      <c r="K172" s="554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3"/>
      <c r="I175" s="543"/>
      <c r="J175" s="544"/>
      <c r="K175" s="54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3"/>
      <c r="I176" s="543"/>
      <c r="J176" s="544"/>
      <c r="K176" s="54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3"/>
      <c r="I177" s="543"/>
      <c r="J177" s="544"/>
      <c r="K177" s="54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3"/>
      <c r="I182" s="543"/>
      <c r="J182" s="544"/>
      <c r="K182" s="54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SUMIFS(RAB!$F$14:$F$76,RAB!$C$14:$C$76,C224)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SUMIFS(RAB!$F$14:$F$76,RAB!$C$14:$C$76,C225)</f>
        <v>0</v>
      </c>
      <c r="E225" s="24">
        <f t="shared" ref="E225:E288" ca="1" si="22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SUMIFS(RAB!$F$14:$F$76,RAB!$C$14:$C$76,C226)</f>
        <v>0</v>
      </c>
      <c r="E226" s="24">
        <f t="shared" ca="1" si="22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SUMIFS(RAB!$F$14:$F$76,RAB!$C$14:$C$76,C227)</f>
        <v>0</v>
      </c>
      <c r="E227" s="24">
        <f t="shared" ca="1" si="22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SUMIFS(RAB!$F$14:$F$76,RAB!$C$14:$C$76,C228)</f>
        <v>1</v>
      </c>
      <c r="E228" s="24">
        <f t="shared" ca="1" si="22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SUMIFS(RAB!$F$14:$F$76,RAB!$C$14:$C$76,C229)</f>
        <v>0</v>
      </c>
      <c r="E229" s="24">
        <f t="shared" ca="1" si="22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SUMIFS(RAB!$F$14:$F$76,RAB!$C$14:$C$76,C230)</f>
        <v>0</v>
      </c>
      <c r="E230" s="24">
        <f t="shared" ca="1" si="22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SUMIFS(RAB!$F$14:$F$76,RAB!$C$14:$C$76,C231)</f>
        <v>0</v>
      </c>
      <c r="E231" s="24">
        <f t="shared" ca="1" si="22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SUMIFS(RAB!$F$14:$F$76,RAB!$C$14:$C$76,C232)</f>
        <v>0</v>
      </c>
      <c r="E232" s="24">
        <f t="shared" ca="1" si="22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SUMIFS(RAB!$F$14:$F$76,RAB!$C$14:$C$76,C233)</f>
        <v>0</v>
      </c>
      <c r="E233" s="24">
        <f t="shared" ca="1" si="22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SUMIFS(RAB!$F$14:$F$76,RAB!$C$14:$C$76,C234)</f>
        <v>0</v>
      </c>
      <c r="E234" s="24">
        <f t="shared" ca="1" si="22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SUMIFS(RAB!$F$14:$F$76,RAB!$C$14:$C$76,C235)</f>
        <v>0</v>
      </c>
      <c r="E235" s="24">
        <f t="shared" ca="1" si="22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SUMIFS(RAB!$F$14:$F$76,RAB!$C$14:$C$76,C236)</f>
        <v>0</v>
      </c>
      <c r="E236" s="24">
        <f t="shared" ca="1" si="22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SUMIFS(RAB!$F$14:$F$76,RAB!$C$14:$C$76,C237)</f>
        <v>0</v>
      </c>
      <c r="E237" s="24">
        <f t="shared" ca="1" si="22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SUMIFS(RAB!$F$14:$F$76,RAB!$C$14:$C$76,C238)</f>
        <v>0</v>
      </c>
      <c r="E238" s="24">
        <f t="shared" ca="1" si="22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SUMIFS(RAB!$F$14:$F$76,RAB!$C$14:$C$76,C239)</f>
        <v>0</v>
      </c>
      <c r="E239" s="24">
        <f t="shared" ca="1" si="22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SUMIFS(RAB!$F$14:$F$76,RAB!$C$14:$C$76,C240)</f>
        <v>0</v>
      </c>
      <c r="E240" s="24">
        <f t="shared" ca="1" si="22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SUMIFS(RAB!$F$14:$F$76,RAB!$C$14:$C$76,C241)</f>
        <v>0</v>
      </c>
      <c r="E241" s="24">
        <f t="shared" ca="1" si="22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SUMIFS(RAB!$F$14:$F$76,RAB!$C$14:$C$76,C242)</f>
        <v>0</v>
      </c>
      <c r="E242" s="24">
        <f t="shared" ca="1" si="22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SUMIFS(RAB!$F$14:$F$76,RAB!$C$14:$C$76,C243)</f>
        <v>0</v>
      </c>
      <c r="E243" s="24">
        <f t="shared" ca="1" si="22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SUMIFS(RAB!$F$14:$F$76,RAB!$C$14:$C$76,C244)</f>
        <v>0</v>
      </c>
      <c r="E244" s="24">
        <f t="shared" ca="1" si="22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SUMIFS(RAB!$F$14:$F$76,RAB!$C$14:$C$76,C245)</f>
        <v>0</v>
      </c>
      <c r="E245" s="24">
        <f t="shared" ca="1" si="22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SUMIFS(RAB!$F$14:$F$76,RAB!$C$14:$C$76,C246)</f>
        <v>0</v>
      </c>
      <c r="E246" s="24">
        <f t="shared" ca="1" si="22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SUMIFS(RAB!$F$14:$F$76,RAB!$C$14:$C$76,C247)</f>
        <v>0</v>
      </c>
      <c r="E247" s="24">
        <f t="shared" ca="1" si="22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SUMIFS(RAB!$F$14:$F$76,RAB!$C$14:$C$76,C248)</f>
        <v>0</v>
      </c>
      <c r="E248" s="24">
        <f t="shared" ca="1" si="22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SUMIFS(RAB!$F$14:$F$76,RAB!$C$14:$C$76,C249)</f>
        <v>0</v>
      </c>
      <c r="E249" s="24">
        <f t="shared" ca="1" si="22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SUMIFS(RAB!$F$14:$F$76,RAB!$C$14:$C$76,C250)</f>
        <v>0</v>
      </c>
      <c r="E250" s="24">
        <f t="shared" ca="1" si="22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SUMIFS(RAB!$F$14:$F$76,RAB!$C$14:$C$76,C251)</f>
        <v>0</v>
      </c>
      <c r="E251" s="24">
        <f t="shared" ca="1" si="22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SUMIFS(RAB!$F$14:$F$76,RAB!$C$14:$C$76,C252)</f>
        <v>0</v>
      </c>
      <c r="E252" s="24">
        <f t="shared" ca="1" si="22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SUMIFS(RAB!$F$14:$F$76,RAB!$C$14:$C$76,C253)</f>
        <v>0</v>
      </c>
      <c r="E253" s="24">
        <f t="shared" ca="1" si="22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SUMIFS(RAB!$F$14:$F$76,RAB!$C$14:$C$76,C254)</f>
        <v>0</v>
      </c>
      <c r="E254" s="24">
        <f t="shared" ca="1" si="22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SUMIFS(RAB!$F$14:$F$76,RAB!$C$14:$C$76,C255)</f>
        <v>0</v>
      </c>
      <c r="E255" s="24">
        <f t="shared" ca="1" si="22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SUMIFS(RAB!$F$14:$F$76,RAB!$C$14:$C$76,C256)</f>
        <v>0</v>
      </c>
      <c r="E256" s="24">
        <f t="shared" ca="1" si="22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SUMIFS(RAB!$F$14:$F$76,RAB!$C$14:$C$76,C257)</f>
        <v>0</v>
      </c>
      <c r="E257" s="24">
        <f t="shared" ca="1" si="22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SUMIFS(RAB!$F$14:$F$76,RAB!$C$14:$C$76,C258)</f>
        <v>0</v>
      </c>
      <c r="E258" s="24">
        <f t="shared" ca="1" si="22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SUMIFS(RAB!$F$14:$F$76,RAB!$C$14:$C$76,C259)</f>
        <v>0</v>
      </c>
      <c r="E259" s="24">
        <f t="shared" ca="1" si="22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SUMIFS(RAB!$F$14:$F$76,RAB!$C$14:$C$76,C260)</f>
        <v>0</v>
      </c>
      <c r="E260" s="24">
        <f t="shared" ca="1" si="22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SUMIFS(RAB!$F$14:$F$76,RAB!$C$14:$C$76,C261)</f>
        <v>0</v>
      </c>
      <c r="E261" s="24">
        <f t="shared" ca="1" si="22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SUMIFS(RAB!$F$14:$F$76,RAB!$C$14:$C$76,C262)</f>
        <v>0</v>
      </c>
      <c r="E262" s="24">
        <f t="shared" ca="1" si="22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SUMIFS(RAB!$F$14:$F$76,RAB!$C$14:$C$76,C263)</f>
        <v>0</v>
      </c>
      <c r="E263" s="24">
        <f t="shared" ca="1" si="22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SUMIFS(RAB!$F$14:$F$76,RAB!$C$14:$C$76,C264)</f>
        <v>0</v>
      </c>
      <c r="E264" s="24">
        <f t="shared" ca="1" si="22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SUMIFS(RAB!$F$14:$F$76,RAB!$C$14:$C$76,C265)</f>
        <v>0</v>
      </c>
      <c r="E265" s="24">
        <f t="shared" ca="1" si="22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SUMIFS(RAB!$F$14:$F$76,RAB!$C$14:$C$76,C266)</f>
        <v>0</v>
      </c>
      <c r="E266" s="24">
        <f t="shared" ca="1" si="22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SUMIFS(RAB!$F$14:$F$76,RAB!$C$14:$C$76,C267)</f>
        <v>0</v>
      </c>
      <c r="E267" s="24">
        <f t="shared" ca="1" si="22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SUMIFS(RAB!$F$14:$F$76,RAB!$C$14:$C$76,C268)</f>
        <v>0</v>
      </c>
      <c r="E268" s="24">
        <f t="shared" ca="1" si="22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SUMIFS(RAB!$F$14:$F$76,RAB!$C$14:$C$76,C269)</f>
        <v>0</v>
      </c>
      <c r="E269" s="24">
        <f t="shared" ca="1" si="22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SUMIFS(RAB!$F$14:$F$76,RAB!$C$14:$C$76,C270)</f>
        <v>0</v>
      </c>
      <c r="E270" s="24">
        <f t="shared" ca="1" si="22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SUMIFS(RAB!$F$14:$F$76,RAB!$C$14:$C$76,C271)</f>
        <v>0</v>
      </c>
      <c r="E271" s="24">
        <f t="shared" ca="1" si="22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SUMIFS(RAB!$F$14:$F$76,RAB!$C$14:$C$76,C272)</f>
        <v>0</v>
      </c>
      <c r="E272" s="24">
        <f t="shared" ca="1" si="22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SUMIFS(RAB!$F$14:$F$76,RAB!$C$14:$C$76,C273)</f>
        <v>0</v>
      </c>
      <c r="E273" s="24">
        <f t="shared" ca="1" si="22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SUMIFS(RAB!$F$14:$F$76,RAB!$C$14:$C$76,C274)</f>
        <v>0</v>
      </c>
      <c r="E274" s="24">
        <f t="shared" ca="1" si="22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SUMIFS(RAB!$F$14:$F$76,RAB!$C$14:$C$76,C275)</f>
        <v>0</v>
      </c>
      <c r="E275" s="24">
        <f t="shared" ca="1" si="22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SUMIFS(RAB!$F$14:$F$76,RAB!$C$14:$C$76,C276)</f>
        <v>0</v>
      </c>
      <c r="E276" s="24">
        <f t="shared" ca="1" si="22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SUMIFS(RAB!$F$14:$F$76,RAB!$C$14:$C$76,C277)</f>
        <v>0</v>
      </c>
      <c r="E277" s="24">
        <f t="shared" ca="1" si="22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SUMIFS(RAB!$F$14:$F$76,RAB!$C$14:$C$76,C278)</f>
        <v>0</v>
      </c>
      <c r="E278" s="24">
        <f t="shared" ca="1" si="22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SUMIFS(RAB!$F$14:$F$76,RAB!$C$14:$C$76,C279)</f>
        <v>0</v>
      </c>
      <c r="E279" s="24">
        <f t="shared" ca="1" si="22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SUMIFS(RAB!$F$14:$F$76,RAB!$C$14:$C$76,C280)</f>
        <v>0</v>
      </c>
      <c r="E280" s="24">
        <f t="shared" ca="1" si="22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SUMIFS(RAB!$F$14:$F$76,RAB!$C$14:$C$76,C281)</f>
        <v>0</v>
      </c>
      <c r="E281" s="24">
        <f t="shared" ca="1" si="22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SUMIFS(RAB!$F$14:$F$76,RAB!$C$14:$C$76,C282)</f>
        <v>0</v>
      </c>
      <c r="E282" s="24">
        <f t="shared" ca="1" si="22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SUMIFS(RAB!$F$14:$F$76,RAB!$C$14:$C$76,C283)</f>
        <v>0</v>
      </c>
      <c r="E283" s="24">
        <f t="shared" ca="1" si="22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SUMIFS(RAB!$F$14:$F$76,RAB!$C$14:$C$76,C284)</f>
        <v>0</v>
      </c>
      <c r="E284" s="24">
        <f t="shared" ca="1" si="22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SUMIFS(RAB!$F$14:$F$76,RAB!$C$14:$C$76,C285)</f>
        <v>0</v>
      </c>
      <c r="E285" s="24">
        <f t="shared" ca="1" si="22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SUMIFS(RAB!$F$14:$F$76,RAB!$C$14:$C$76,C286)</f>
        <v>0</v>
      </c>
      <c r="E286" s="24">
        <f t="shared" ca="1" si="22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SUMIFS(RAB!$F$14:$F$76,RAB!$C$14:$C$76,C287)</f>
        <v>0</v>
      </c>
      <c r="E287" s="24">
        <f t="shared" ca="1" si="22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SUMIFS(RAB!$F$14:$F$76,RAB!$C$14:$C$76,C288)</f>
        <v>0</v>
      </c>
      <c r="E288" s="24">
        <f t="shared" ca="1" si="22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SUMIFS(RAB!$F$14:$F$76,RAB!$C$14:$C$76,C289)</f>
        <v>0</v>
      </c>
      <c r="E289" s="24">
        <f t="shared" ref="E289:E352" ca="1" si="23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SUMIFS(RAB!$F$14:$F$76,RAB!$C$14:$C$76,C290)</f>
        <v>0</v>
      </c>
      <c r="E290" s="24">
        <f t="shared" ca="1" si="23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SUMIFS(RAB!$F$14:$F$76,RAB!$C$14:$C$76,C291)</f>
        <v>1</v>
      </c>
      <c r="E291" s="24">
        <f t="shared" ca="1" si="23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SUMIFS(RAB!$F$14:$F$76,RAB!$C$14:$C$76,C292)</f>
        <v>0</v>
      </c>
      <c r="E292" s="24">
        <f t="shared" ca="1" si="23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SUMIFS(RAB!$F$14:$F$76,RAB!$C$14:$C$76,C293)</f>
        <v>0</v>
      </c>
      <c r="E293" s="24">
        <f t="shared" ca="1" si="23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SUMIFS(RAB!$F$14:$F$76,RAB!$C$14:$C$76,C294)</f>
        <v>0</v>
      </c>
      <c r="E294" s="24">
        <f t="shared" ca="1" si="23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SUMIFS(RAB!$F$14:$F$76,RAB!$C$14:$C$76,C295)</f>
        <v>0</v>
      </c>
      <c r="E295" s="24">
        <f t="shared" ca="1" si="23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SUMIFS(RAB!$F$14:$F$76,RAB!$C$14:$C$76,C296)</f>
        <v>0</v>
      </c>
      <c r="E296" s="24">
        <f t="shared" ca="1" si="23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SUMIFS(RAB!$F$14:$F$76,RAB!$C$14:$C$76,C297)</f>
        <v>0</v>
      </c>
      <c r="E297" s="24">
        <f t="shared" ca="1" si="23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SUMIFS(RAB!$F$14:$F$76,RAB!$C$14:$C$76,C298)</f>
        <v>0</v>
      </c>
      <c r="E298" s="24">
        <f t="shared" ca="1" si="23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SUMIFS(RAB!$F$14:$F$76,RAB!$C$14:$C$76,C299)</f>
        <v>0</v>
      </c>
      <c r="E299" s="24">
        <f t="shared" ca="1" si="23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SUMIFS(RAB!$F$14:$F$76,RAB!$C$14:$C$76,C300)</f>
        <v>0</v>
      </c>
      <c r="E300" s="24">
        <f t="shared" ca="1" si="23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SUMIFS(RAB!$F$14:$F$76,RAB!$C$14:$C$76,C301)</f>
        <v>0</v>
      </c>
      <c r="E301" s="24">
        <f t="shared" ca="1" si="23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SUMIFS(RAB!$F$14:$F$76,RAB!$C$14:$C$76,C302)</f>
        <v>0</v>
      </c>
      <c r="E302" s="24">
        <f t="shared" ca="1" si="23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SUMIFS(RAB!$F$14:$F$76,RAB!$C$14:$C$76,C303)</f>
        <v>0</v>
      </c>
      <c r="E303" s="24">
        <f t="shared" ca="1" si="23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SUMIFS(RAB!$F$14:$F$76,RAB!$C$14:$C$76,C304)</f>
        <v>0</v>
      </c>
      <c r="E304" s="24">
        <f t="shared" ca="1" si="23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SUMIFS(RAB!$F$14:$F$76,RAB!$C$14:$C$76,C305)</f>
        <v>0</v>
      </c>
      <c r="E305" s="24">
        <f t="shared" ca="1" si="23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SUMIFS(RAB!$F$14:$F$76,RAB!$C$14:$C$76,C306)</f>
        <v>0</v>
      </c>
      <c r="E306" s="24">
        <f t="shared" ca="1" si="23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SUMIFS(RAB!$F$14:$F$76,RAB!$C$14:$C$76,C307)</f>
        <v>0</v>
      </c>
      <c r="E307" s="24">
        <f t="shared" ca="1" si="23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SUMIFS(RAB!$F$14:$F$76,RAB!$C$14:$C$76,C308)</f>
        <v>0</v>
      </c>
      <c r="E308" s="24">
        <f t="shared" ca="1" si="23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SUMIFS(RAB!$F$14:$F$76,RAB!$C$14:$C$76,C309)</f>
        <v>0</v>
      </c>
      <c r="E309" s="24">
        <f t="shared" ca="1" si="23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SUMIFS(RAB!$F$14:$F$76,RAB!$C$14:$C$76,C310)</f>
        <v>0</v>
      </c>
      <c r="E310" s="24">
        <f t="shared" ca="1" si="23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SUMIFS(RAB!$F$14:$F$76,RAB!$C$14:$C$76,C311)</f>
        <v>0</v>
      </c>
      <c r="E311" s="24">
        <f t="shared" ca="1" si="23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SUMIFS(RAB!$F$14:$F$76,RAB!$C$14:$C$76,C312)</f>
        <v>0</v>
      </c>
      <c r="E312" s="24">
        <f t="shared" ca="1" si="23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SUMIFS(RAB!$F$14:$F$76,RAB!$C$14:$C$76,C313)</f>
        <v>0</v>
      </c>
      <c r="E313" s="24">
        <f t="shared" ca="1" si="23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SUMIFS(RAB!$F$14:$F$76,RAB!$C$14:$C$76,C314)</f>
        <v>0</v>
      </c>
      <c r="E314" s="24">
        <f t="shared" ca="1" si="23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SUMIFS(RAB!$F$14:$F$76,RAB!$C$14:$C$76,C315)</f>
        <v>0</v>
      </c>
      <c r="E315" s="24">
        <f t="shared" ca="1" si="23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SUMIFS(RAB!$F$14:$F$76,RAB!$C$14:$C$76,C316)</f>
        <v>0</v>
      </c>
      <c r="E316" s="24">
        <f t="shared" ca="1" si="23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SUMIFS(RAB!$F$14:$F$76,RAB!$C$14:$C$76,C317)</f>
        <v>0</v>
      </c>
      <c r="E317" s="24">
        <f t="shared" ca="1" si="23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SUMIFS(RAB!$F$14:$F$76,RAB!$C$14:$C$76,C318)</f>
        <v>0</v>
      </c>
      <c r="E318" s="24">
        <f t="shared" ca="1" si="23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SUMIFS(RAB!$F$14:$F$76,RAB!$C$14:$C$76,C319)</f>
        <v>0</v>
      </c>
      <c r="E319" s="24">
        <f t="shared" ca="1" si="23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SUMIFS(RAB!$F$14:$F$76,RAB!$C$14:$C$76,C320)</f>
        <v>0</v>
      </c>
      <c r="E320" s="24">
        <f t="shared" ca="1" si="23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SUMIFS(RAB!$F$14:$F$76,RAB!$C$14:$C$76,C321)</f>
        <v>0</v>
      </c>
      <c r="E321" s="24">
        <f t="shared" ca="1" si="23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SUMIFS(RAB!$F$14:$F$76,RAB!$C$14:$C$76,C322)</f>
        <v>0</v>
      </c>
      <c r="E322" s="24">
        <f t="shared" ca="1" si="23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SUMIFS(RAB!$F$14:$F$76,RAB!$C$14:$C$76,C323)</f>
        <v>0</v>
      </c>
      <c r="E323" s="24">
        <f t="shared" ca="1" si="23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SUMIFS(RAB!$F$14:$F$76,RAB!$C$14:$C$76,C324)</f>
        <v>0</v>
      </c>
      <c r="E324" s="24">
        <f t="shared" ca="1" si="23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SUMIFS(RAB!$F$14:$F$76,RAB!$C$14:$C$76,C325)</f>
        <v>0</v>
      </c>
      <c r="E325" s="24">
        <f t="shared" ca="1" si="23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SUMIFS(RAB!$F$14:$F$76,RAB!$C$14:$C$76,C326)</f>
        <v>0</v>
      </c>
      <c r="E326" s="24">
        <f t="shared" ca="1" si="23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SUMIFS(RAB!$F$14:$F$76,RAB!$C$14:$C$76,C327)</f>
        <v>0</v>
      </c>
      <c r="E327" s="24">
        <f t="shared" ca="1" si="23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SUMIFS(RAB!$F$14:$F$76,RAB!$C$14:$C$76,C328)</f>
        <v>0</v>
      </c>
      <c r="E328" s="24">
        <f t="shared" ca="1" si="23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SUMIFS(RAB!$F$14:$F$76,RAB!$C$14:$C$76,C329)</f>
        <v>0</v>
      </c>
      <c r="E329" s="24">
        <f t="shared" ca="1" si="23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SUMIFS(RAB!$F$14:$F$76,RAB!$C$14:$C$76,C330)</f>
        <v>0</v>
      </c>
      <c r="E330" s="24">
        <f t="shared" ca="1" si="23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SUMIFS(RAB!$F$14:$F$76,RAB!$C$14:$C$76,C331)</f>
        <v>0</v>
      </c>
      <c r="E331" s="24">
        <f t="shared" ca="1" si="23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SUMIFS(RAB!$F$14:$F$76,RAB!$C$14:$C$76,C332)</f>
        <v>0</v>
      </c>
      <c r="E332" s="24">
        <f t="shared" ca="1" si="23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SUMIFS(RAB!$F$14:$F$76,RAB!$C$14:$C$76,C333)</f>
        <v>0</v>
      </c>
      <c r="E333" s="24">
        <f t="shared" ca="1" si="23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SUMIFS(RAB!$F$14:$F$76,RAB!$C$14:$C$76,C334)</f>
        <v>0</v>
      </c>
      <c r="E334" s="24">
        <f t="shared" ca="1" si="23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SUMIFS(RAB!$F$14:$F$76,RAB!$C$14:$C$76,C335)</f>
        <v>0</v>
      </c>
      <c r="E335" s="24">
        <f t="shared" ca="1" si="23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SUMIFS(RAB!$F$14:$F$76,RAB!$C$14:$C$76,C336)</f>
        <v>0</v>
      </c>
      <c r="E336" s="24">
        <f t="shared" ca="1" si="23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SUMIFS(RAB!$F$14:$F$76,RAB!$C$14:$C$76,C337)</f>
        <v>0</v>
      </c>
      <c r="E337" s="24">
        <f t="shared" ca="1" si="23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SUMIFS(RAB!$F$14:$F$76,RAB!$C$14:$C$76,C338)</f>
        <v>0</v>
      </c>
      <c r="E338" s="24">
        <f t="shared" ca="1" si="23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SUMIFS(RAB!$F$14:$F$76,RAB!$C$14:$C$76,C339)</f>
        <v>0</v>
      </c>
      <c r="E339" s="24">
        <f t="shared" ca="1" si="23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SUMIFS(RAB!$F$14:$F$76,RAB!$C$14:$C$76,C340)</f>
        <v>0</v>
      </c>
      <c r="E340" s="24">
        <f t="shared" ca="1" si="23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SUMIFS(RAB!$F$14:$F$76,RAB!$C$14:$C$76,C341)</f>
        <v>0</v>
      </c>
      <c r="E341" s="24">
        <f t="shared" ca="1" si="23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SUMIFS(RAB!$F$14:$F$76,RAB!$C$14:$C$76,C342)</f>
        <v>0</v>
      </c>
      <c r="E342" s="24">
        <f t="shared" ca="1" si="23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SUMIFS(RAB!$F$14:$F$76,RAB!$C$14:$C$76,C343)</f>
        <v>0</v>
      </c>
      <c r="E343" s="24">
        <f t="shared" ca="1" si="23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SUMIFS(RAB!$F$14:$F$76,RAB!$C$14:$C$76,C344)</f>
        <v>0</v>
      </c>
      <c r="E344" s="24">
        <f t="shared" ca="1" si="23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SUMIFS(RAB!$F$14:$F$76,RAB!$C$14:$C$76,C345)</f>
        <v>0</v>
      </c>
      <c r="E345" s="24">
        <f t="shared" ca="1" si="23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SUMIFS(RAB!$F$14:$F$76,RAB!$C$14:$C$76,C346)</f>
        <v>0</v>
      </c>
      <c r="E346" s="24">
        <f t="shared" ca="1" si="23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SUMIFS(RAB!$F$14:$F$76,RAB!$C$14:$C$76,C347)</f>
        <v>35</v>
      </c>
      <c r="E347" s="24">
        <f t="shared" ca="1" si="23"/>
        <v>1</v>
      </c>
      <c r="F347" s="24">
        <f ca="1">IF(D347=0,0,SUM($E$223:E347))</f>
        <v>3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SUMIFS(RAB!$F$14:$F$76,RAB!$C$14:$C$76,C348)</f>
        <v>50</v>
      </c>
      <c r="E348" s="24">
        <f t="shared" ca="1" si="23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SUMIFS(RAB!$F$14:$F$76,RAB!$C$14:$C$76,C349)</f>
        <v>0</v>
      </c>
      <c r="E349" s="24">
        <f t="shared" ca="1" si="23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SUMIFS(RAB!$F$14:$F$76,RAB!$C$14:$C$76,C350)</f>
        <v>0</v>
      </c>
      <c r="E350" s="24">
        <f t="shared" ca="1" si="23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SUMIFS(RAB!$F$14:$F$76,RAB!$C$14:$C$76,C351)</f>
        <v>0</v>
      </c>
      <c r="E351" s="24">
        <f t="shared" ca="1" si="23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SUMIFS(RAB!$F$14:$F$76,RAB!$C$14:$C$76,C352)</f>
        <v>0</v>
      </c>
      <c r="E352" s="24">
        <f t="shared" ca="1" si="23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SUMIFS(RAB!$F$14:$F$76,RAB!$C$14:$C$76,C353)</f>
        <v>0</v>
      </c>
      <c r="E353" s="24">
        <f t="shared" ref="E353:E373" ca="1" si="24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SUMIFS(RAB!$F$14:$F$76,RAB!$C$14:$C$76,C354)</f>
        <v>0</v>
      </c>
      <c r="E354" s="24">
        <f t="shared" ca="1" si="24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SUMIFS(RAB!$F$14:$F$76,RAB!$C$14:$C$76,C355)</f>
        <v>0</v>
      </c>
      <c r="E355" s="24">
        <f t="shared" ca="1" si="24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SUMIFS(RAB!$F$14:$F$76,RAB!$C$14:$C$76,C356)</f>
        <v>0</v>
      </c>
      <c r="E356" s="24">
        <f t="shared" ca="1" si="24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SUMIFS(RAB!$F$14:$F$76,RAB!$C$14:$C$76,C357)</f>
        <v>0</v>
      </c>
      <c r="E357" s="24">
        <f t="shared" ca="1" si="24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SUMIFS(RAB!$F$14:$F$76,RAB!$C$14:$C$76,C358)</f>
        <v>0</v>
      </c>
      <c r="E358" s="24">
        <f t="shared" ca="1" si="24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SUMIFS(RAB!$F$14:$F$76,RAB!$C$14:$C$76,C359)</f>
        <v>0</v>
      </c>
      <c r="E359" s="24">
        <f t="shared" ca="1" si="24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SUMIFS(RAB!$F$14:$F$76,RAB!$C$14:$C$76,C360)</f>
        <v>0</v>
      </c>
      <c r="E360" s="24">
        <f t="shared" ca="1" si="24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SUMIFS(RAB!$F$14:$F$76,RAB!$C$14:$C$76,C361)</f>
        <v>0</v>
      </c>
      <c r="E361" s="24">
        <f t="shared" ca="1" si="24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SUMIFS(RAB!$F$14:$F$76,RAB!$C$14:$C$76,C362)</f>
        <v>0</v>
      </c>
      <c r="E362" s="24">
        <f t="shared" ca="1" si="24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SUMIFS(RAB!$F$14:$F$76,RAB!$C$14:$C$76,C363)</f>
        <v>0</v>
      </c>
      <c r="E363" s="24">
        <f t="shared" ca="1" si="24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SUMIFS(RAB!$F$14:$F$76,RAB!$C$14:$C$76,C364)</f>
        <v>0</v>
      </c>
      <c r="E364" s="24">
        <f t="shared" ca="1" si="24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SUMIFS(RAB!$F$14:$F$76,RAB!$C$14:$C$76,C365)</f>
        <v>0</v>
      </c>
      <c r="E365" s="24">
        <f t="shared" ca="1" si="24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SUMIFS(RAB!$F$14:$F$76,RAB!$C$14:$C$76,C366)</f>
        <v>0</v>
      </c>
      <c r="E366" s="24">
        <f t="shared" ca="1" si="24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SUMIFS(RAB!$F$14:$F$76,RAB!$C$14:$C$76,C367)</f>
        <v>0</v>
      </c>
      <c r="E367" s="24">
        <f t="shared" ca="1" si="24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SUMIFS(RAB!$F$14:$F$76,RAB!$C$14:$C$76,C368)</f>
        <v>0</v>
      </c>
      <c r="E368" s="24">
        <f t="shared" ca="1" si="24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SUMIFS(RAB!$F$14:$F$76,RAB!$C$14:$C$76,C369)</f>
        <v>0</v>
      </c>
      <c r="E369" s="24">
        <f t="shared" ca="1" si="24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SUMIFS(RAB!$F$14:$F$76,RAB!$C$14:$C$76,C370)</f>
        <v>0</v>
      </c>
      <c r="E370" s="24">
        <f t="shared" ca="1" si="24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SUMIFS(RAB!$F$14:$F$76,RAB!$C$14:$C$76,C371)</f>
        <v>0</v>
      </c>
      <c r="E371" s="24">
        <f t="shared" ca="1" si="24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SUMIFS(RAB!$F$14:$F$76,RAB!$C$14:$C$76,C372)</f>
        <v>0</v>
      </c>
      <c r="E372" s="24">
        <f t="shared" ca="1" si="24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SUMIFS(RAB!$F$14:$F$76,RAB!$C$14:$C$76,C373)</f>
        <v>0</v>
      </c>
      <c r="E373" s="24">
        <f t="shared" ca="1" si="24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373" activePane="bottomRight" state="frozen"/>
      <selection activeCell="D209" sqref="D209"/>
      <selection pane="topRight" activeCell="D209" sqref="D209"/>
      <selection pane="bottomLeft" activeCell="D209" sqref="D209"/>
      <selection pane="bottomRight" activeCell="C1382" sqref="C138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9" t="s">
        <v>41</v>
      </c>
      <c r="C2" s="55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0" t="s">
        <v>23</v>
      </c>
      <c r="C4" s="561" t="s">
        <v>1012</v>
      </c>
      <c r="D4" s="561" t="s">
        <v>42</v>
      </c>
      <c r="E4" s="560" t="s">
        <v>43</v>
      </c>
      <c r="F4" s="108" t="s">
        <v>1599</v>
      </c>
      <c r="G4" s="108" t="s">
        <v>1598</v>
      </c>
      <c r="H4" s="558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0"/>
      <c r="C5" s="561"/>
      <c r="D5" s="561"/>
      <c r="E5" s="560"/>
      <c r="F5" s="93"/>
      <c r="G5" s="93"/>
      <c r="H5" s="558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7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3" priority="4" operator="equal">
      <formula>0</formula>
    </cfRule>
  </conditionalFormatting>
  <conditionalFormatting sqref="B217 D217:G217">
    <cfRule type="cellIs" dxfId="32" priority="11" operator="equal">
      <formula>0</formula>
    </cfRule>
  </conditionalFormatting>
  <conditionalFormatting sqref="B8:C135">
    <cfRule type="cellIs" dxfId="31" priority="66" operator="equal">
      <formula>0</formula>
    </cfRule>
  </conditionalFormatting>
  <conditionalFormatting sqref="B216:G216">
    <cfRule type="cellIs" dxfId="30" priority="16" operator="equal">
      <formula>0</formula>
    </cfRule>
  </conditionalFormatting>
  <conditionalFormatting sqref="B218:G1496">
    <cfRule type="cellIs" dxfId="29" priority="1" operator="equal">
      <formula>0</formula>
    </cfRule>
  </conditionalFormatting>
  <conditionalFormatting sqref="C143:G149">
    <cfRule type="cellIs" dxfId="28" priority="20" operator="equal">
      <formula>0</formula>
    </cfRule>
  </conditionalFormatting>
  <conditionalFormatting sqref="D9:G142">
    <cfRule type="cellIs" dxfId="27" priority="26" operator="equal">
      <formula>0</formula>
    </cfRule>
  </conditionalFormatting>
  <conditionalFormatting sqref="D1:IV5 A1:C7 D6:K6 H1458:IV1460 H1461:XFD1488 H1489:H1496 I1489:XFD1497 A1497:H1497 A1498:XFD65539">
    <cfRule type="cellIs" dxfId="26" priority="178" operator="equal">
      <formula>0</formula>
    </cfRule>
  </conditionalFormatting>
  <conditionalFormatting sqref="D7:IV8 C136:C142 B136:B149 B150:G213 B214:B215 D214:G215">
    <cfRule type="cellIs" dxfId="25" priority="77" operator="equal">
      <formula>0</formula>
    </cfRule>
  </conditionalFormatting>
  <conditionalFormatting sqref="H9:H1421">
    <cfRule type="cellIs" dxfId="24" priority="3" operator="equal">
      <formula>0</formula>
    </cfRule>
  </conditionalFormatting>
  <conditionalFormatting sqref="H1422:I1457">
    <cfRule type="cellIs" dxfId="23" priority="143" operator="equal">
      <formula>0</formula>
    </cfRule>
  </conditionalFormatting>
  <conditionalFormatting sqref="I108:I1421">
    <cfRule type="cellIs" dxfId="22" priority="2" operator="equal">
      <formula>0</formula>
    </cfRule>
  </conditionalFormatting>
  <conditionalFormatting sqref="I9:IV107">
    <cfRule type="cellIs" dxfId="21" priority="153" operator="equal">
      <formula>0</formula>
    </cfRule>
  </conditionalFormatting>
  <conditionalFormatting sqref="J108:IV1457">
    <cfRule type="cellIs" dxfId="20" priority="5" operator="equal">
      <formula>0</formula>
    </cfRule>
  </conditionalFormatting>
  <conditionalFormatting sqref="M6:IV6">
    <cfRule type="cellIs" dxfId="19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55" zoomScaleNormal="55" zoomScaleSheetLayoutView="85" workbookViewId="0">
      <selection activeCell="O18" sqref="O18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3" t="s">
        <v>1453</v>
      </c>
      <c r="C2" s="593"/>
      <c r="D2" s="593"/>
      <c r="E2" s="593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8" t="s">
        <v>1528</v>
      </c>
      <c r="C4" s="599"/>
      <c r="D4" s="599"/>
      <c r="E4" s="600"/>
      <c r="F4" s="372"/>
      <c r="G4" s="372"/>
      <c r="H4" s="373"/>
      <c r="I4" s="562" t="s">
        <v>1529</v>
      </c>
      <c r="J4" s="563"/>
      <c r="K4" s="563"/>
      <c r="L4" s="564"/>
    </row>
    <row r="5" spans="1:12" ht="34.5" customHeight="1">
      <c r="A5" s="193"/>
      <c r="B5" s="375" t="s">
        <v>1378</v>
      </c>
      <c r="C5" s="224" t="s">
        <v>9</v>
      </c>
      <c r="D5" s="594" t="str">
        <f>DATA!D14</f>
        <v>PD INDOMARET KEDUNGWUNGU 17,6-33KVA</v>
      </c>
      <c r="E5" s="595"/>
      <c r="F5" s="197"/>
      <c r="G5" s="197"/>
      <c r="I5" s="376" t="s">
        <v>1378</v>
      </c>
      <c r="J5" s="224" t="s">
        <v>9</v>
      </c>
      <c r="K5" s="565" t="str">
        <f>D5</f>
        <v>PD INDOMARET KEDUNGWUNGU 17,6-33KVA</v>
      </c>
      <c r="L5" s="566"/>
    </row>
    <row r="6" spans="1:12" ht="31.5" customHeight="1">
      <c r="A6" s="193"/>
      <c r="B6" s="375" t="s">
        <v>1525</v>
      </c>
      <c r="C6" s="224" t="s">
        <v>9</v>
      </c>
      <c r="D6" s="603">
        <f>DATA!D17*1000</f>
        <v>17600</v>
      </c>
      <c r="E6" s="604"/>
      <c r="F6" s="197"/>
      <c r="G6" s="197"/>
      <c r="I6" s="376" t="s">
        <v>1526</v>
      </c>
      <c r="J6" s="224" t="s">
        <v>9</v>
      </c>
      <c r="K6" s="567">
        <f>DATA!D20*1000</f>
        <v>33000</v>
      </c>
      <c r="L6" s="568"/>
    </row>
    <row r="7" spans="1:12" ht="30.75" customHeight="1">
      <c r="A7" s="193"/>
      <c r="B7" s="375" t="s">
        <v>1440</v>
      </c>
      <c r="C7" s="224" t="s">
        <v>9</v>
      </c>
      <c r="D7" s="601">
        <f>DATA!D18</f>
        <v>3</v>
      </c>
      <c r="E7" s="602"/>
      <c r="F7" s="374" t="s">
        <v>1452</v>
      </c>
      <c r="I7" s="376" t="s">
        <v>1440</v>
      </c>
      <c r="J7" s="224" t="s">
        <v>9</v>
      </c>
      <c r="K7" s="569">
        <f>DATA!D21</f>
        <v>3</v>
      </c>
      <c r="L7" s="570"/>
    </row>
    <row r="8" spans="1:12" ht="51" customHeight="1">
      <c r="A8" s="193"/>
      <c r="B8" s="375" t="s">
        <v>1441</v>
      </c>
      <c r="C8" s="224" t="s">
        <v>9</v>
      </c>
      <c r="D8" s="601">
        <f>DATA!D19</f>
        <v>380</v>
      </c>
      <c r="E8" s="602"/>
      <c r="F8" s="374" t="s">
        <v>1452</v>
      </c>
      <c r="G8" s="369">
        <v>220</v>
      </c>
      <c r="I8" s="376" t="s">
        <v>1441</v>
      </c>
      <c r="J8" s="224" t="s">
        <v>9</v>
      </c>
      <c r="K8" s="569">
        <f>DATA!D22</f>
        <v>380</v>
      </c>
      <c r="L8" s="570"/>
    </row>
    <row r="9" spans="1:12" ht="30" customHeight="1" thickBot="1">
      <c r="A9" s="193"/>
      <c r="B9" s="381" t="s">
        <v>1537</v>
      </c>
      <c r="C9" s="371" t="s">
        <v>9</v>
      </c>
      <c r="D9" s="596">
        <f>IF(D7=1,D6/(380/3^0.5),(D6/(380*3^0.5)))</f>
        <v>26.740433520361616</v>
      </c>
      <c r="E9" s="597"/>
      <c r="F9" s="196"/>
      <c r="G9" s="370">
        <v>380</v>
      </c>
      <c r="I9" s="382" t="s">
        <v>1537</v>
      </c>
      <c r="J9" s="371" t="s">
        <v>9</v>
      </c>
      <c r="K9" s="573">
        <f>IF(K7=1,K6/(380/3^0.5),(K6/(380*3^0.5)))</f>
        <v>50.138312850678034</v>
      </c>
      <c r="L9" s="574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605" t="s">
        <v>1639</v>
      </c>
      <c r="E12" s="606"/>
      <c r="F12" s="197"/>
      <c r="G12" s="197"/>
      <c r="I12" s="398" t="s">
        <v>1530</v>
      </c>
      <c r="J12" s="399" t="s">
        <v>9</v>
      </c>
      <c r="K12" s="605"/>
      <c r="L12" s="606"/>
    </row>
    <row r="13" spans="1:12" ht="31.5" customHeight="1">
      <c r="A13" s="193"/>
      <c r="B13" s="406" t="s">
        <v>1379</v>
      </c>
      <c r="C13" s="386" t="s">
        <v>9</v>
      </c>
      <c r="D13" s="571" t="s">
        <v>1640</v>
      </c>
      <c r="E13" s="572"/>
      <c r="F13" s="197"/>
      <c r="G13" s="197"/>
      <c r="I13" s="400" t="s">
        <v>1379</v>
      </c>
      <c r="J13" s="386" t="s">
        <v>9</v>
      </c>
      <c r="K13" s="571"/>
      <c r="L13" s="572"/>
    </row>
    <row r="14" spans="1:12" ht="30.75" customHeight="1">
      <c r="A14" s="193"/>
      <c r="B14" s="406" t="s">
        <v>1531</v>
      </c>
      <c r="C14" s="386" t="s">
        <v>9</v>
      </c>
      <c r="D14" s="575">
        <v>160</v>
      </c>
      <c r="E14" s="576"/>
      <c r="F14" s="374" t="s">
        <v>1452</v>
      </c>
      <c r="G14" s="378">
        <v>50</v>
      </c>
      <c r="I14" s="400" t="s">
        <v>1531</v>
      </c>
      <c r="J14" s="386" t="s">
        <v>9</v>
      </c>
      <c r="K14" s="577"/>
      <c r="L14" s="578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/>
      <c r="L15" s="401"/>
    </row>
    <row r="16" spans="1:12" ht="44.25" customHeight="1">
      <c r="A16" s="193"/>
      <c r="B16" s="406" t="s">
        <v>1541</v>
      </c>
      <c r="C16" s="386"/>
      <c r="D16" s="579">
        <f>35+50+35</f>
        <v>120</v>
      </c>
      <c r="E16" s="580"/>
      <c r="F16" s="374"/>
      <c r="G16" s="378">
        <v>160</v>
      </c>
      <c r="I16" s="400" t="s">
        <v>1533</v>
      </c>
      <c r="J16" s="386" t="s">
        <v>9</v>
      </c>
      <c r="K16" s="583">
        <f>K9</f>
        <v>50.138312850678034</v>
      </c>
      <c r="L16" s="584"/>
    </row>
    <row r="17" spans="1:12" ht="34.5" customHeight="1">
      <c r="A17" s="193"/>
      <c r="B17" s="406" t="s">
        <v>1534</v>
      </c>
      <c r="C17" s="386" t="s">
        <v>9</v>
      </c>
      <c r="D17" s="581">
        <f>IF(D15=1,D14/(20/3^0.5),(D14/(20*3^0.5)))</f>
        <v>4.6188021535170067</v>
      </c>
      <c r="E17" s="582"/>
      <c r="F17" s="374" t="s">
        <v>1452</v>
      </c>
      <c r="G17" s="379">
        <v>200</v>
      </c>
      <c r="I17" s="400" t="s">
        <v>1534</v>
      </c>
      <c r="J17" s="386" t="s">
        <v>9</v>
      </c>
      <c r="K17" s="587">
        <f>IF(K15=1,K14/(20/3^0.5),(K14/(20*3^0.5)))</f>
        <v>0</v>
      </c>
      <c r="L17" s="588"/>
    </row>
    <row r="18" spans="1:12" ht="34.5" customHeight="1">
      <c r="A18" s="193"/>
      <c r="B18" s="406" t="s">
        <v>1535</v>
      </c>
      <c r="C18" s="386" t="s">
        <v>9</v>
      </c>
      <c r="D18" s="581">
        <f>IF(D15=1,D14/(380/3^0.5),(D14/(380*3^0.5)))*1000</f>
        <v>243.0948501851056</v>
      </c>
      <c r="E18" s="582"/>
      <c r="F18" s="374" t="s">
        <v>1452</v>
      </c>
      <c r="G18" s="379">
        <v>250</v>
      </c>
      <c r="I18" s="400" t="s">
        <v>1535</v>
      </c>
      <c r="J18" s="386" t="s">
        <v>9</v>
      </c>
      <c r="K18" s="587">
        <f>IF(K15=1,K14/(380/3^0.5),(K14/(380*3^0.5)))*1000</f>
        <v>0</v>
      </c>
      <c r="L18" s="588"/>
    </row>
    <row r="19" spans="1:12" ht="30" customHeight="1">
      <c r="A19" s="193"/>
      <c r="B19" s="407" t="s">
        <v>1527</v>
      </c>
      <c r="C19" s="385" t="s">
        <v>9</v>
      </c>
      <c r="D19" s="581">
        <f>IF(D15=1,D14/(380/3^0.5),(D14/(380*3^0.5)))</f>
        <v>0.2430948501851056</v>
      </c>
      <c r="E19" s="582"/>
      <c r="F19" s="196"/>
      <c r="G19" s="370"/>
      <c r="I19" s="402" t="s">
        <v>1527</v>
      </c>
      <c r="J19" s="385" t="s">
        <v>9</v>
      </c>
      <c r="K19" s="587">
        <f>IF(K15=1,K14/(380/3^0.5),(K14/(380*3^0.5)))</f>
        <v>0</v>
      </c>
      <c r="L19" s="588"/>
    </row>
    <row r="20" spans="1:12" ht="30" customHeight="1" thickBot="1">
      <c r="A20" s="193"/>
      <c r="B20" s="408" t="s">
        <v>1536</v>
      </c>
      <c r="C20" s="404" t="s">
        <v>9</v>
      </c>
      <c r="D20" s="607">
        <f>D16/D18</f>
        <v>0.49363448015713002</v>
      </c>
      <c r="E20" s="608"/>
      <c r="F20" s="196"/>
      <c r="G20" s="370"/>
      <c r="I20" s="403" t="s">
        <v>1527</v>
      </c>
      <c r="J20" s="404" t="s">
        <v>9</v>
      </c>
      <c r="K20" s="585" t="e">
        <f>K16/K18</f>
        <v>#DIV/0!</v>
      </c>
      <c r="L20" s="586"/>
    </row>
    <row r="21" spans="1:12" ht="9.75" customHeight="1">
      <c r="A21" s="193"/>
      <c r="B21" s="393" t="s">
        <v>1536</v>
      </c>
      <c r="C21" s="394" t="s">
        <v>9</v>
      </c>
      <c r="D21" s="592">
        <v>1</v>
      </c>
      <c r="E21" s="592"/>
      <c r="F21" s="395"/>
      <c r="G21" s="396"/>
      <c r="H21" s="397"/>
      <c r="I21" s="393" t="s">
        <v>1527</v>
      </c>
      <c r="J21" s="394" t="s">
        <v>9</v>
      </c>
      <c r="K21" s="592">
        <v>1</v>
      </c>
      <c r="L21" s="592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89"/>
      <c r="C24" s="590"/>
      <c r="D24" s="590"/>
      <c r="E24" s="591"/>
      <c r="I24" s="589"/>
      <c r="J24" s="590"/>
      <c r="K24" s="590"/>
      <c r="L24" s="591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20" zoomScale="85" zoomScaleNormal="85" workbookViewId="0">
      <selection activeCell="D20" sqref="D20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9"/>
      <c r="C1" s="609"/>
      <c r="D1" s="609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15.399999999999999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14922599.999999998</v>
      </c>
    </row>
    <row r="10" spans="2:11" ht="20.100000000000001" customHeight="1">
      <c r="B10" s="238" t="s">
        <v>1445</v>
      </c>
      <c r="C10" s="239" t="s">
        <v>9</v>
      </c>
      <c r="D10" s="245">
        <f ca="1">RAB!K82</f>
        <v>19121104.625500001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382422.09251000005</v>
      </c>
    </row>
    <row r="12" spans="2:11" ht="9" customHeight="1">
      <c r="B12" s="610"/>
      <c r="C12" s="610"/>
      <c r="D12" s="610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PD INDOMARET KEDUNGWUNGU 17,6-33KVA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1624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17.600000000000001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3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380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33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7" t="s">
        <v>1356</v>
      </c>
      <c r="C3" s="617"/>
      <c r="D3" s="617"/>
      <c r="E3" s="617"/>
      <c r="F3" s="252" t="str">
        <f>DATA!D14</f>
        <v>PD INDOMARET KEDUNGWUNGU 17,6-33KVA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1" t="s">
        <v>1348</v>
      </c>
      <c r="C5" s="611" t="s">
        <v>1357</v>
      </c>
      <c r="D5" s="616" t="s">
        <v>1358</v>
      </c>
      <c r="E5" s="616" t="s">
        <v>1359</v>
      </c>
      <c r="F5" s="611" t="s">
        <v>1360</v>
      </c>
      <c r="G5" s="611"/>
      <c r="H5" s="611"/>
      <c r="I5" s="611"/>
      <c r="J5" s="611"/>
      <c r="K5" s="611" t="s">
        <v>1361</v>
      </c>
      <c r="L5" s="611"/>
      <c r="M5" s="254"/>
      <c r="N5" s="614" t="s">
        <v>1362</v>
      </c>
      <c r="O5" s="616" t="s">
        <v>1363</v>
      </c>
      <c r="P5" s="616" t="s">
        <v>1364</v>
      </c>
      <c r="Q5" s="616" t="s">
        <v>1365</v>
      </c>
      <c r="R5" s="255"/>
      <c r="S5" s="256"/>
      <c r="T5" s="612" t="s">
        <v>1366</v>
      </c>
      <c r="U5" s="257"/>
    </row>
    <row r="6" spans="1:21" ht="20.100000000000001" customHeight="1">
      <c r="B6" s="611"/>
      <c r="C6" s="611"/>
      <c r="D6" s="611"/>
      <c r="E6" s="611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5"/>
      <c r="O6" s="611"/>
      <c r="P6" s="611"/>
      <c r="Q6" s="611"/>
      <c r="R6" s="255"/>
      <c r="S6" s="256"/>
      <c r="T6" s="611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2464</v>
      </c>
      <c r="D7" s="263">
        <f>C7*4/24</f>
        <v>410.66666666666669</v>
      </c>
      <c r="E7" s="263">
        <f>C7-D7</f>
        <v>2053.3333333333335</v>
      </c>
      <c r="F7" s="264">
        <f ca="1">DATA!D10/1000000</f>
        <v>19.121104625500003</v>
      </c>
      <c r="G7" s="265">
        <f ca="1">DATA!$D$11/1000000</f>
        <v>0.38242209251000003</v>
      </c>
      <c r="H7" s="265">
        <f>C7*DATA!$D$5/1000000</f>
        <v>2.6712841130645435</v>
      </c>
      <c r="I7" s="265">
        <f>(C7*DATA!$D$5*DATA!$D$7)/1000000</f>
        <v>6.0103892543952223E-2</v>
      </c>
      <c r="J7" s="263">
        <f ca="1">SUM(F7:I7)</f>
        <v>22.234914723618502</v>
      </c>
      <c r="K7" s="266">
        <f>DATA!D9/1000000</f>
        <v>14.922599999999997</v>
      </c>
      <c r="L7" s="263">
        <f>((D7*DATA!$D$23)/1000000)+((E7*DATA!$D$24)/1000000)</f>
        <v>3.5597408000000001</v>
      </c>
      <c r="M7" s="263">
        <f>K7+L7</f>
        <v>18.482340799999996</v>
      </c>
      <c r="N7" s="263">
        <f ca="1">M7-J7</f>
        <v>-3.7525739236185061</v>
      </c>
      <c r="O7" s="261">
        <v>1</v>
      </c>
      <c r="P7" s="263">
        <f ca="1">O7*N7</f>
        <v>-3.7525739236185061</v>
      </c>
      <c r="Q7" s="263">
        <f ca="1">P7</f>
        <v>-3.7525739236185061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7392</v>
      </c>
      <c r="D8" s="263">
        <f>C8*4/24</f>
        <v>1232</v>
      </c>
      <c r="E8" s="263">
        <f t="shared" ref="E8:E32" si="0">C8-D8</f>
        <v>6160</v>
      </c>
      <c r="F8" s="261"/>
      <c r="G8" s="265">
        <f ca="1">DATA!$D$11/1000000</f>
        <v>0.38242209251000003</v>
      </c>
      <c r="H8" s="265">
        <f>C8*DATA!$D$5/1000000</f>
        <v>8.0138523391936296</v>
      </c>
      <c r="I8" s="265">
        <f>(C8*DATA!$D$5*DATA!$D$7)/1000000</f>
        <v>0.18031167763185665</v>
      </c>
      <c r="J8" s="263">
        <f t="shared" ref="J8:J32" ca="1" si="1">SUM(F8:I8)</f>
        <v>8.5765861093354854</v>
      </c>
      <c r="K8" s="268"/>
      <c r="L8" s="263">
        <f>((D8*DATA!$D$23)/1000000)+((E8*DATA!$D$24)/1000000)</f>
        <v>10.6792224</v>
      </c>
      <c r="M8" s="263">
        <f t="shared" ref="M8:M32" si="2">K8+L8</f>
        <v>10.6792224</v>
      </c>
      <c r="N8" s="263">
        <f ca="1">M8-J8</f>
        <v>2.1026362906645151</v>
      </c>
      <c r="O8" s="262">
        <f>1/(1+'[91]Asumsi I'!$C$3)^(KKF!A8)</f>
        <v>0.89285714285714279</v>
      </c>
      <c r="P8" s="263">
        <f ca="1">O8*N8</f>
        <v>1.8773538309504598</v>
      </c>
      <c r="Q8" s="263">
        <f ca="1">Q7+P8</f>
        <v>-1.8752200926680462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7392</v>
      </c>
      <c r="D9" s="263">
        <f t="shared" ref="D9:D32" si="5">C9*4/24</f>
        <v>1232</v>
      </c>
      <c r="E9" s="263">
        <f t="shared" si="0"/>
        <v>6160</v>
      </c>
      <c r="F9" s="261"/>
      <c r="G9" s="265">
        <f ca="1">DATA!$D$11/1000000</f>
        <v>0.38242209251000003</v>
      </c>
      <c r="H9" s="265">
        <f>C9*DATA!$D$5/1000000</f>
        <v>8.0138523391936296</v>
      </c>
      <c r="I9" s="265">
        <f>(C9*DATA!$D$5*DATA!$D$7)/1000000</f>
        <v>0.18031167763185665</v>
      </c>
      <c r="J9" s="263">
        <f t="shared" ca="1" si="1"/>
        <v>8.5765861093354854</v>
      </c>
      <c r="K9" s="263"/>
      <c r="L9" s="263">
        <f>((D9*DATA!$D$23)/1000000)+((E9*DATA!$D$24)/1000000)</f>
        <v>10.6792224</v>
      </c>
      <c r="M9" s="263">
        <f t="shared" si="2"/>
        <v>10.6792224</v>
      </c>
      <c r="N9" s="263">
        <f t="shared" ref="N9:N32" ca="1" si="6">M9-J9</f>
        <v>2.1026362906645151</v>
      </c>
      <c r="O9" s="269">
        <f>1/(1+'[91]Asumsi I'!$C$3)^(KKF!A9)</f>
        <v>0.79719387755102034</v>
      </c>
      <c r="P9" s="263">
        <f t="shared" ref="P9:P32" ca="1" si="7">O9*N9</f>
        <v>1.6762087776343391</v>
      </c>
      <c r="Q9" s="263">
        <f ca="1">Q8+P9</f>
        <v>-0.19901131503370717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7392</v>
      </c>
      <c r="D10" s="263">
        <f t="shared" si="5"/>
        <v>1232</v>
      </c>
      <c r="E10" s="263">
        <f t="shared" si="0"/>
        <v>6160</v>
      </c>
      <c r="F10" s="261"/>
      <c r="G10" s="265">
        <f ca="1">DATA!$D$11/1000000</f>
        <v>0.38242209251000003</v>
      </c>
      <c r="H10" s="265">
        <f>C10*DATA!$D$5/1000000</f>
        <v>8.0138523391936296</v>
      </c>
      <c r="I10" s="265">
        <f>(C10*DATA!$D$5*DATA!$D$7)/1000000</f>
        <v>0.18031167763185665</v>
      </c>
      <c r="J10" s="263">
        <f t="shared" ca="1" si="1"/>
        <v>8.5765861093354854</v>
      </c>
      <c r="K10" s="261"/>
      <c r="L10" s="263">
        <f>((D10*DATA!$D$23)/1000000)+((E10*DATA!$D$24)/1000000)</f>
        <v>10.6792224</v>
      </c>
      <c r="M10" s="263">
        <f t="shared" si="2"/>
        <v>10.6792224</v>
      </c>
      <c r="N10" s="263">
        <f t="shared" ca="1" si="6"/>
        <v>2.1026362906645151</v>
      </c>
      <c r="O10" s="262">
        <f>1/(1+'[91]Asumsi I'!$C$3)^(KKF!A10)</f>
        <v>0.71178024781341087</v>
      </c>
      <c r="P10" s="263">
        <f t="shared" ca="1" si="7"/>
        <v>1.4966149800306596</v>
      </c>
      <c r="Q10" s="263">
        <f t="shared" ref="Q10:Q30" ca="1" si="9">Q9+P10</f>
        <v>1.2976036649969525</v>
      </c>
      <c r="S10" s="251" t="str">
        <f t="shared" ca="1" si="3"/>
        <v/>
      </c>
      <c r="T10" s="267">
        <f t="shared" ref="T10:T32" ca="1" si="10">IF(Q8&gt;=0,"",IF(Q10&lt;0,"",IF(Q10=0,A10,(A10-(Q10/N10)))))</f>
        <v>2.3828682255898572</v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7392</v>
      </c>
      <c r="D11" s="263">
        <f t="shared" si="5"/>
        <v>1232</v>
      </c>
      <c r="E11" s="263">
        <f t="shared" si="0"/>
        <v>6160</v>
      </c>
      <c r="F11" s="261"/>
      <c r="G11" s="265">
        <f ca="1">DATA!$D$11/1000000</f>
        <v>0.38242209251000003</v>
      </c>
      <c r="H11" s="265">
        <f>C11*DATA!$D$5/1000000</f>
        <v>8.0138523391936296</v>
      </c>
      <c r="I11" s="265">
        <f>(C11*DATA!$D$5*DATA!$D$7)/1000000</f>
        <v>0.18031167763185665</v>
      </c>
      <c r="J11" s="263">
        <f t="shared" ca="1" si="1"/>
        <v>8.5765861093354854</v>
      </c>
      <c r="K11" s="261"/>
      <c r="L11" s="263">
        <f>((D11*DATA!$D$23)/1000000)+((E11*DATA!$D$24)/1000000)</f>
        <v>10.6792224</v>
      </c>
      <c r="M11" s="263">
        <f t="shared" si="2"/>
        <v>10.6792224</v>
      </c>
      <c r="N11" s="263">
        <f t="shared" ca="1" si="6"/>
        <v>2.1026362906645151</v>
      </c>
      <c r="O11" s="262">
        <f>1/(1+'[91]Asumsi I'!$C$3)^(KKF!A11)</f>
        <v>0.63551807840483121</v>
      </c>
      <c r="P11" s="263">
        <f t="shared" ca="1" si="7"/>
        <v>1.3362633750273747</v>
      </c>
      <c r="Q11" s="263">
        <f t="shared" ca="1" si="9"/>
        <v>2.6338670400243274</v>
      </c>
      <c r="S11" s="251" t="str">
        <f t="shared" ca="1" si="3"/>
        <v/>
      </c>
      <c r="T11" s="267">
        <f t="shared" ca="1" si="10"/>
        <v>2.7473501471850259</v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7392</v>
      </c>
      <c r="D12" s="263">
        <f t="shared" si="5"/>
        <v>1232</v>
      </c>
      <c r="E12" s="263">
        <f t="shared" si="0"/>
        <v>6160</v>
      </c>
      <c r="F12" s="261"/>
      <c r="G12" s="265">
        <f ca="1">DATA!$D$11/1000000</f>
        <v>0.38242209251000003</v>
      </c>
      <c r="H12" s="265">
        <f>C12*DATA!$D$5/1000000</f>
        <v>8.0138523391936296</v>
      </c>
      <c r="I12" s="265">
        <f>(C12*DATA!$D$5*DATA!$D$7)/1000000</f>
        <v>0.18031167763185665</v>
      </c>
      <c r="J12" s="263">
        <f t="shared" ca="1" si="1"/>
        <v>8.5765861093354854</v>
      </c>
      <c r="K12" s="261"/>
      <c r="L12" s="263">
        <f>((D12*DATA!$D$23)/1000000)+((E12*DATA!$D$24)/1000000)</f>
        <v>10.6792224</v>
      </c>
      <c r="M12" s="263">
        <f t="shared" si="2"/>
        <v>10.6792224</v>
      </c>
      <c r="N12" s="263">
        <f t="shared" ca="1" si="6"/>
        <v>2.1026362906645151</v>
      </c>
      <c r="O12" s="262">
        <f>1/(1+'[91]Asumsi I'!$C$3)^(KKF!A12)</f>
        <v>0.56742685571859919</v>
      </c>
      <c r="P12" s="263">
        <f t="shared" ca="1" si="7"/>
        <v>1.1930922991315844</v>
      </c>
      <c r="Q12" s="263">
        <f t="shared" ca="1" si="9"/>
        <v>3.8269593391559118</v>
      </c>
      <c r="S12" s="251" t="str">
        <f t="shared" ca="1" si="3"/>
        <v/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7392</v>
      </c>
      <c r="D13" s="263">
        <f t="shared" si="5"/>
        <v>1232</v>
      </c>
      <c r="E13" s="263">
        <f t="shared" si="0"/>
        <v>6160</v>
      </c>
      <c r="F13" s="261"/>
      <c r="G13" s="265">
        <f ca="1">DATA!$D$11/1000000</f>
        <v>0.38242209251000003</v>
      </c>
      <c r="H13" s="265">
        <f>C13*DATA!$D$5/1000000</f>
        <v>8.0138523391936296</v>
      </c>
      <c r="I13" s="265">
        <f>(C13*DATA!$D$5*DATA!$D$7)/1000000</f>
        <v>0.18031167763185665</v>
      </c>
      <c r="J13" s="263">
        <f t="shared" ca="1" si="1"/>
        <v>8.5765861093354854</v>
      </c>
      <c r="K13" s="261"/>
      <c r="L13" s="263">
        <f>((D13*DATA!$D$23)/1000000)+((E13*DATA!$D$24)/1000000)</f>
        <v>10.6792224</v>
      </c>
      <c r="M13" s="263">
        <f t="shared" si="2"/>
        <v>10.6792224</v>
      </c>
      <c r="N13" s="263">
        <f t="shared" ca="1" si="6"/>
        <v>2.1026362906645151</v>
      </c>
      <c r="O13" s="262">
        <f>1/(1+'[91]Asumsi I'!$C$3)^(KKF!A13)</f>
        <v>0.50663112117732068</v>
      </c>
      <c r="P13" s="263">
        <f t="shared" ca="1" si="7"/>
        <v>1.065260981367486</v>
      </c>
      <c r="Q13" s="263">
        <f t="shared" ca="1" si="9"/>
        <v>4.8922203205233981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7392</v>
      </c>
      <c r="D14" s="263">
        <f t="shared" si="5"/>
        <v>1232</v>
      </c>
      <c r="E14" s="263">
        <f t="shared" si="0"/>
        <v>6160</v>
      </c>
      <c r="F14" s="261"/>
      <c r="G14" s="265">
        <f ca="1">DATA!$D$11/1000000</f>
        <v>0.38242209251000003</v>
      </c>
      <c r="H14" s="265">
        <f>C14*DATA!$D$5/1000000</f>
        <v>8.0138523391936296</v>
      </c>
      <c r="I14" s="265">
        <f>(C14*DATA!$D$5*DATA!$D$7)/1000000</f>
        <v>0.18031167763185665</v>
      </c>
      <c r="J14" s="263">
        <f t="shared" ca="1" si="1"/>
        <v>8.5765861093354854</v>
      </c>
      <c r="K14" s="261"/>
      <c r="L14" s="263">
        <f>((D14*DATA!$D$23)/1000000)+((E14*DATA!$D$24)/1000000)</f>
        <v>10.6792224</v>
      </c>
      <c r="M14" s="263">
        <f t="shared" si="2"/>
        <v>10.6792224</v>
      </c>
      <c r="N14" s="263">
        <f t="shared" ca="1" si="6"/>
        <v>2.1026362906645151</v>
      </c>
      <c r="O14" s="262">
        <f>1/(1+'[91]Asumsi I'!$C$3)^(KKF!A14)</f>
        <v>0.45234921533689343</v>
      </c>
      <c r="P14" s="263">
        <f t="shared" ca="1" si="7"/>
        <v>0.95112587622096956</v>
      </c>
      <c r="Q14" s="263">
        <f t="shared" ca="1" si="9"/>
        <v>5.8433461967443678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7392</v>
      </c>
      <c r="D15" s="263">
        <f t="shared" si="5"/>
        <v>1232</v>
      </c>
      <c r="E15" s="263">
        <f t="shared" si="0"/>
        <v>6160</v>
      </c>
      <c r="F15" s="261"/>
      <c r="G15" s="265">
        <f ca="1">DATA!$D$11/1000000</f>
        <v>0.38242209251000003</v>
      </c>
      <c r="H15" s="265">
        <f>C15*DATA!$D$5/1000000</f>
        <v>8.0138523391936296</v>
      </c>
      <c r="I15" s="265">
        <f>(C15*DATA!$D$5*DATA!$D$7)/1000000</f>
        <v>0.18031167763185665</v>
      </c>
      <c r="J15" s="263">
        <f t="shared" ca="1" si="1"/>
        <v>8.5765861093354854</v>
      </c>
      <c r="K15" s="261"/>
      <c r="L15" s="263">
        <f>((D15*DATA!$D$23)/1000000)+((E15*DATA!$D$24)/1000000)</f>
        <v>10.6792224</v>
      </c>
      <c r="M15" s="263">
        <f t="shared" si="2"/>
        <v>10.6792224</v>
      </c>
      <c r="N15" s="263">
        <f t="shared" ca="1" si="6"/>
        <v>2.1026362906645151</v>
      </c>
      <c r="O15" s="262">
        <f>1/(1+'[91]Asumsi I'!$C$3)^(KKF!A15)</f>
        <v>0.4038832279793691</v>
      </c>
      <c r="P15" s="263">
        <f t="shared" ca="1" si="7"/>
        <v>0.84921953234015135</v>
      </c>
      <c r="Q15" s="263">
        <f t="shared" ca="1" si="9"/>
        <v>6.6925657290845191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7392</v>
      </c>
      <c r="D16" s="263">
        <f t="shared" si="5"/>
        <v>1232</v>
      </c>
      <c r="E16" s="263">
        <f t="shared" si="0"/>
        <v>6160</v>
      </c>
      <c r="F16" s="261"/>
      <c r="G16" s="265">
        <f ca="1">DATA!$D$11/1000000</f>
        <v>0.38242209251000003</v>
      </c>
      <c r="H16" s="265">
        <f>C16*DATA!$D$5/1000000</f>
        <v>8.0138523391936296</v>
      </c>
      <c r="I16" s="265">
        <f>(C16*DATA!$D$5*DATA!$D$7)/1000000</f>
        <v>0.18031167763185665</v>
      </c>
      <c r="J16" s="263">
        <f t="shared" ca="1" si="1"/>
        <v>8.5765861093354854</v>
      </c>
      <c r="K16" s="261"/>
      <c r="L16" s="263">
        <f>((D16*DATA!$D$23)/1000000)+((E16*DATA!$D$24)/1000000)</f>
        <v>10.6792224</v>
      </c>
      <c r="M16" s="263">
        <f t="shared" si="2"/>
        <v>10.6792224</v>
      </c>
      <c r="N16" s="263">
        <f t="shared" ca="1" si="6"/>
        <v>2.1026362906645151</v>
      </c>
      <c r="O16" s="262">
        <f>1/(1+'[91]Asumsi I'!$C$3)^(KKF!A16)</f>
        <v>0.36061002498157957</v>
      </c>
      <c r="P16" s="263">
        <f t="shared" ca="1" si="7"/>
        <v>0.75823172530370653</v>
      </c>
      <c r="Q16" s="263">
        <f t="shared" ca="1" si="9"/>
        <v>7.4507974543882254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7392</v>
      </c>
      <c r="D17" s="263">
        <f t="shared" si="5"/>
        <v>1232</v>
      </c>
      <c r="E17" s="263">
        <f t="shared" si="0"/>
        <v>6160</v>
      </c>
      <c r="F17" s="261"/>
      <c r="G17" s="265">
        <f ca="1">DATA!$D$11/1000000</f>
        <v>0.38242209251000003</v>
      </c>
      <c r="H17" s="265">
        <f>C17*DATA!$D$5/1000000</f>
        <v>8.0138523391936296</v>
      </c>
      <c r="I17" s="265">
        <f>(C17*DATA!$D$5*DATA!$D$7)/1000000</f>
        <v>0.18031167763185665</v>
      </c>
      <c r="J17" s="263">
        <f t="shared" ca="1" si="1"/>
        <v>8.5765861093354854</v>
      </c>
      <c r="K17" s="261"/>
      <c r="L17" s="263">
        <f>((D17*DATA!$D$23)/1000000)+((E17*DATA!$D$24)/1000000)</f>
        <v>10.6792224</v>
      </c>
      <c r="M17" s="263">
        <f t="shared" si="2"/>
        <v>10.6792224</v>
      </c>
      <c r="N17" s="263">
        <f t="shared" ca="1" si="6"/>
        <v>2.1026362906645151</v>
      </c>
      <c r="O17" s="262">
        <f>1/(1+'[91]Asumsi I'!$C$3)^(KKF!A17)</f>
        <v>0.32197323659069599</v>
      </c>
      <c r="P17" s="263">
        <f t="shared" ca="1" si="7"/>
        <v>0.67699261187830928</v>
      </c>
      <c r="Q17" s="263">
        <f t="shared" ca="1" si="9"/>
        <v>8.1277900662665346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7392</v>
      </c>
      <c r="D18" s="263">
        <f t="shared" si="5"/>
        <v>1232</v>
      </c>
      <c r="E18" s="263">
        <f t="shared" si="0"/>
        <v>6160</v>
      </c>
      <c r="F18" s="261"/>
      <c r="G18" s="265">
        <f ca="1">DATA!$D$11/1000000</f>
        <v>0.38242209251000003</v>
      </c>
      <c r="H18" s="265">
        <f>C18*DATA!$D$5/1000000</f>
        <v>8.0138523391936296</v>
      </c>
      <c r="I18" s="265">
        <f>(C18*DATA!$D$5*DATA!$D$7)/1000000</f>
        <v>0.18031167763185665</v>
      </c>
      <c r="J18" s="263">
        <f t="shared" ca="1" si="1"/>
        <v>8.5765861093354854</v>
      </c>
      <c r="K18" s="261"/>
      <c r="L18" s="263">
        <f>((D18*DATA!$D$23)/1000000)+((E18*DATA!$D$24)/1000000)</f>
        <v>10.6792224</v>
      </c>
      <c r="M18" s="263">
        <f t="shared" si="2"/>
        <v>10.6792224</v>
      </c>
      <c r="N18" s="263">
        <f t="shared" ca="1" si="6"/>
        <v>2.1026362906645151</v>
      </c>
      <c r="O18" s="262">
        <f>1/(1+'[91]Asumsi I'!$C$3)^(KKF!A18)</f>
        <v>0.28747610409883567</v>
      </c>
      <c r="P18" s="263">
        <f t="shared" ca="1" si="7"/>
        <v>0.60445768917706189</v>
      </c>
      <c r="Q18" s="263">
        <f t="shared" ca="1" si="9"/>
        <v>8.7322477554435967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7392</v>
      </c>
      <c r="D19" s="263">
        <f t="shared" si="5"/>
        <v>1232</v>
      </c>
      <c r="E19" s="263">
        <f t="shared" si="0"/>
        <v>6160</v>
      </c>
      <c r="F19" s="261"/>
      <c r="G19" s="265">
        <f ca="1">DATA!$D$11/1000000</f>
        <v>0.38242209251000003</v>
      </c>
      <c r="H19" s="265">
        <f>C19*DATA!$D$5/1000000</f>
        <v>8.0138523391936296</v>
      </c>
      <c r="I19" s="265">
        <f>(C19*DATA!$D$5*DATA!$D$7)/1000000</f>
        <v>0.18031167763185665</v>
      </c>
      <c r="J19" s="263">
        <f t="shared" ca="1" si="1"/>
        <v>8.5765861093354854</v>
      </c>
      <c r="K19" s="261"/>
      <c r="L19" s="263">
        <f>((D19*DATA!$D$23)/1000000)+((E19*DATA!$D$24)/1000000)</f>
        <v>10.6792224</v>
      </c>
      <c r="M19" s="263">
        <f t="shared" si="2"/>
        <v>10.6792224</v>
      </c>
      <c r="N19" s="263">
        <f t="shared" ca="1" si="6"/>
        <v>2.1026362906645151</v>
      </c>
      <c r="O19" s="262">
        <f>1/(1+'[91]Asumsi I'!$C$3)^(KKF!A19)</f>
        <v>0.25667509294538904</v>
      </c>
      <c r="P19" s="263">
        <f t="shared" ca="1" si="7"/>
        <v>0.53969436533666248</v>
      </c>
      <c r="Q19" s="263">
        <f t="shared" ca="1" si="9"/>
        <v>9.2719421207802597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7392</v>
      </c>
      <c r="D20" s="263">
        <f t="shared" si="5"/>
        <v>1232</v>
      </c>
      <c r="E20" s="263">
        <f t="shared" si="0"/>
        <v>6160</v>
      </c>
      <c r="F20" s="261"/>
      <c r="G20" s="265">
        <f ca="1">DATA!$D$11/1000000</f>
        <v>0.38242209251000003</v>
      </c>
      <c r="H20" s="265">
        <f>C20*DATA!$D$5/1000000</f>
        <v>8.0138523391936296</v>
      </c>
      <c r="I20" s="265">
        <f>(C20*DATA!$D$5*DATA!$D$7)/1000000</f>
        <v>0.18031167763185665</v>
      </c>
      <c r="J20" s="263">
        <f t="shared" ca="1" si="1"/>
        <v>8.5765861093354854</v>
      </c>
      <c r="K20" s="261"/>
      <c r="L20" s="263">
        <f>((D20*DATA!$D$23)/1000000)+((E20*DATA!$D$24)/1000000)</f>
        <v>10.6792224</v>
      </c>
      <c r="M20" s="263">
        <f t="shared" si="2"/>
        <v>10.6792224</v>
      </c>
      <c r="N20" s="263">
        <f t="shared" ca="1" si="6"/>
        <v>2.1026362906645151</v>
      </c>
      <c r="O20" s="262">
        <f>1/(1+'[91]Asumsi I'!$C$3)^(KKF!A20)</f>
        <v>0.22917419012981158</v>
      </c>
      <c r="P20" s="263">
        <f t="shared" ca="1" si="7"/>
        <v>0.48186996905059132</v>
      </c>
      <c r="Q20" s="263">
        <f t="shared" ca="1" si="9"/>
        <v>9.7538120898308502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7392</v>
      </c>
      <c r="D21" s="263">
        <f t="shared" si="5"/>
        <v>1232</v>
      </c>
      <c r="E21" s="263">
        <f t="shared" si="0"/>
        <v>6160</v>
      </c>
      <c r="F21" s="261"/>
      <c r="G21" s="265">
        <f ca="1">DATA!$D$11/1000000</f>
        <v>0.38242209251000003</v>
      </c>
      <c r="H21" s="265">
        <f>C21*DATA!$D$5/1000000</f>
        <v>8.0138523391936296</v>
      </c>
      <c r="I21" s="265">
        <f>(C21*DATA!$D$5*DATA!$D$7)/1000000</f>
        <v>0.18031167763185665</v>
      </c>
      <c r="J21" s="263">
        <f t="shared" ca="1" si="1"/>
        <v>8.5765861093354854</v>
      </c>
      <c r="K21" s="261"/>
      <c r="L21" s="263">
        <f>((D21*DATA!$D$23)/1000000)+((E21*DATA!$D$24)/1000000)</f>
        <v>10.6792224</v>
      </c>
      <c r="M21" s="263">
        <f t="shared" si="2"/>
        <v>10.6792224</v>
      </c>
      <c r="N21" s="263">
        <f t="shared" ca="1" si="6"/>
        <v>2.1026362906645151</v>
      </c>
      <c r="O21" s="262">
        <f>1/(1+'[91]Asumsi I'!$C$3)^(KKF!A21)</f>
        <v>0.20461981261590317</v>
      </c>
      <c r="P21" s="263">
        <f t="shared" ca="1" si="7"/>
        <v>0.43024104379517081</v>
      </c>
      <c r="Q21" s="263">
        <f t="shared" ca="1" si="9"/>
        <v>10.184053133626021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7392</v>
      </c>
      <c r="D22" s="263">
        <f t="shared" si="5"/>
        <v>1232</v>
      </c>
      <c r="E22" s="263">
        <f t="shared" si="0"/>
        <v>6160</v>
      </c>
      <c r="F22" s="261"/>
      <c r="G22" s="265">
        <f ca="1">DATA!$D$11/1000000</f>
        <v>0.38242209251000003</v>
      </c>
      <c r="H22" s="265">
        <f>C22*DATA!$D$5/1000000</f>
        <v>8.0138523391936296</v>
      </c>
      <c r="I22" s="265">
        <f>(C22*DATA!$D$5*DATA!$D$7)/1000000</f>
        <v>0.18031167763185665</v>
      </c>
      <c r="J22" s="263">
        <f t="shared" ca="1" si="1"/>
        <v>8.5765861093354854</v>
      </c>
      <c r="K22" s="261"/>
      <c r="L22" s="263">
        <f>((D22*DATA!$D$23)/1000000)+((E22*DATA!$D$24)/1000000)</f>
        <v>10.6792224</v>
      </c>
      <c r="M22" s="263">
        <f t="shared" si="2"/>
        <v>10.6792224</v>
      </c>
      <c r="N22" s="263">
        <f t="shared" ca="1" si="6"/>
        <v>2.1026362906645151</v>
      </c>
      <c r="O22" s="262">
        <f>1/(1+'[91]Asumsi I'!$C$3)^(KKF!A22)</f>
        <v>0.18269626126419927</v>
      </c>
      <c r="P22" s="263">
        <f t="shared" ca="1" si="7"/>
        <v>0.38414378910283109</v>
      </c>
      <c r="Q22" s="263">
        <f t="shared" ca="1" si="9"/>
        <v>10.568196922728852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7392</v>
      </c>
      <c r="D23" s="263">
        <f t="shared" si="5"/>
        <v>1232</v>
      </c>
      <c r="E23" s="263">
        <f t="shared" si="0"/>
        <v>6160</v>
      </c>
      <c r="F23" s="261"/>
      <c r="G23" s="265">
        <f ca="1">DATA!$D$11/1000000</f>
        <v>0.38242209251000003</v>
      </c>
      <c r="H23" s="265">
        <f>C23*DATA!$D$5/1000000</f>
        <v>8.0138523391936296</v>
      </c>
      <c r="I23" s="265">
        <f>(C23*DATA!$D$5*DATA!$D$7)/1000000</f>
        <v>0.18031167763185665</v>
      </c>
      <c r="J23" s="263">
        <f t="shared" ca="1" si="1"/>
        <v>8.5765861093354854</v>
      </c>
      <c r="K23" s="261"/>
      <c r="L23" s="263">
        <f>((D23*DATA!$D$23)/1000000)+((E23*DATA!$D$24)/1000000)</f>
        <v>10.6792224</v>
      </c>
      <c r="M23" s="263">
        <f t="shared" si="2"/>
        <v>10.6792224</v>
      </c>
      <c r="N23" s="263">
        <f t="shared" ca="1" si="6"/>
        <v>2.1026362906645151</v>
      </c>
      <c r="O23" s="262">
        <f>1/(1+'[91]Asumsi I'!$C$3)^(KKF!A23)</f>
        <v>0.16312166184303503</v>
      </c>
      <c r="P23" s="263">
        <f t="shared" ca="1" si="7"/>
        <v>0.34298552598467053</v>
      </c>
      <c r="Q23" s="263">
        <f t="shared" ca="1" si="9"/>
        <v>10.911182448713522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7392</v>
      </c>
      <c r="D24" s="263">
        <f t="shared" si="5"/>
        <v>1232</v>
      </c>
      <c r="E24" s="263">
        <f t="shared" si="0"/>
        <v>6160</v>
      </c>
      <c r="F24" s="261"/>
      <c r="G24" s="265">
        <f ca="1">DATA!$D$11/1000000</f>
        <v>0.38242209251000003</v>
      </c>
      <c r="H24" s="265">
        <f>C24*DATA!$D$5/1000000</f>
        <v>8.0138523391936296</v>
      </c>
      <c r="I24" s="265">
        <f>(C24*DATA!$D$5*DATA!$D$7)/1000000</f>
        <v>0.18031167763185665</v>
      </c>
      <c r="J24" s="263">
        <f t="shared" ca="1" si="1"/>
        <v>8.5765861093354854</v>
      </c>
      <c r="K24" s="261"/>
      <c r="L24" s="263">
        <f>((D24*DATA!$D$23)/1000000)+((E24*DATA!$D$24)/1000000)</f>
        <v>10.6792224</v>
      </c>
      <c r="M24" s="263">
        <f t="shared" si="2"/>
        <v>10.6792224</v>
      </c>
      <c r="N24" s="263">
        <f t="shared" ca="1" si="6"/>
        <v>2.1026362906645151</v>
      </c>
      <c r="O24" s="262">
        <f>1/(1+'[91]Asumsi I'!$C$3)^(KKF!A24)</f>
        <v>0.14564434093128129</v>
      </c>
      <c r="P24" s="263">
        <f t="shared" ca="1" si="7"/>
        <v>0.30623707677202727</v>
      </c>
      <c r="Q24" s="263">
        <f t="shared" ca="1" si="9"/>
        <v>11.21741952548555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7392</v>
      </c>
      <c r="D25" s="263">
        <f t="shared" si="5"/>
        <v>1232</v>
      </c>
      <c r="E25" s="263">
        <f t="shared" si="0"/>
        <v>6160</v>
      </c>
      <c r="F25" s="261"/>
      <c r="G25" s="265">
        <f ca="1">DATA!$D$11/1000000</f>
        <v>0.38242209251000003</v>
      </c>
      <c r="H25" s="265">
        <f>C25*DATA!$D$5/1000000</f>
        <v>8.0138523391936296</v>
      </c>
      <c r="I25" s="265">
        <f>(C25*DATA!$D$5*DATA!$D$7)/1000000</f>
        <v>0.18031167763185665</v>
      </c>
      <c r="J25" s="263">
        <f t="shared" ca="1" si="1"/>
        <v>8.5765861093354854</v>
      </c>
      <c r="K25" s="261"/>
      <c r="L25" s="263">
        <f>((D25*DATA!$D$23)/1000000)+((E25*DATA!$D$24)/1000000)</f>
        <v>10.6792224</v>
      </c>
      <c r="M25" s="263">
        <f t="shared" si="2"/>
        <v>10.6792224</v>
      </c>
      <c r="N25" s="263">
        <f t="shared" ca="1" si="6"/>
        <v>2.1026362906645151</v>
      </c>
      <c r="O25" s="262">
        <f>1/(1+'[91]Asumsi I'!$C$3)^(KKF!A25)</f>
        <v>0.13003959011721541</v>
      </c>
      <c r="P25" s="263">
        <f t="shared" ca="1" si="7"/>
        <v>0.27342596140359576</v>
      </c>
      <c r="Q25" s="263">
        <f t="shared" ca="1" si="9"/>
        <v>11.490845486889146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7392</v>
      </c>
      <c r="D26" s="263">
        <f t="shared" si="5"/>
        <v>1232</v>
      </c>
      <c r="E26" s="263">
        <f t="shared" si="0"/>
        <v>6160</v>
      </c>
      <c r="F26" s="261"/>
      <c r="G26" s="265">
        <f ca="1">DATA!$D$11/1000000</f>
        <v>0.38242209251000003</v>
      </c>
      <c r="H26" s="265">
        <f>C26*DATA!$D$5/1000000</f>
        <v>8.0138523391936296</v>
      </c>
      <c r="I26" s="265">
        <f>(C26*DATA!$D$5*DATA!$D$7)/1000000</f>
        <v>0.18031167763185665</v>
      </c>
      <c r="J26" s="263">
        <f t="shared" ca="1" si="1"/>
        <v>8.5765861093354854</v>
      </c>
      <c r="K26" s="261"/>
      <c r="L26" s="263">
        <f>((D26*DATA!$D$23)/1000000)+((E26*DATA!$D$24)/1000000)</f>
        <v>10.6792224</v>
      </c>
      <c r="M26" s="263">
        <f t="shared" si="2"/>
        <v>10.6792224</v>
      </c>
      <c r="N26" s="263">
        <f t="shared" ca="1" si="6"/>
        <v>2.1026362906645151</v>
      </c>
      <c r="O26" s="262">
        <f>1/(1+'[91]Asumsi I'!$C$3)^(KKF!A26)</f>
        <v>0.1161067768903709</v>
      </c>
      <c r="P26" s="263">
        <f t="shared" ca="1" si="7"/>
        <v>0.24413032268178189</v>
      </c>
      <c r="Q26" s="263">
        <f t="shared" ca="1" si="9"/>
        <v>11.734975809570928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7392</v>
      </c>
      <c r="D27" s="263">
        <f t="shared" si="5"/>
        <v>1232</v>
      </c>
      <c r="E27" s="263">
        <f t="shared" si="0"/>
        <v>6160</v>
      </c>
      <c r="F27" s="261"/>
      <c r="G27" s="265">
        <f ca="1">DATA!$D$11/1000000</f>
        <v>0.38242209251000003</v>
      </c>
      <c r="H27" s="265">
        <f>C27*DATA!$D$5/1000000</f>
        <v>8.0138523391936296</v>
      </c>
      <c r="I27" s="265">
        <f>(C27*DATA!$D$5*DATA!$D$7)/1000000</f>
        <v>0.18031167763185665</v>
      </c>
      <c r="J27" s="263">
        <f t="shared" ca="1" si="1"/>
        <v>8.5765861093354854</v>
      </c>
      <c r="K27" s="261"/>
      <c r="L27" s="263">
        <f>((D27*DATA!$D$23)/1000000)+((E27*DATA!$D$24)/1000000)</f>
        <v>10.6792224</v>
      </c>
      <c r="M27" s="263">
        <f t="shared" si="2"/>
        <v>10.6792224</v>
      </c>
      <c r="N27" s="263">
        <f t="shared" ca="1" si="6"/>
        <v>2.1026362906645151</v>
      </c>
      <c r="O27" s="262">
        <f>1/(1+'[91]Asumsi I'!$C$3)^(KKF!A27)</f>
        <v>0.1036667650806883</v>
      </c>
      <c r="P27" s="263">
        <f t="shared" ca="1" si="7"/>
        <v>0.21797350239444813</v>
      </c>
      <c r="Q27" s="263">
        <f t="shared" ca="1" si="9"/>
        <v>11.952949311965376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7392</v>
      </c>
      <c r="D28" s="263">
        <f t="shared" si="5"/>
        <v>1232</v>
      </c>
      <c r="E28" s="263">
        <f t="shared" si="0"/>
        <v>6160</v>
      </c>
      <c r="F28" s="261"/>
      <c r="G28" s="265">
        <f ca="1">DATA!$D$11/1000000</f>
        <v>0.38242209251000003</v>
      </c>
      <c r="H28" s="265">
        <f>C28*DATA!$D$5/1000000</f>
        <v>8.0138523391936296</v>
      </c>
      <c r="I28" s="265">
        <f>(C28*DATA!$D$5*DATA!$D$7)/1000000</f>
        <v>0.18031167763185665</v>
      </c>
      <c r="J28" s="263">
        <f t="shared" ca="1" si="1"/>
        <v>8.5765861093354854</v>
      </c>
      <c r="K28" s="261"/>
      <c r="L28" s="263">
        <f>((D28*DATA!$D$23)/1000000)+((E28*DATA!$D$24)/1000000)</f>
        <v>10.6792224</v>
      </c>
      <c r="M28" s="263">
        <f t="shared" si="2"/>
        <v>10.6792224</v>
      </c>
      <c r="N28" s="263">
        <f t="shared" ca="1" si="6"/>
        <v>2.1026362906645151</v>
      </c>
      <c r="O28" s="262">
        <f>1/(1+'[91]Asumsi I'!$C$3)^(KKF!A28)</f>
        <v>9.2559611679185971E-2</v>
      </c>
      <c r="P28" s="263">
        <f t="shared" ca="1" si="7"/>
        <v>0.19461919856647153</v>
      </c>
      <c r="Q28" s="263">
        <f t="shared" ca="1" si="9"/>
        <v>12.147568510531848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7392</v>
      </c>
      <c r="D29" s="263">
        <f t="shared" si="5"/>
        <v>1232</v>
      </c>
      <c r="E29" s="263">
        <f t="shared" si="0"/>
        <v>6160</v>
      </c>
      <c r="F29" s="261"/>
      <c r="G29" s="265">
        <f ca="1">DATA!$D$11/1000000</f>
        <v>0.38242209251000003</v>
      </c>
      <c r="H29" s="265">
        <f>C29*DATA!$D$5/1000000</f>
        <v>8.0138523391936296</v>
      </c>
      <c r="I29" s="265">
        <f>(C29*DATA!$D$5*DATA!$D$7)/1000000</f>
        <v>0.18031167763185665</v>
      </c>
      <c r="J29" s="263">
        <f t="shared" ca="1" si="1"/>
        <v>8.5765861093354854</v>
      </c>
      <c r="K29" s="261"/>
      <c r="L29" s="263">
        <f>((D29*DATA!$D$23)/1000000)+((E29*DATA!$D$24)/1000000)</f>
        <v>10.6792224</v>
      </c>
      <c r="M29" s="263">
        <f t="shared" si="2"/>
        <v>10.6792224</v>
      </c>
      <c r="N29" s="263">
        <f t="shared" ca="1" si="6"/>
        <v>2.1026362906645151</v>
      </c>
      <c r="O29" s="262">
        <f>1/(1+'[91]Asumsi I'!$C$3)^(KKF!A29)</f>
        <v>8.2642510427844609E-2</v>
      </c>
      <c r="P29" s="263">
        <f t="shared" ca="1" si="7"/>
        <v>0.17376714157720669</v>
      </c>
      <c r="Q29" s="263">
        <f t="shared" ca="1" si="9"/>
        <v>12.321335652109054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7392</v>
      </c>
      <c r="D30" s="263">
        <f t="shared" si="5"/>
        <v>1232</v>
      </c>
      <c r="E30" s="263">
        <f t="shared" si="0"/>
        <v>6160</v>
      </c>
      <c r="F30" s="261"/>
      <c r="G30" s="265">
        <f ca="1">DATA!$D$11/1000000</f>
        <v>0.38242209251000003</v>
      </c>
      <c r="H30" s="265">
        <f>C30*DATA!$D$5/1000000</f>
        <v>8.0138523391936296</v>
      </c>
      <c r="I30" s="265">
        <f>(C30*DATA!$D$5*DATA!$D$7)/1000000</f>
        <v>0.18031167763185665</v>
      </c>
      <c r="J30" s="263">
        <f t="shared" ca="1" si="1"/>
        <v>8.5765861093354854</v>
      </c>
      <c r="K30" s="261"/>
      <c r="L30" s="263">
        <f>((D30*DATA!$D$23)/1000000)+((E30*DATA!$D$24)/1000000)</f>
        <v>10.6792224</v>
      </c>
      <c r="M30" s="263">
        <f t="shared" si="2"/>
        <v>10.6792224</v>
      </c>
      <c r="N30" s="263">
        <f t="shared" ca="1" si="6"/>
        <v>2.1026362906645151</v>
      </c>
      <c r="O30" s="262">
        <f>1/(1+'[91]Asumsi I'!$C$3)^(KKF!A30)</f>
        <v>7.3787955739146982E-2</v>
      </c>
      <c r="P30" s="263">
        <f t="shared" ca="1" si="7"/>
        <v>0.15514923355107743</v>
      </c>
      <c r="Q30" s="263">
        <f t="shared" ca="1" si="9"/>
        <v>12.476484885660131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7392</v>
      </c>
      <c r="D31" s="263">
        <f t="shared" si="5"/>
        <v>1232</v>
      </c>
      <c r="E31" s="263">
        <f t="shared" si="0"/>
        <v>6160</v>
      </c>
      <c r="F31" s="261"/>
      <c r="G31" s="265">
        <f ca="1">DATA!$D$11/1000000</f>
        <v>0.38242209251000003</v>
      </c>
      <c r="H31" s="265">
        <f>C31*DATA!$D$5/1000000</f>
        <v>8.0138523391936296</v>
      </c>
      <c r="I31" s="265">
        <f>(C31*DATA!$D$5*DATA!$D$7)/1000000</f>
        <v>0.18031167763185665</v>
      </c>
      <c r="J31" s="263">
        <f t="shared" ca="1" si="1"/>
        <v>8.5765861093354854</v>
      </c>
      <c r="K31" s="261"/>
      <c r="L31" s="263">
        <f>((D31*DATA!$D$23)/1000000)+((E31*DATA!$D$24)/1000000)</f>
        <v>10.6792224</v>
      </c>
      <c r="M31" s="263">
        <f t="shared" si="2"/>
        <v>10.6792224</v>
      </c>
      <c r="N31" s="263">
        <f t="shared" ca="1" si="6"/>
        <v>2.1026362906645151</v>
      </c>
      <c r="O31" s="262">
        <f>1/(1+'[91]Asumsi I'!$C$3)^(KKF!A31)</f>
        <v>6.5882103338524081E-2</v>
      </c>
      <c r="P31" s="263">
        <f t="shared" ca="1" si="7"/>
        <v>0.13852610138489055</v>
      </c>
      <c r="Q31" s="263">
        <f ca="1">Q30+P31</f>
        <v>12.615010987045022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7392</v>
      </c>
      <c r="D32" s="263">
        <f t="shared" si="5"/>
        <v>1232</v>
      </c>
      <c r="E32" s="263">
        <f t="shared" si="0"/>
        <v>6160</v>
      </c>
      <c r="F32" s="261"/>
      <c r="G32" s="265">
        <f ca="1">DATA!$D$11/1000000</f>
        <v>0.38242209251000003</v>
      </c>
      <c r="H32" s="265">
        <f>C32*DATA!$D$5/1000000</f>
        <v>8.0138523391936296</v>
      </c>
      <c r="I32" s="265">
        <f>(C32*DATA!$D$5*DATA!$D$7)/1000000</f>
        <v>0.18031167763185665</v>
      </c>
      <c r="J32" s="263">
        <f t="shared" ca="1" si="1"/>
        <v>8.5765861093354854</v>
      </c>
      <c r="K32" s="261"/>
      <c r="L32" s="263">
        <f>((D32*DATA!$D$23)/1000000)+((E32*DATA!$D$24)/1000000)</f>
        <v>10.6792224</v>
      </c>
      <c r="M32" s="263">
        <f t="shared" si="2"/>
        <v>10.6792224</v>
      </c>
      <c r="N32" s="263">
        <f t="shared" ca="1" si="6"/>
        <v>2.1026362906645151</v>
      </c>
      <c r="O32" s="262">
        <f>1/(1+'[91]Asumsi I'!$C$3)^(KKF!A32)</f>
        <v>5.8823306552253637E-2</v>
      </c>
      <c r="P32" s="263">
        <f t="shared" ca="1" si="7"/>
        <v>0.12368401909365226</v>
      </c>
      <c r="Q32" s="263">
        <f ca="1">Q31+P32</f>
        <v>12.738695006138673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3" t="s">
        <v>1373</v>
      </c>
      <c r="G33" s="613"/>
      <c r="H33" s="613"/>
      <c r="I33" s="271"/>
      <c r="J33" s="272">
        <f ca="1">SUM(J7:J32)</f>
        <v>236.6495674570057</v>
      </c>
      <c r="K33" s="613" t="s">
        <v>1374</v>
      </c>
      <c r="L33" s="613"/>
      <c r="M33" s="272">
        <f>SUM(M7:M32)</f>
        <v>285.46290080000017</v>
      </c>
      <c r="N33" s="270"/>
      <c r="O33" s="270"/>
      <c r="P33" s="273"/>
      <c r="Q33" s="273"/>
      <c r="S33" s="251">
        <f ca="1">COUNTIF(S7:S32,"a")</f>
        <v>3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10.574779300794528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>
        <f ca="1">AVERAGE(T7:T32)</f>
        <v>2.5651091863874416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1.2062684240986954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11.373834826909524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0.56031013718950806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97"/>
  <sheetViews>
    <sheetView showGridLines="0" zoomScale="70" zoomScaleNormal="70" zoomScaleSheetLayoutView="70" workbookViewId="0">
      <pane ySplit="13" topLeftCell="A27" activePane="bottomLeft" state="frozen"/>
      <selection activeCell="H1093" sqref="H1093"/>
      <selection pane="bottomLeft" activeCell="C73" sqref="C73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7" t="s">
        <v>1036</v>
      </c>
      <c r="P3" s="637"/>
      <c r="Q3" s="293"/>
      <c r="T3" s="291"/>
      <c r="U3" s="292" t="s">
        <v>1041</v>
      </c>
      <c r="V3" s="291"/>
    </row>
    <row r="4" spans="1:22" ht="15.75" customHeight="1">
      <c r="B4" s="638" t="s">
        <v>1023</v>
      </c>
      <c r="C4" s="638"/>
      <c r="D4" s="638"/>
      <c r="E4" s="638"/>
      <c r="F4" s="638"/>
      <c r="G4" s="638"/>
      <c r="H4" s="638"/>
      <c r="I4" s="638"/>
      <c r="J4" s="638"/>
      <c r="K4" s="638"/>
      <c r="O4" s="637"/>
      <c r="P4" s="637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0" t="s">
        <v>1637</v>
      </c>
      <c r="H6" s="621"/>
      <c r="I6" s="621"/>
      <c r="J6" s="621"/>
      <c r="K6" s="621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1638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0" t="s">
        <v>0</v>
      </c>
      <c r="C11" s="642" t="s">
        <v>1</v>
      </c>
      <c r="D11" s="631" t="s">
        <v>42</v>
      </c>
      <c r="E11" s="631" t="s">
        <v>43</v>
      </c>
      <c r="F11" s="631" t="s">
        <v>2</v>
      </c>
      <c r="G11" s="645" t="s">
        <v>41</v>
      </c>
      <c r="H11" s="631" t="s">
        <v>3</v>
      </c>
      <c r="I11" s="631"/>
      <c r="J11" s="631"/>
      <c r="K11" s="632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1"/>
      <c r="C12" s="643"/>
      <c r="D12" s="635"/>
      <c r="E12" s="635"/>
      <c r="F12" s="635"/>
      <c r="G12" s="646"/>
      <c r="H12" s="633" t="s">
        <v>46</v>
      </c>
      <c r="I12" s="633" t="s">
        <v>5</v>
      </c>
      <c r="J12" s="635" t="s">
        <v>47</v>
      </c>
      <c r="K12" s="636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1"/>
      <c r="C13" s="644"/>
      <c r="D13" s="635"/>
      <c r="E13" s="635"/>
      <c r="F13" s="635"/>
      <c r="G13" s="647"/>
      <c r="H13" s="634"/>
      <c r="I13" s="634"/>
      <c r="J13" s="635"/>
      <c r="K13" s="636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8" ca="1" si="4">IF(OR(D15="MDU",D15="MDU-KD"),(IF($O$3="RAB NON MDU","PLN KD",G15*F15)),0)</f>
        <v>0</v>
      </c>
      <c r="I15" s="308">
        <f t="shared" ref="I15:I18" ca="1" si="5">IF(D15="HDW",G15*F15,0)</f>
        <v>0</v>
      </c>
      <c r="J15" s="308">
        <f t="shared" ref="J15:J18" ca="1" si="6">IF(D15="JASA",G15*F15,0)</f>
        <v>0</v>
      </c>
      <c r="K15" s="309">
        <f t="shared" ref="K15:K18" ca="1" si="7">SUM(H15:J15)</f>
        <v>0</v>
      </c>
      <c r="L15" s="289"/>
      <c r="M15" s="289" t="str">
        <f t="shared" ref="M15:M21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>
        <v>1</v>
      </c>
      <c r="C17" s="109" t="s">
        <v>103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19">
        <v>1</v>
      </c>
      <c r="G17" s="307">
        <f ca="1">IF(ISERROR(OFFSET('HARGA SATUAN'!$I$6,MATCH(RAB!C17,'HARGA SATUAN'!$C$7:$C$1495,0),0)),0,OFFSET('HARGA SATUAN'!$I$6,MATCH(RAB!C17,'HARGA SATUAN'!$C$7:$C$1495,0),0))</f>
        <v>5800000</v>
      </c>
      <c r="H17" s="308">
        <f t="shared" ca="1" si="4"/>
        <v>0</v>
      </c>
      <c r="I17" s="308">
        <f t="shared" ca="1" si="5"/>
        <v>5800000</v>
      </c>
      <c r="J17" s="308">
        <f t="shared" ca="1" si="6"/>
        <v>0</v>
      </c>
      <c r="K17" s="309">
        <f t="shared" ca="1" si="7"/>
        <v>5800000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>
        <v>2</v>
      </c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19">
        <v>1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4"/>
        <v>0</v>
      </c>
      <c r="I18" s="308">
        <f t="shared" ca="1" si="5"/>
        <v>0</v>
      </c>
      <c r="J18" s="308">
        <f t="shared" ca="1" si="6"/>
        <v>10066.666666666668</v>
      </c>
      <c r="K18" s="309">
        <f t="shared" ca="1" si="7"/>
        <v>10066.666666666668</v>
      </c>
      <c r="L18" s="289"/>
      <c r="M18" s="289" t="str">
        <f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8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721" t="s">
        <v>1035</v>
      </c>
      <c r="C20" s="722" t="s">
        <v>1631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1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721">
        <v>1</v>
      </c>
      <c r="C21" s="722" t="s">
        <v>30</v>
      </c>
      <c r="D21" s="305" t="str">
        <f ca="1">IF(ISERROR(OFFSET('HARGA SATUAN'!$D$6,MATCH(RAB!C21,'HARGA SATUAN'!$C$7:$C$1495,0),0)),"",OFFSET('HARGA SATUAN'!$D$6,MATCH(RAB!C21,'HARGA SATUAN'!$C$7:$C$1495,0),0))</f>
        <v>HDW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1">
        <f>F20*1</f>
        <v>1</v>
      </c>
      <c r="G21" s="307">
        <f ca="1">IF(ISERROR(OFFSET('HARGA SATUAN'!$I$6,MATCH(RAB!C21,'HARGA SATUAN'!$C$7:$C$1495,0),0)),0,OFFSET('HARGA SATUAN'!$I$6,MATCH(RAB!C21,'HARGA SATUAN'!$C$7:$C$1495,0),0))</f>
        <v>47459</v>
      </c>
      <c r="H21" s="308">
        <f t="shared" ref="H21:H31" ca="1" si="9">IF(OR(D21="MDU",D21="MDU-KD"),(IF($O$3="RAB NON MDU","PLN KD",G21*F21)),0)</f>
        <v>0</v>
      </c>
      <c r="I21" s="308">
        <f t="shared" ref="I21:I31" ca="1" si="10">IF(D21="HDW",G21*F21,0)</f>
        <v>47459</v>
      </c>
      <c r="J21" s="308">
        <f t="shared" ref="J21:J31" ca="1" si="11">IF(D21="JASA",G21*F21,0)</f>
        <v>0</v>
      </c>
      <c r="K21" s="309">
        <f t="shared" ref="K21:K31" ca="1" si="12">SUM(H21:J21)</f>
        <v>47459</v>
      </c>
      <c r="L21" s="316"/>
      <c r="M21" s="289" t="str">
        <f t="shared" ca="1" si="8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721">
        <v>2</v>
      </c>
      <c r="C22" s="722" t="s">
        <v>32</v>
      </c>
      <c r="D22" s="305" t="str">
        <f ca="1">IF(ISERROR(OFFSET('HARGA SATUAN'!$D$6,MATCH(RAB!C22,'HARGA SATUAN'!$C$7:$C$1495,0),0)),"",OFFSET('HARGA SATUAN'!$D$6,MATCH(RAB!C22,'HARGA SATUAN'!$C$7:$C$1495,0),0))</f>
        <v>HDW</v>
      </c>
      <c r="E22" s="306" t="str">
        <f ca="1">IF(B22="+","Unit",IF(ISERROR(OFFSET('HARGA SATUAN'!$E$6,MATCH(RAB!C22,'HARGA SATUAN'!$C$7:$C$1495,0),0)),"",OFFSET('HARGA SATUAN'!$E$6,MATCH(RAB!C22,'HARGA SATUAN'!$C$7:$C$1495,0),0)))</f>
        <v>Mtr</v>
      </c>
      <c r="F22" s="451">
        <f>F20*0.8</f>
        <v>0.8</v>
      </c>
      <c r="G22" s="307">
        <f ca="1">IF(ISERROR(OFFSET('HARGA SATUAN'!$I$6,MATCH(RAB!C22,'HARGA SATUAN'!$C$7:$C$1495,0),0)),0,OFFSET('HARGA SATUAN'!$I$6,MATCH(RAB!C22,'HARGA SATUAN'!$C$7:$C$1495,0),0))</f>
        <v>30000</v>
      </c>
      <c r="H22" s="308">
        <f t="shared" ca="1" si="9"/>
        <v>0</v>
      </c>
      <c r="I22" s="308">
        <f t="shared" ca="1" si="10"/>
        <v>24000</v>
      </c>
      <c r="J22" s="308">
        <f t="shared" ca="1" si="11"/>
        <v>0</v>
      </c>
      <c r="K22" s="309">
        <f t="shared" ca="1" si="12"/>
        <v>24000</v>
      </c>
      <c r="L22" s="316"/>
      <c r="M22" s="289" t="str">
        <f t="shared" ref="M22:M24" ca="1" si="13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21">
        <v>3</v>
      </c>
      <c r="C23" s="722" t="s">
        <v>33</v>
      </c>
      <c r="D23" s="305" t="str">
        <f ca="1">IF(ISERROR(OFFSET('HARGA SATUAN'!$D$6,MATCH(RAB!C23,'HARGA SATUAN'!$C$7:$C$1495,0),0)),"",OFFSET('HARGA SATUAN'!$D$6,MATCH(RAB!C23,'HARGA SATUAN'!$C$7:$C$1495,0),0))</f>
        <v>HDW</v>
      </c>
      <c r="E23" s="306" t="str">
        <f ca="1">IF(B23="+","Unit",IF(ISERROR(OFFSET('HARGA SATUAN'!$E$6,MATCH(RAB!C23,'HARGA SATUAN'!$C$7:$C$1495,0),0)),"",OFFSET('HARGA SATUAN'!$E$6,MATCH(RAB!C23,'HARGA SATUAN'!$C$7:$C$1495,0),0)))</f>
        <v>Bh</v>
      </c>
      <c r="F23" s="451">
        <f>F20*1</f>
        <v>1</v>
      </c>
      <c r="G23" s="307">
        <f ca="1">IF(ISERROR(OFFSET('HARGA SATUAN'!$I$6,MATCH(RAB!C23,'HARGA SATUAN'!$C$7:$C$1495,0),0)),0,OFFSET('HARGA SATUAN'!$I$6,MATCH(RAB!C23,'HARGA SATUAN'!$C$7:$C$1495,0),0))</f>
        <v>9500</v>
      </c>
      <c r="H23" s="308">
        <f t="shared" ca="1" si="9"/>
        <v>0</v>
      </c>
      <c r="I23" s="308">
        <f t="shared" ca="1" si="10"/>
        <v>9500</v>
      </c>
      <c r="J23" s="308">
        <f t="shared" ca="1" si="11"/>
        <v>0</v>
      </c>
      <c r="K23" s="309">
        <f t="shared" ca="1" si="12"/>
        <v>9500</v>
      </c>
      <c r="L23" s="316"/>
      <c r="M23" s="289" t="str">
        <f t="shared" ca="1" si="13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721">
        <v>4</v>
      </c>
      <c r="C24" s="722" t="s">
        <v>737</v>
      </c>
      <c r="D24" s="305" t="str">
        <f ca="1">IF(ISERROR(OFFSET('HARGA SATUAN'!$D$6,MATCH(RAB!C24,'HARGA SATUAN'!$C$7:$C$1495,0),0)),"",OFFSET('HARGA SATUAN'!$D$6,MATCH(RAB!C24,'HARGA SATUAN'!$C$7:$C$1495,0),0))</f>
        <v>JASA</v>
      </c>
      <c r="E24" s="306" t="str">
        <f ca="1">IF(B24="+","Unit",IF(ISERROR(OFFSET('HARGA SATUAN'!$E$6,MATCH(RAB!C24,'HARGA SATUAN'!$C$7:$C$1495,0),0)),"",OFFSET('HARGA SATUAN'!$E$6,MATCH(RAB!C24,'HARGA SATUAN'!$C$7:$C$1495,0),0)))</f>
        <v>Unit</v>
      </c>
      <c r="F24" s="451">
        <f>F20*1</f>
        <v>1</v>
      </c>
      <c r="G24" s="307">
        <f ca="1">IF(ISERROR(OFFSET('HARGA SATUAN'!$I$6,MATCH(RAB!C24,'HARGA SATUAN'!$C$7:$C$1495,0),0)),0,OFFSET('HARGA SATUAN'!$I$6,MATCH(RAB!C24,'HARGA SATUAN'!$C$7:$C$1495,0),0))</f>
        <v>16200</v>
      </c>
      <c r="H24" s="308">
        <f t="shared" ca="1" si="9"/>
        <v>0</v>
      </c>
      <c r="I24" s="308">
        <f t="shared" ca="1" si="10"/>
        <v>0</v>
      </c>
      <c r="J24" s="308">
        <f t="shared" ca="1" si="11"/>
        <v>16200</v>
      </c>
      <c r="K24" s="309">
        <f t="shared" ca="1" si="12"/>
        <v>16200</v>
      </c>
      <c r="L24" s="316"/>
      <c r="M24" s="289" t="str">
        <f t="shared" ca="1" si="13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460"/>
      <c r="C25" s="461"/>
      <c r="D25" s="305" t="str">
        <f ca="1">IF(ISERROR(OFFSET('HARGA SATUAN'!$D$6,MATCH(RAB!C25,'HARGA SATUAN'!$C$7:$C$1495,0),0)),"",OFFSET('HARGA SATUAN'!$D$6,MATCH(RAB!C25,'HARGA SATUAN'!$C$7:$C$1495,0),0))</f>
        <v/>
      </c>
      <c r="E25" s="306" t="str">
        <f ca="1">IF(B25="+","Unit",IF(ISERROR(OFFSET('HARGA SATUAN'!$E$6,MATCH(RAB!C25,'HARGA SATUAN'!$C$7:$C$1495,0),0)),"",OFFSET('HARGA SATUAN'!$E$6,MATCH(RAB!C25,'HARGA SATUAN'!$C$7:$C$1495,0),0)))</f>
        <v/>
      </c>
      <c r="F25" s="451"/>
      <c r="G25" s="307">
        <f ca="1">IF(ISERROR(OFFSET('HARGA SATUAN'!$I$6,MATCH(RAB!C25,'HARGA SATUAN'!$C$7:$C$1495,0),0)),0,OFFSET('HARGA SATUAN'!$I$6,MATCH(RAB!C25,'HARGA SATUAN'!$C$7:$C$1495,0),0))</f>
        <v>0</v>
      </c>
      <c r="H25" s="308">
        <f t="shared" ca="1" si="9"/>
        <v>0</v>
      </c>
      <c r="I25" s="308">
        <f t="shared" ca="1" si="10"/>
        <v>0</v>
      </c>
      <c r="J25" s="308">
        <f t="shared" ca="1" si="11"/>
        <v>0</v>
      </c>
      <c r="K25" s="309">
        <f t="shared" ca="1" si="12"/>
        <v>0</v>
      </c>
      <c r="L25" s="316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14" t="s">
        <v>1035</v>
      </c>
      <c r="C26" s="515" t="s">
        <v>1625</v>
      </c>
      <c r="D26" s="305" t="str">
        <f ca="1">IF(ISERROR(OFFSET('HARGA SATUAN'!$D$6,MATCH(RAB!C26,'HARGA SATUAN'!$C$7:$C$1495,0),0)),"",OFFSET('HARGA SATUAN'!$D$6,MATCH(RAB!C26,'HARGA SATUAN'!$C$7:$C$1495,0),0))</f>
        <v/>
      </c>
      <c r="E26" s="306" t="str">
        <f ca="1">IF(B26="+","Unit",IF(ISERROR(OFFSET('HARGA SATUAN'!$E$6,MATCH(RAB!C26,'HARGA SATUAN'!$C$7:$C$1495,0),0)),"",OFFSET('HARGA SATUAN'!$E$6,MATCH(RAB!C26,'HARGA SATUAN'!$C$7:$C$1495,0),0)))</f>
        <v>Unit</v>
      </c>
      <c r="F26" s="451">
        <v>2</v>
      </c>
      <c r="G26" s="307">
        <f ca="1">IF(ISERROR(OFFSET('HARGA SATUAN'!$I$6,MATCH(RAB!C26,'HARGA SATUAN'!$C$7:$C$1495,0),0)),0,OFFSET('HARGA SATUAN'!$I$6,MATCH(RAB!C26,'HARGA SATUAN'!$C$7:$C$1495,0),0))</f>
        <v>0</v>
      </c>
      <c r="H26" s="308">
        <f t="shared" ca="1" si="9"/>
        <v>0</v>
      </c>
      <c r="I26" s="308">
        <f t="shared" ca="1" si="10"/>
        <v>0</v>
      </c>
      <c r="J26" s="308">
        <f t="shared" ca="1" si="11"/>
        <v>0</v>
      </c>
      <c r="K26" s="309">
        <f t="shared" ca="1" si="12"/>
        <v>0</v>
      </c>
      <c r="L26" s="316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514">
        <v>1</v>
      </c>
      <c r="C27" s="515" t="s">
        <v>595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1">
        <f>F26*1</f>
        <v>2</v>
      </c>
      <c r="G27" s="307">
        <f ca="1">IF(ISERROR(OFFSET('HARGA SATUAN'!$I$6,MATCH(RAB!C27,'HARGA SATUAN'!$C$7:$C$1495,0),0)),0,OFFSET('HARGA SATUAN'!$I$6,MATCH(RAB!C27,'HARGA SATUAN'!$C$7:$C$1495,0),0))</f>
        <v>78500</v>
      </c>
      <c r="H27" s="308">
        <f t="shared" ca="1" si="9"/>
        <v>0</v>
      </c>
      <c r="I27" s="308">
        <f t="shared" ca="1" si="10"/>
        <v>157000</v>
      </c>
      <c r="J27" s="308">
        <f t="shared" ca="1" si="11"/>
        <v>0</v>
      </c>
      <c r="K27" s="309">
        <f t="shared" ca="1" si="12"/>
        <v>157000</v>
      </c>
      <c r="L27" s="316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514">
        <v>2</v>
      </c>
      <c r="C28" s="515" t="s">
        <v>229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1">
        <f>F26*1</f>
        <v>2</v>
      </c>
      <c r="G28" s="307">
        <f ca="1">IF(ISERROR(OFFSET('HARGA SATUAN'!$I$6,MATCH(RAB!C28,'HARGA SATUAN'!$C$7:$C$1495,0),0)),0,OFFSET('HARGA SATUAN'!$I$6,MATCH(RAB!C28,'HARGA SATUAN'!$C$7:$C$1495,0),0))</f>
        <v>4212</v>
      </c>
      <c r="H28" s="308">
        <f t="shared" ca="1" si="9"/>
        <v>0</v>
      </c>
      <c r="I28" s="308">
        <f t="shared" ca="1" si="10"/>
        <v>8424</v>
      </c>
      <c r="J28" s="308">
        <f t="shared" ca="1" si="11"/>
        <v>0</v>
      </c>
      <c r="K28" s="309">
        <f t="shared" ca="1" si="12"/>
        <v>8424</v>
      </c>
      <c r="L28" s="316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14">
        <v>3</v>
      </c>
      <c r="C29" s="515" t="s">
        <v>266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Mtr</v>
      </c>
      <c r="F29" s="451">
        <f>F26*1</f>
        <v>2</v>
      </c>
      <c r="G29" s="307">
        <f ca="1">IF(ISERROR(OFFSET('HARGA SATUAN'!$I$6,MATCH(RAB!C29,'HARGA SATUAN'!$C$7:$C$1495,0),0)),0,OFFSET('HARGA SATUAN'!$I$6,MATCH(RAB!C29,'HARGA SATUAN'!$C$7:$C$1495,0),0))</f>
        <v>23310</v>
      </c>
      <c r="H29" s="308">
        <f t="shared" ca="1" si="9"/>
        <v>0</v>
      </c>
      <c r="I29" s="308">
        <f t="shared" ca="1" si="10"/>
        <v>46620</v>
      </c>
      <c r="J29" s="308">
        <f t="shared" ca="1" si="11"/>
        <v>0</v>
      </c>
      <c r="K29" s="309">
        <f t="shared" ca="1" si="12"/>
        <v>46620</v>
      </c>
      <c r="L29" s="316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14">
        <v>4</v>
      </c>
      <c r="C30" s="515" t="s">
        <v>35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1">
        <f>F26*1</f>
        <v>2</v>
      </c>
      <c r="G30" s="307">
        <f ca="1">IF(ISERROR(OFFSET('HARGA SATUAN'!$I$6,MATCH(RAB!C30,'HARGA SATUAN'!$C$7:$C$1495,0),0)),0,OFFSET('HARGA SATUAN'!$I$6,MATCH(RAB!C30,'HARGA SATUAN'!$C$7:$C$1495,0),0))</f>
        <v>2300</v>
      </c>
      <c r="H30" s="308">
        <f t="shared" ca="1" si="9"/>
        <v>0</v>
      </c>
      <c r="I30" s="308">
        <f t="shared" ca="1" si="10"/>
        <v>4600</v>
      </c>
      <c r="J30" s="308">
        <f t="shared" ca="1" si="11"/>
        <v>0</v>
      </c>
      <c r="K30" s="309">
        <f t="shared" ca="1" si="12"/>
        <v>4600</v>
      </c>
      <c r="L30" s="316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14">
        <v>5</v>
      </c>
      <c r="C31" s="515" t="s">
        <v>630</v>
      </c>
      <c r="D31" s="305" t="str">
        <f ca="1">IF(ISERROR(OFFSET('HARGA SATUAN'!$D$6,MATCH(RAB!C31,'HARGA SATUAN'!$C$7:$C$1495,0),0)),"",OFFSET('HARGA SATUAN'!$D$6,MATCH(RAB!C31,'HARGA SATUAN'!$C$7:$C$1495,0),0))</f>
        <v>JASA</v>
      </c>
      <c r="E31" s="306" t="str">
        <f ca="1">IF(B31="+","Unit",IF(ISERROR(OFFSET('HARGA SATUAN'!$E$6,MATCH(RAB!C31,'HARGA SATUAN'!$C$7:$C$1495,0),0)),"",OFFSET('HARGA SATUAN'!$E$6,MATCH(RAB!C31,'HARGA SATUAN'!$C$7:$C$1495,0),0)))</f>
        <v>Unit</v>
      </c>
      <c r="F31" s="451">
        <f>F26*1</f>
        <v>2</v>
      </c>
      <c r="G31" s="307">
        <f ca="1">IF(ISERROR(OFFSET('HARGA SATUAN'!$I$6,MATCH(RAB!C31,'HARGA SATUAN'!$C$7:$C$1495,0),0)),0,OFFSET('HARGA SATUAN'!$I$6,MATCH(RAB!C31,'HARGA SATUAN'!$C$7:$C$1495,0),0))</f>
        <v>35700</v>
      </c>
      <c r="H31" s="308">
        <f t="shared" ca="1" si="9"/>
        <v>0</v>
      </c>
      <c r="I31" s="308">
        <f t="shared" ca="1" si="10"/>
        <v>0</v>
      </c>
      <c r="J31" s="308">
        <f t="shared" ca="1" si="11"/>
        <v>71400</v>
      </c>
      <c r="K31" s="309">
        <f t="shared" ca="1" si="12"/>
        <v>71400</v>
      </c>
      <c r="L31" s="316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14"/>
      <c r="C32" s="515"/>
      <c r="D32" s="305" t="str">
        <f ca="1">IF(ISERROR(OFFSET('HARGA SATUAN'!$D$6,MATCH(RAB!C32,'HARGA SATUAN'!$C$7:$C$1495,0),0)),"",OFFSET('HARGA SATUAN'!$D$6,MATCH(RAB!C32,'HARGA SATUAN'!$C$7:$C$1495,0),0))</f>
        <v/>
      </c>
      <c r="E32" s="306" t="str">
        <f ca="1">IF(B32="+","Unit",IF(ISERROR(OFFSET('HARGA SATUAN'!$E$6,MATCH(RAB!C32,'HARGA SATUAN'!$C$7:$C$1495,0),0)),"",OFFSET('HARGA SATUAN'!$E$6,MATCH(RAB!C32,'HARGA SATUAN'!$C$7:$C$1495,0),0)))</f>
        <v/>
      </c>
      <c r="F32" s="451"/>
      <c r="G32" s="307">
        <f ca="1">IF(ISERROR(OFFSET('HARGA SATUAN'!$I$6,MATCH(RAB!C32,'HARGA SATUAN'!$C$7:$C$1495,0),0)),0,OFFSET('HARGA SATUAN'!$I$6,MATCH(RAB!C32,'HARGA SATUAN'!$C$7:$C$1495,0),0))</f>
        <v>0</v>
      </c>
      <c r="H32" s="308">
        <f t="shared" ref="H32" ca="1" si="14">IF(OR(D32="MDU",D32="MDU-KD"),(IF($O$3="RAB NON MDU","PLN KD",G32*F32)),0)</f>
        <v>0</v>
      </c>
      <c r="I32" s="308">
        <f t="shared" ref="I32" ca="1" si="15">IF(D32="HDW",G32*F32,0)</f>
        <v>0</v>
      </c>
      <c r="J32" s="308">
        <f t="shared" ref="J32" ca="1" si="16">IF(D32="JASA",G32*F32,0)</f>
        <v>0</v>
      </c>
      <c r="K32" s="309">
        <f t="shared" ref="K32" ca="1" si="17">SUM(H32:J32)</f>
        <v>0</v>
      </c>
      <c r="L32" s="316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20"/>
      <c r="C33" s="417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1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ref="H33:H54" ca="1" si="18">IF(OR(D33="MDU",D33="MDU-KD"),(IF($O$3="RAB NON MDU","PLN KD",G33*F33)),0)</f>
        <v>0</v>
      </c>
      <c r="I33" s="308">
        <f t="shared" ref="I33:I54" ca="1" si="19">IF(D33="HDW",G33*F33,0)</f>
        <v>0</v>
      </c>
      <c r="J33" s="308">
        <f t="shared" ref="J33:J54" ca="1" si="20">IF(D33="JASA",G33*F33,0)</f>
        <v>0</v>
      </c>
      <c r="K33" s="309">
        <f t="shared" ref="K33:K54" ca="1" si="21">SUM(H33:J33)</f>
        <v>0</v>
      </c>
      <c r="L33" s="316"/>
      <c r="M33" s="289" t="e">
        <f>IF(AND(F33&gt;0,#REF!=0),"",IF(AND(ISBLANK(F33)=FALSE,K33=0),"WARNING",""))</f>
        <v>#REF!</v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 hidden="1">
      <c r="A34" s="283"/>
      <c r="B34" s="420">
        <v>10</v>
      </c>
      <c r="C34" s="417" t="s">
        <v>1615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3"/>
      <c r="G34" s="307">
        <f ca="1">IF(ISERROR(OFFSET('HARGA SATUAN'!$I$6,MATCH(RAB!C34,'HARGA SATUAN'!$C$7:$C$1495,0),0)),0,OFFSET('HARGA SATUAN'!$I$6,MATCH(RAB!C34,'HARGA SATUAN'!$C$7:$C$1495,0),0))</f>
        <v>49000</v>
      </c>
      <c r="H34" s="308">
        <f t="shared" ca="1" si="18"/>
        <v>0</v>
      </c>
      <c r="I34" s="308">
        <f t="shared" ca="1" si="19"/>
        <v>0</v>
      </c>
      <c r="J34" s="308">
        <f t="shared" ca="1" si="20"/>
        <v>0</v>
      </c>
      <c r="K34" s="309">
        <f t="shared" ca="1" si="21"/>
        <v>0</v>
      </c>
      <c r="L34" s="316"/>
      <c r="M34" s="289" t="str">
        <f t="shared" ref="M34:M72" ca="1" si="22">IF(AND(F34&gt;0,F33=0),"",IF(AND(ISBLANK(F34)=FALSE,K34=0),"WARNING",""))</f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 hidden="1">
      <c r="A35" s="283"/>
      <c r="B35" s="449"/>
      <c r="C35" s="450"/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/>
      </c>
      <c r="F35" s="453"/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18"/>
        <v>0</v>
      </c>
      <c r="I35" s="308">
        <f t="shared" ca="1" si="19"/>
        <v>0</v>
      </c>
      <c r="J35" s="308">
        <f t="shared" ca="1" si="20"/>
        <v>0</v>
      </c>
      <c r="K35" s="309">
        <f t="shared" ca="1" si="21"/>
        <v>0</v>
      </c>
      <c r="L35" s="316"/>
      <c r="M35" s="289" t="str">
        <f t="shared" ca="1" si="22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 hidden="1">
      <c r="A36" s="283"/>
      <c r="B36" s="449"/>
      <c r="C36" s="450"/>
      <c r="D36" s="305" t="str">
        <f ca="1">IF(ISERROR(OFFSET('HARGA SATUAN'!$D$6,MATCH(RAB!C36,'HARGA SATUAN'!$C$7:$C$1495,0),0)),"",OFFSET('HARGA SATUAN'!$D$6,MATCH(RAB!C36,'HARGA SATUAN'!$C$7:$C$1495,0),0))</f>
        <v/>
      </c>
      <c r="E36" s="306" t="str">
        <f ca="1">IF(B36="+","Unit",IF(ISERROR(OFFSET('HARGA SATUAN'!$E$6,MATCH(RAB!C36,'HARGA SATUAN'!$C$7:$C$1495,0),0)),"",OFFSET('HARGA SATUAN'!$E$6,MATCH(RAB!C36,'HARGA SATUAN'!$C$7:$C$1495,0),0)))</f>
        <v/>
      </c>
      <c r="F36" s="453"/>
      <c r="G36" s="307">
        <f ca="1">IF(ISERROR(OFFSET('HARGA SATUAN'!$I$6,MATCH(RAB!C36,'HARGA SATUAN'!$C$7:$C$1495,0),0)),0,OFFSET('HARGA SATUAN'!$I$6,MATCH(RAB!C36,'HARGA SATUAN'!$C$7:$C$1495,0),0))</f>
        <v>0</v>
      </c>
      <c r="H36" s="308">
        <f t="shared" ca="1" si="18"/>
        <v>0</v>
      </c>
      <c r="I36" s="308">
        <f t="shared" ca="1" si="19"/>
        <v>0</v>
      </c>
      <c r="J36" s="308">
        <f t="shared" ca="1" si="20"/>
        <v>0</v>
      </c>
      <c r="K36" s="309">
        <f t="shared" ca="1" si="21"/>
        <v>0</v>
      </c>
      <c r="L36" s="316"/>
      <c r="M36" s="289" t="str">
        <f t="shared" ca="1" si="22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 hidden="1">
      <c r="A37" s="283"/>
      <c r="B37" s="449"/>
      <c r="C37" s="450"/>
      <c r="D37" s="305" t="str">
        <f ca="1">IF(ISERROR(OFFSET('HARGA SATUAN'!$D$6,MATCH(RAB!C37,'HARGA SATUAN'!$C$7:$C$1495,0),0)),"",OFFSET('HARGA SATUAN'!$D$6,MATCH(RAB!C37,'HARGA SATUAN'!$C$7:$C$1495,0),0))</f>
        <v/>
      </c>
      <c r="E37" s="306" t="str">
        <f ca="1">IF(B37="+","Unit",IF(ISERROR(OFFSET('HARGA SATUAN'!$E$6,MATCH(RAB!C37,'HARGA SATUAN'!$C$7:$C$1495,0),0)),"",OFFSET('HARGA SATUAN'!$E$6,MATCH(RAB!C37,'HARGA SATUAN'!$C$7:$C$1495,0),0)))</f>
        <v/>
      </c>
      <c r="F37" s="453"/>
      <c r="G37" s="307">
        <f ca="1">IF(ISERROR(OFFSET('HARGA SATUAN'!$I$6,MATCH(RAB!C37,'HARGA SATUAN'!$C$7:$C$1495,0),0)),0,OFFSET('HARGA SATUAN'!$I$6,MATCH(RAB!C37,'HARGA SATUAN'!$C$7:$C$1495,0),0))</f>
        <v>0</v>
      </c>
      <c r="H37" s="308">
        <f t="shared" ca="1" si="18"/>
        <v>0</v>
      </c>
      <c r="I37" s="308">
        <f t="shared" ca="1" si="19"/>
        <v>0</v>
      </c>
      <c r="J37" s="308">
        <f t="shared" ca="1" si="20"/>
        <v>0</v>
      </c>
      <c r="K37" s="309">
        <f t="shared" ca="1" si="21"/>
        <v>0</v>
      </c>
      <c r="L37" s="316"/>
      <c r="M37" s="289" t="str">
        <f t="shared" ca="1" si="22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 hidden="1">
      <c r="A38" s="283"/>
      <c r="B38" s="449"/>
      <c r="C38" s="450"/>
      <c r="D38" s="305" t="str">
        <f ca="1">IF(ISERROR(OFFSET('HARGA SATUAN'!$D$6,MATCH(RAB!C38,'HARGA SATUAN'!$C$7:$C$1495,0),0)),"",OFFSET('HARGA SATUAN'!$D$6,MATCH(RAB!C38,'HARGA SATUAN'!$C$7:$C$1495,0),0))</f>
        <v/>
      </c>
      <c r="E38" s="306" t="str">
        <f ca="1">IF(B38="+","Unit",IF(ISERROR(OFFSET('HARGA SATUAN'!$E$6,MATCH(RAB!C38,'HARGA SATUAN'!$C$7:$C$1495,0),0)),"",OFFSET('HARGA SATUAN'!$E$6,MATCH(RAB!C38,'HARGA SATUAN'!$C$7:$C$1495,0),0)))</f>
        <v/>
      </c>
      <c r="F38" s="453"/>
      <c r="G38" s="307">
        <f ca="1">IF(ISERROR(OFFSET('HARGA SATUAN'!$I$6,MATCH(RAB!C38,'HARGA SATUAN'!$C$7:$C$1495,0),0)),0,OFFSET('HARGA SATUAN'!$I$6,MATCH(RAB!C38,'HARGA SATUAN'!$C$7:$C$1495,0),0))</f>
        <v>0</v>
      </c>
      <c r="H38" s="308">
        <f t="shared" ca="1" si="18"/>
        <v>0</v>
      </c>
      <c r="I38" s="308">
        <f t="shared" ca="1" si="19"/>
        <v>0</v>
      </c>
      <c r="J38" s="308">
        <f t="shared" ca="1" si="20"/>
        <v>0</v>
      </c>
      <c r="K38" s="309">
        <f t="shared" ca="1" si="21"/>
        <v>0</v>
      </c>
      <c r="L38" s="316"/>
      <c r="M38" s="289" t="str">
        <f t="shared" ca="1" si="22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 hidden="1">
      <c r="A39" s="283"/>
      <c r="B39" s="449"/>
      <c r="C39" s="450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53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18"/>
        <v>0</v>
      </c>
      <c r="I39" s="308">
        <f t="shared" ca="1" si="19"/>
        <v>0</v>
      </c>
      <c r="J39" s="308">
        <f t="shared" ca="1" si="20"/>
        <v>0</v>
      </c>
      <c r="K39" s="309">
        <f t="shared" ca="1" si="21"/>
        <v>0</v>
      </c>
      <c r="L39" s="316"/>
      <c r="M39" s="289" t="str">
        <f t="shared" ca="1" si="22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idden="1">
      <c r="A40" s="283"/>
      <c r="B40" s="449"/>
      <c r="C40" s="450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3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18"/>
        <v>0</v>
      </c>
      <c r="I40" s="308">
        <f t="shared" ca="1" si="19"/>
        <v>0</v>
      </c>
      <c r="J40" s="308">
        <f t="shared" ca="1" si="20"/>
        <v>0</v>
      </c>
      <c r="K40" s="309">
        <f t="shared" ca="1" si="21"/>
        <v>0</v>
      </c>
      <c r="L40" s="316"/>
      <c r="M40" s="289" t="str">
        <f t="shared" ca="1" si="22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idden="1">
      <c r="A41" s="283"/>
      <c r="B41" s="449"/>
      <c r="C41" s="450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53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18"/>
        <v>0</v>
      </c>
      <c r="I41" s="308">
        <f t="shared" ca="1" si="19"/>
        <v>0</v>
      </c>
      <c r="J41" s="308">
        <f t="shared" ca="1" si="20"/>
        <v>0</v>
      </c>
      <c r="K41" s="309">
        <f t="shared" ca="1" si="21"/>
        <v>0</v>
      </c>
      <c r="L41" s="316"/>
      <c r="M41" s="289" t="str">
        <f t="shared" ca="1" si="22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idden="1">
      <c r="A42" s="283"/>
      <c r="B42" s="449"/>
      <c r="C42" s="450"/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/>
      </c>
      <c r="F42" s="453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18"/>
        <v>0</v>
      </c>
      <c r="I42" s="308">
        <f t="shared" ca="1" si="19"/>
        <v>0</v>
      </c>
      <c r="J42" s="308">
        <f t="shared" ca="1" si="20"/>
        <v>0</v>
      </c>
      <c r="K42" s="309">
        <f t="shared" ca="1" si="21"/>
        <v>0</v>
      </c>
      <c r="L42" s="316"/>
      <c r="M42" s="289" t="str">
        <f t="shared" ca="1" si="22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idden="1">
      <c r="A43" s="283"/>
      <c r="B43" s="449"/>
      <c r="C43" s="450"/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/>
      </c>
      <c r="F43" s="453"/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18"/>
        <v>0</v>
      </c>
      <c r="I43" s="308">
        <f t="shared" ca="1" si="19"/>
        <v>0</v>
      </c>
      <c r="J43" s="308">
        <f t="shared" ca="1" si="20"/>
        <v>0</v>
      </c>
      <c r="K43" s="309">
        <f t="shared" ca="1" si="21"/>
        <v>0</v>
      </c>
      <c r="L43" s="316"/>
      <c r="M43" s="289" t="str">
        <f t="shared" ca="1" si="22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idden="1">
      <c r="A44" s="283"/>
      <c r="B44" s="449"/>
      <c r="C44" s="450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3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ca="1" si="18"/>
        <v>0</v>
      </c>
      <c r="I44" s="308">
        <f t="shared" ca="1" si="19"/>
        <v>0</v>
      </c>
      <c r="J44" s="308">
        <f t="shared" ca="1" si="20"/>
        <v>0</v>
      </c>
      <c r="K44" s="309">
        <f t="shared" ca="1" si="21"/>
        <v>0</v>
      </c>
      <c r="L44" s="316"/>
      <c r="M44" s="289" t="str">
        <f t="shared" ca="1" si="22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49"/>
      <c r="C45" s="450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3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8"/>
        <v>0</v>
      </c>
      <c r="I45" s="308">
        <f t="shared" ca="1" si="19"/>
        <v>0</v>
      </c>
      <c r="J45" s="308">
        <f t="shared" ca="1" si="20"/>
        <v>0</v>
      </c>
      <c r="K45" s="309">
        <f t="shared" ca="1" si="21"/>
        <v>0</v>
      </c>
      <c r="L45" s="316"/>
      <c r="M45" s="289" t="str">
        <f t="shared" ca="1" si="22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49"/>
      <c r="C46" s="450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3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8"/>
        <v>0</v>
      </c>
      <c r="I46" s="308">
        <f t="shared" ca="1" si="19"/>
        <v>0</v>
      </c>
      <c r="J46" s="308">
        <f t="shared" ca="1" si="20"/>
        <v>0</v>
      </c>
      <c r="K46" s="309">
        <f t="shared" ca="1" si="21"/>
        <v>0</v>
      </c>
      <c r="L46" s="316"/>
      <c r="M46" s="289" t="str">
        <f t="shared" ca="1" si="22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49"/>
      <c r="C47" s="450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3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8"/>
        <v>0</v>
      </c>
      <c r="I47" s="308">
        <f t="shared" ca="1" si="19"/>
        <v>0</v>
      </c>
      <c r="J47" s="308">
        <f t="shared" ca="1" si="20"/>
        <v>0</v>
      </c>
      <c r="K47" s="309">
        <f t="shared" ca="1" si="21"/>
        <v>0</v>
      </c>
      <c r="L47" s="316"/>
      <c r="M47" s="289" t="str">
        <f t="shared" ca="1" si="22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49"/>
      <c r="C48" s="450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3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8"/>
        <v>0</v>
      </c>
      <c r="I48" s="308">
        <f t="shared" ca="1" si="19"/>
        <v>0</v>
      </c>
      <c r="J48" s="308">
        <f t="shared" ca="1" si="20"/>
        <v>0</v>
      </c>
      <c r="K48" s="309">
        <f t="shared" ca="1" si="21"/>
        <v>0</v>
      </c>
      <c r="L48" s="316"/>
      <c r="M48" s="289" t="str">
        <f t="shared" ca="1" si="22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49"/>
      <c r="C49" s="450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3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8"/>
        <v>0</v>
      </c>
      <c r="I49" s="308">
        <f t="shared" ca="1" si="19"/>
        <v>0</v>
      </c>
      <c r="J49" s="308">
        <f t="shared" ca="1" si="20"/>
        <v>0</v>
      </c>
      <c r="K49" s="309">
        <f t="shared" ca="1" si="21"/>
        <v>0</v>
      </c>
      <c r="L49" s="316"/>
      <c r="M49" s="289" t="str">
        <f t="shared" ca="1" si="22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49"/>
      <c r="C50" s="450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3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8"/>
        <v>0</v>
      </c>
      <c r="I50" s="308">
        <f t="shared" ca="1" si="19"/>
        <v>0</v>
      </c>
      <c r="J50" s="308">
        <f t="shared" ca="1" si="20"/>
        <v>0</v>
      </c>
      <c r="K50" s="309">
        <f t="shared" ca="1" si="21"/>
        <v>0</v>
      </c>
      <c r="L50" s="316"/>
      <c r="M50" s="289" t="str">
        <f t="shared" ca="1" si="22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49"/>
      <c r="C51" s="450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3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8"/>
        <v>0</v>
      </c>
      <c r="I51" s="308">
        <f t="shared" ca="1" si="19"/>
        <v>0</v>
      </c>
      <c r="J51" s="308">
        <f t="shared" ca="1" si="20"/>
        <v>0</v>
      </c>
      <c r="K51" s="309">
        <f t="shared" ca="1" si="21"/>
        <v>0</v>
      </c>
      <c r="L51" s="316"/>
      <c r="M51" s="289" t="str">
        <f t="shared" ca="1" si="22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49"/>
      <c r="C52" s="450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3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8"/>
        <v>0</v>
      </c>
      <c r="I52" s="308">
        <f t="shared" ca="1" si="19"/>
        <v>0</v>
      </c>
      <c r="J52" s="308">
        <f t="shared" ca="1" si="20"/>
        <v>0</v>
      </c>
      <c r="K52" s="309">
        <f t="shared" ca="1" si="21"/>
        <v>0</v>
      </c>
      <c r="L52" s="316"/>
      <c r="M52" s="289" t="str">
        <f t="shared" ca="1" si="22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49"/>
      <c r="C53" s="450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3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8"/>
        <v>0</v>
      </c>
      <c r="I53" s="308">
        <f t="shared" ca="1" si="19"/>
        <v>0</v>
      </c>
      <c r="J53" s="308">
        <f t="shared" ca="1" si="20"/>
        <v>0</v>
      </c>
      <c r="K53" s="309">
        <f t="shared" ca="1" si="21"/>
        <v>0</v>
      </c>
      <c r="L53" s="316"/>
      <c r="M53" s="289" t="str">
        <f t="shared" ca="1" si="22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49"/>
      <c r="C54" s="450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3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8"/>
        <v>0</v>
      </c>
      <c r="I54" s="308">
        <f t="shared" ca="1" si="19"/>
        <v>0</v>
      </c>
      <c r="J54" s="308">
        <f t="shared" ca="1" si="20"/>
        <v>0</v>
      </c>
      <c r="K54" s="309">
        <f t="shared" ca="1" si="21"/>
        <v>0</v>
      </c>
      <c r="L54" s="316"/>
      <c r="M54" s="289" t="str">
        <f t="shared" ca="1" si="22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418" t="s">
        <v>1602</v>
      </c>
      <c r="C55" s="421" t="s">
        <v>1604</v>
      </c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4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ref="H55:H56" ca="1" si="23">IF(OR(D55="MDU",D55="MDU-KD"),(IF($O$3="RAB NON MDU","PLN KD",G55*F55)),0)</f>
        <v>0</v>
      </c>
      <c r="I55" s="308">
        <f t="shared" ref="I55:I56" ca="1" si="24">IF(D55="HDW",G55*F55,0)</f>
        <v>0</v>
      </c>
      <c r="J55" s="308">
        <f t="shared" ref="J55:J56" ca="1" si="25">IF(D55="JASA",G55*F55,0)</f>
        <v>0</v>
      </c>
      <c r="K55" s="309">
        <f t="shared" ref="K55:K56" ca="1" si="26">SUM(H55:J55)</f>
        <v>0</v>
      </c>
      <c r="L55" s="316"/>
      <c r="M55" s="289" t="str">
        <f t="shared" ca="1" si="22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318">
        <v>1</v>
      </c>
      <c r="C56" s="109" t="s">
        <v>1457</v>
      </c>
      <c r="D56" s="305" t="str">
        <f ca="1">IF(ISERROR(OFFSET('HARGA SATUAN'!$D$6,MATCH(RAB!C56,'HARGA SATUAN'!$C$7:$C$1495,0),0)),"",OFFSET('HARGA SATUAN'!$D$6,MATCH(RAB!C56,'HARGA SATUAN'!$C$7:$C$1495,0),0))</f>
        <v>MDU-KD</v>
      </c>
      <c r="E56" s="306" t="str">
        <f ca="1">IF(B56="+","Unit",IF(ISERROR(OFFSET('HARGA SATUAN'!$E$6,MATCH(RAB!C56,'HARGA SATUAN'!$C$7:$C$1495,0),0)),"",OFFSET('HARGA SATUAN'!$E$6,MATCH(RAB!C56,'HARGA SATUAN'!$C$7:$C$1495,0),0)))</f>
        <v>Mtr</v>
      </c>
      <c r="F56" s="419">
        <v>50</v>
      </c>
      <c r="G56" s="307">
        <f ca="1">IF(ISERROR(OFFSET('HARGA SATUAN'!$I$6,MATCH(RAB!C56,'HARGA SATUAN'!$C$7:$C$1495,0),0)),0,OFFSET('HARGA SATUAN'!$I$6,MATCH(RAB!C56,'HARGA SATUAN'!$C$7:$C$1495,0),0))</f>
        <v>54500</v>
      </c>
      <c r="H56" s="308">
        <f t="shared" ca="1" si="23"/>
        <v>2725000</v>
      </c>
      <c r="I56" s="308">
        <f t="shared" ca="1" si="24"/>
        <v>0</v>
      </c>
      <c r="J56" s="308">
        <f t="shared" ca="1" si="25"/>
        <v>0</v>
      </c>
      <c r="K56" s="309">
        <f t="shared" ca="1" si="26"/>
        <v>2725000</v>
      </c>
      <c r="L56" s="316"/>
      <c r="M56" s="289" t="str">
        <f t="shared" si="22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318">
        <v>2</v>
      </c>
      <c r="C57" s="109" t="s">
        <v>346</v>
      </c>
      <c r="D57" s="305" t="str">
        <f ca="1">IF(ISERROR(OFFSET('HARGA SATUAN'!$D$6,MATCH(RAB!C57,'HARGA SATUAN'!$C$7:$C$1495,0),0)),"",OFFSET('HARGA SATUAN'!$D$6,MATCH(RAB!C57,'HARGA SATUAN'!$C$7:$C$1495,0),0))</f>
        <v>JASA</v>
      </c>
      <c r="E57" s="306" t="str">
        <f ca="1">IF(B57="+","Unit",IF(ISERROR(OFFSET('HARGA SATUAN'!$E$6,MATCH(RAB!C57,'HARGA SATUAN'!$C$7:$C$1495,0),0)),"",OFFSET('HARGA SATUAN'!$E$6,MATCH(RAB!C57,'HARGA SATUAN'!$C$7:$C$1495,0),0)))</f>
        <v>Per 50 m</v>
      </c>
      <c r="F57" s="419">
        <v>1</v>
      </c>
      <c r="G57" s="307">
        <f ca="1">IF(ISERROR(OFFSET('HARGA SATUAN'!$I$6,MATCH(RAB!C57,'HARGA SATUAN'!$C$7:$C$1495,0),0)),0,OFFSET('HARGA SATUAN'!$I$6,MATCH(RAB!C57,'HARGA SATUAN'!$C$7:$C$1495,0),0))</f>
        <v>223500</v>
      </c>
      <c r="H57" s="308">
        <f t="shared" ref="H57" ca="1" si="27">IF(OR(D57="MDU",D57="MDU-KD"),(IF($O$3="RAB NON MDU","PLN KD",G57*F57)),0)</f>
        <v>0</v>
      </c>
      <c r="I57" s="308">
        <f t="shared" ref="I57" ca="1" si="28">IF(D57="HDW",G57*F57,0)</f>
        <v>0</v>
      </c>
      <c r="J57" s="308">
        <f t="shared" ref="J57" ca="1" si="29">IF(D57="JASA",G57*F57,0)</f>
        <v>223500</v>
      </c>
      <c r="K57" s="309">
        <f t="shared" ref="K57" ca="1" si="30">SUM(H57:J57)</f>
        <v>223500</v>
      </c>
      <c r="L57" s="316"/>
      <c r="M57" s="289" t="str">
        <f t="shared" ca="1" si="22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318"/>
      <c r="C58" s="319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19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ref="H58:H76" ca="1" si="31">IF(OR(D58="MDU",D58="MDU-KD"),(IF($O$3="RAB NON MDU","PLN KD",G58*F58)),0)</f>
        <v>0</v>
      </c>
      <c r="I58" s="308">
        <f t="shared" ref="I58:I76" ca="1" si="32">IF(D58="HDW",G58*F58,0)</f>
        <v>0</v>
      </c>
      <c r="J58" s="308">
        <f t="shared" ref="J58:J76" ca="1" si="33">IF(D58="JASA",G58*F58,0)</f>
        <v>0</v>
      </c>
      <c r="K58" s="309">
        <f t="shared" ref="K58:K76" ca="1" si="34">SUM(H58:J58)</f>
        <v>0</v>
      </c>
      <c r="L58" s="316"/>
      <c r="M58" s="289" t="e">
        <f>IF(AND(F58&gt;0,#REF!=0),"",IF(AND(ISBLANK(F58)=FALSE,K58=0),"WARNING",""))</f>
        <v>#REF!</v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418" t="s">
        <v>1610</v>
      </c>
      <c r="C59" s="421" t="s">
        <v>1606</v>
      </c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5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ref="H59:H75" ca="1" si="35">IF(OR(D59="MDU",D59="MDU-KD"),(IF($O$3="RAB NON MDU","PLN KD",G59*F59)),0)</f>
        <v>0</v>
      </c>
      <c r="I59" s="308">
        <f t="shared" ref="I59:I75" ca="1" si="36">IF(D59="HDW",G59*F59,0)</f>
        <v>0</v>
      </c>
      <c r="J59" s="308">
        <f t="shared" ref="J59:J75" ca="1" si="37">IF(D59="JASA",G59*F59,0)</f>
        <v>0</v>
      </c>
      <c r="K59" s="309">
        <f t="shared" ref="K59:K75" ca="1" si="38">SUM(H59:J59)</f>
        <v>0</v>
      </c>
      <c r="L59" s="316"/>
      <c r="M59" s="289" t="str">
        <f t="shared" ca="1" si="22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462" t="s">
        <v>1035</v>
      </c>
      <c r="C60" s="463" t="s">
        <v>1626</v>
      </c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>Unit</v>
      </c>
      <c r="F60" s="518">
        <v>1</v>
      </c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35"/>
        <v>0</v>
      </c>
      <c r="I60" s="308">
        <f t="shared" ca="1" si="36"/>
        <v>0</v>
      </c>
      <c r="J60" s="308">
        <f t="shared" ca="1" si="37"/>
        <v>0</v>
      </c>
      <c r="K60" s="309">
        <f t="shared" ca="1" si="38"/>
        <v>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t="30">
      <c r="A61" s="283"/>
      <c r="B61" s="516">
        <v>1</v>
      </c>
      <c r="C61" s="109" t="s">
        <v>1196</v>
      </c>
      <c r="D61" s="305" t="str">
        <f ca="1">IF(ISERROR(OFFSET('HARGA SATUAN'!$D$6,MATCH(RAB!C61,'HARGA SATUAN'!$C$7:$C$1495,0),0)),"",OFFSET('HARGA SATUAN'!$D$6,MATCH(RAB!C61,'HARGA SATUAN'!$C$7:$C$1495,0),0))</f>
        <v>MDU-KD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518">
        <f>F60*1</f>
        <v>1</v>
      </c>
      <c r="G61" s="307">
        <f ca="1">IF(ISERROR(OFFSET('HARGA SATUAN'!$I$6,MATCH(RAB!C61,'HARGA SATUAN'!$C$7:$C$1495,0),0)),0,OFFSET('HARGA SATUAN'!$I$6,MATCH(RAB!C61,'HARGA SATUAN'!$C$7:$C$1495,0),0))</f>
        <v>1427400</v>
      </c>
      <c r="H61" s="308">
        <f t="shared" ca="1" si="35"/>
        <v>1427400</v>
      </c>
      <c r="I61" s="308">
        <f t="shared" ca="1" si="36"/>
        <v>0</v>
      </c>
      <c r="J61" s="308">
        <f t="shared" ca="1" si="37"/>
        <v>0</v>
      </c>
      <c r="K61" s="309">
        <f t="shared" ca="1" si="38"/>
        <v>1427400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516">
        <v>2</v>
      </c>
      <c r="C62" s="517" t="s">
        <v>513</v>
      </c>
      <c r="D62" s="305" t="str">
        <f ca="1">IF(ISERROR(OFFSET('HARGA SATUAN'!$D$6,MATCH(RAB!C62,'HARGA SATUAN'!$C$7:$C$1495,0),0)),"",OFFSET('HARGA SATUAN'!$D$6,MATCH(RAB!C62,'HARGA SATUAN'!$C$7:$C$1495,0),0))</f>
        <v>MDU-KD</v>
      </c>
      <c r="E62" s="306" t="str">
        <f ca="1">IF(B62="+","Unit",IF(ISERROR(OFFSET('HARGA SATUAN'!$E$6,MATCH(RAB!C62,'HARGA SATUAN'!$C$7:$C$1495,0),0)),"",OFFSET('HARGA SATUAN'!$E$6,MATCH(RAB!C62,'HARGA SATUAN'!$C$7:$C$1495,0),0)))</f>
        <v>Unit</v>
      </c>
      <c r="F62" s="518">
        <f>F60*1</f>
        <v>1</v>
      </c>
      <c r="G62" s="307">
        <f ca="1">IF(ISERROR(OFFSET('HARGA SATUAN'!$I$6,MATCH(RAB!C62,'HARGA SATUAN'!$C$7:$C$1495,0),0)),0,OFFSET('HARGA SATUAN'!$I$6,MATCH(RAB!C62,'HARGA SATUAN'!$C$7:$C$1495,0),0))</f>
        <v>3564900</v>
      </c>
      <c r="H62" s="308">
        <f t="shared" ca="1" si="35"/>
        <v>3564900</v>
      </c>
      <c r="I62" s="308">
        <f t="shared" ca="1" si="36"/>
        <v>0</v>
      </c>
      <c r="J62" s="308">
        <f t="shared" ca="1" si="37"/>
        <v>0</v>
      </c>
      <c r="K62" s="309">
        <f t="shared" ca="1" si="38"/>
        <v>3564900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516">
        <v>3</v>
      </c>
      <c r="C63" s="517" t="s">
        <v>1141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Unit</v>
      </c>
      <c r="F63" s="518">
        <f>F60*1</f>
        <v>1</v>
      </c>
      <c r="G63" s="307">
        <f ca="1">IF(ISERROR(OFFSET('HARGA SATUAN'!$I$6,MATCH(RAB!C63,'HARGA SATUAN'!$C$7:$C$1495,0),0)),0,OFFSET('HARGA SATUAN'!$I$6,MATCH(RAB!C63,'HARGA SATUAN'!$C$7:$C$1495,0),0))</f>
        <v>1113900</v>
      </c>
      <c r="H63" s="308">
        <f t="shared" ca="1" si="35"/>
        <v>0</v>
      </c>
      <c r="I63" s="308">
        <f t="shared" ca="1" si="36"/>
        <v>1113900</v>
      </c>
      <c r="J63" s="308">
        <f t="shared" ca="1" si="37"/>
        <v>0</v>
      </c>
      <c r="K63" s="309">
        <f t="shared" ca="1" si="38"/>
        <v>1113900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516">
        <v>4</v>
      </c>
      <c r="C64" s="109" t="s">
        <v>1402</v>
      </c>
      <c r="D64" s="305" t="str">
        <f ca="1">IF(ISERROR(OFFSET('HARGA SATUAN'!$D$6,MATCH(RAB!C64,'HARGA SATUAN'!$C$7:$C$1495,0),0)),"",OFFSET('HARGA SATUAN'!$D$6,MATCH(RAB!C64,'HARGA SATUAN'!$C$7:$C$1495,0),0))</f>
        <v>MDU-KD</v>
      </c>
      <c r="E64" s="306" t="str">
        <f ca="1">IF(B64="+","Unit",IF(ISERROR(OFFSET('HARGA SATUAN'!$E$6,MATCH(RAB!C64,'HARGA SATUAN'!$C$7:$C$1495,0),0)),"",OFFSET('HARGA SATUAN'!$E$6,MATCH(RAB!C64,'HARGA SATUAN'!$C$7:$C$1495,0),0)))</f>
        <v>Mtr</v>
      </c>
      <c r="F64" s="518">
        <v>35</v>
      </c>
      <c r="G64" s="307">
        <f ca="1">IF(ISERROR(OFFSET('HARGA SATUAN'!$I$6,MATCH(RAB!C64,'HARGA SATUAN'!$C$7:$C$1495,0),0)),0,OFFSET('HARGA SATUAN'!$I$6,MATCH(RAB!C64,'HARGA SATUAN'!$C$7:$C$1495,0),0))</f>
        <v>30400</v>
      </c>
      <c r="H64" s="308">
        <f t="shared" ca="1" si="35"/>
        <v>1064000</v>
      </c>
      <c r="I64" s="308">
        <f t="shared" ca="1" si="36"/>
        <v>0</v>
      </c>
      <c r="J64" s="308">
        <f t="shared" ca="1" si="37"/>
        <v>0</v>
      </c>
      <c r="K64" s="309">
        <f t="shared" ca="1" si="38"/>
        <v>1064000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516">
        <v>5</v>
      </c>
      <c r="C65" s="517" t="s">
        <v>799</v>
      </c>
      <c r="D65" s="305" t="str">
        <f ca="1">IF(ISERROR(OFFSET('HARGA SATUAN'!$D$6,MATCH(RAB!C65,'HARGA SATUAN'!$C$7:$C$1495,0),0)),"",OFFSET('HARGA SATUAN'!$D$6,MATCH(RAB!C65,'HARGA SATUAN'!$C$7:$C$1495,0),0))</f>
        <v>JASA</v>
      </c>
      <c r="E65" s="306" t="str">
        <f ca="1">IF(B65="+","Unit",IF(ISERROR(OFFSET('HARGA SATUAN'!$E$6,MATCH(RAB!C65,'HARGA SATUAN'!$C$7:$C$1495,0),0)),"",OFFSET('HARGA SATUAN'!$E$6,MATCH(RAB!C65,'HARGA SATUAN'!$C$7:$C$1495,0),0)))</f>
        <v>Unit</v>
      </c>
      <c r="F65" s="518">
        <f>F60*1</f>
        <v>1</v>
      </c>
      <c r="G65" s="307">
        <f ca="1">IF(ISERROR(OFFSET('HARGA SATUAN'!$I$6,MATCH(RAB!C65,'HARGA SATUAN'!$C$7:$C$1495,0),0)),0,OFFSET('HARGA SATUAN'!$I$6,MATCH(RAB!C65,'HARGA SATUAN'!$C$7:$C$1495,0),0))</f>
        <v>106400</v>
      </c>
      <c r="H65" s="308">
        <f t="shared" ref="H65" ca="1" si="39">IF(OR(D65="MDU",D65="MDU-KD"),(IF($O$3="RAB NON MDU","PLN KD",G65*F65)),0)</f>
        <v>0</v>
      </c>
      <c r="I65" s="308">
        <f t="shared" ref="I65" ca="1" si="40">IF(D65="HDW",G65*F65,0)</f>
        <v>0</v>
      </c>
      <c r="J65" s="308">
        <f t="shared" ref="J65" ca="1" si="41">IF(D65="JASA",G65*F65,0)</f>
        <v>106400</v>
      </c>
      <c r="K65" s="309">
        <f t="shared" ref="K65" ca="1" si="42">SUM(H65:J65)</f>
        <v>106400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318"/>
      <c r="C66" s="319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2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35"/>
        <v>0</v>
      </c>
      <c r="I66" s="308">
        <f t="shared" ca="1" si="36"/>
        <v>0</v>
      </c>
      <c r="J66" s="308">
        <f t="shared" ca="1" si="37"/>
        <v>0</v>
      </c>
      <c r="K66" s="309">
        <f t="shared" ca="1" si="38"/>
        <v>0</v>
      </c>
      <c r="L66" s="316"/>
      <c r="M66" s="289" t="str">
        <f ca="1">IF(AND(F66&gt;0,F59=0),"",IF(AND(ISBLANK(F66)=FALSE,K66=0),"WARNING",""))</f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 t="s">
        <v>1035</v>
      </c>
      <c r="C67" s="319" t="s">
        <v>1618</v>
      </c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451">
        <v>1</v>
      </c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35"/>
        <v>0</v>
      </c>
      <c r="I67" s="308">
        <f t="shared" ca="1" si="36"/>
        <v>0</v>
      </c>
      <c r="J67" s="308">
        <f t="shared" ca="1" si="37"/>
        <v>0</v>
      </c>
      <c r="K67" s="309">
        <f t="shared" ca="1" si="38"/>
        <v>0</v>
      </c>
      <c r="L67" s="316"/>
      <c r="M67" s="289" t="str">
        <f t="shared" si="22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>
        <v>1</v>
      </c>
      <c r="C68" s="319" t="s">
        <v>29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Bh</v>
      </c>
      <c r="F68" s="451">
        <f>F67*1</f>
        <v>1</v>
      </c>
      <c r="G68" s="307">
        <f ca="1">IF(ISERROR(OFFSET('HARGA SATUAN'!$I$6,MATCH(RAB!C68,'HARGA SATUAN'!$C$7:$C$1495,0),0)),0,OFFSET('HARGA SATUAN'!$I$6,MATCH(RAB!C68,'HARGA SATUAN'!$C$7:$C$1495,0),0))</f>
        <v>185200</v>
      </c>
      <c r="H68" s="308">
        <f t="shared" ca="1" si="35"/>
        <v>0</v>
      </c>
      <c r="I68" s="308">
        <f t="shared" ca="1" si="36"/>
        <v>185200</v>
      </c>
      <c r="J68" s="308">
        <f t="shared" ca="1" si="37"/>
        <v>0</v>
      </c>
      <c r="K68" s="309">
        <f t="shared" ca="1" si="38"/>
        <v>185200</v>
      </c>
      <c r="L68" s="316"/>
      <c r="M68" s="289" t="str">
        <f t="shared" ca="1" si="22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>
        <v>2</v>
      </c>
      <c r="C69" s="319" t="s">
        <v>30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451">
        <f>F67*1</f>
        <v>1</v>
      </c>
      <c r="G69" s="307">
        <f ca="1">IF(ISERROR(OFFSET('HARGA SATUAN'!$I$6,MATCH(RAB!C69,'HARGA SATUAN'!$C$7:$C$1495,0),0)),0,OFFSET('HARGA SATUAN'!$I$6,MATCH(RAB!C69,'HARGA SATUAN'!$C$7:$C$1495,0),0))</f>
        <v>47459</v>
      </c>
      <c r="H69" s="308">
        <f t="shared" ca="1" si="35"/>
        <v>0</v>
      </c>
      <c r="I69" s="308">
        <f t="shared" ca="1" si="36"/>
        <v>47459</v>
      </c>
      <c r="J69" s="308">
        <f t="shared" ca="1" si="37"/>
        <v>0</v>
      </c>
      <c r="K69" s="309">
        <f t="shared" ca="1" si="38"/>
        <v>47459</v>
      </c>
      <c r="L69" s="316"/>
      <c r="M69" s="289" t="str">
        <f t="shared" ca="1" si="22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318">
        <v>3</v>
      </c>
      <c r="C70" s="319" t="s">
        <v>32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Mtr</v>
      </c>
      <c r="F70" s="451">
        <f>F67*1.5</f>
        <v>1.5</v>
      </c>
      <c r="G70" s="307">
        <f ca="1">IF(ISERROR(OFFSET('HARGA SATUAN'!$I$6,MATCH(RAB!C70,'HARGA SATUAN'!$C$7:$C$1495,0),0)),0,OFFSET('HARGA SATUAN'!$I$6,MATCH(RAB!C70,'HARGA SATUAN'!$C$7:$C$1495,0),0))</f>
        <v>30000</v>
      </c>
      <c r="H70" s="308">
        <f t="shared" ca="1" si="35"/>
        <v>0</v>
      </c>
      <c r="I70" s="308">
        <f t="shared" ca="1" si="36"/>
        <v>45000</v>
      </c>
      <c r="J70" s="308">
        <f t="shared" ca="1" si="37"/>
        <v>0</v>
      </c>
      <c r="K70" s="309">
        <f t="shared" ca="1" si="38"/>
        <v>45000</v>
      </c>
      <c r="L70" s="316"/>
      <c r="M70" s="289" t="str">
        <f t="shared" ca="1" si="22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318">
        <v>4</v>
      </c>
      <c r="C71" s="319" t="s">
        <v>33</v>
      </c>
      <c r="D71" s="305" t="str">
        <f ca="1">IF(ISERROR(OFFSET('HARGA SATUAN'!$D$6,MATCH(RAB!C71,'HARGA SATUAN'!$C$7:$C$1495,0),0)),"",OFFSET('HARGA SATUAN'!$D$6,MATCH(RAB!C71,'HARGA SATUAN'!$C$7:$C$1495,0),0))</f>
        <v>HDW</v>
      </c>
      <c r="E71" s="306" t="str">
        <f ca="1">IF(B71="+","Unit",IF(ISERROR(OFFSET('HARGA SATUAN'!$E$6,MATCH(RAB!C71,'HARGA SATUAN'!$C$7:$C$1495,0),0)),"",OFFSET('HARGA SATUAN'!$E$6,MATCH(RAB!C71,'HARGA SATUAN'!$C$7:$C$1495,0),0)))</f>
        <v>Bh</v>
      </c>
      <c r="F71" s="451">
        <f>F67*2</f>
        <v>2</v>
      </c>
      <c r="G71" s="307">
        <f ca="1">IF(ISERROR(OFFSET('HARGA SATUAN'!$I$6,MATCH(RAB!C71,'HARGA SATUAN'!$C$7:$C$1495,0),0)),0,OFFSET('HARGA SATUAN'!$I$6,MATCH(RAB!C71,'HARGA SATUAN'!$C$7:$C$1495,0),0))</f>
        <v>9500</v>
      </c>
      <c r="H71" s="308">
        <f t="shared" ca="1" si="35"/>
        <v>0</v>
      </c>
      <c r="I71" s="308">
        <f t="shared" ca="1" si="36"/>
        <v>19000</v>
      </c>
      <c r="J71" s="308">
        <f t="shared" ca="1" si="37"/>
        <v>0</v>
      </c>
      <c r="K71" s="309">
        <f t="shared" ca="1" si="38"/>
        <v>19000</v>
      </c>
      <c r="L71" s="316"/>
      <c r="M71" s="289" t="str">
        <f t="shared" ca="1" si="22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318">
        <v>5</v>
      </c>
      <c r="C72" s="319" t="s">
        <v>735</v>
      </c>
      <c r="D72" s="305" t="str">
        <f ca="1">IF(ISERROR(OFFSET('HARGA SATUAN'!$D$6,MATCH(RAB!C72,'HARGA SATUAN'!$C$7:$C$1495,0),0)),"",OFFSET('HARGA SATUAN'!$D$6,MATCH(RAB!C72,'HARGA SATUAN'!$C$7:$C$1495,0),0))</f>
        <v>JASA</v>
      </c>
      <c r="E72" s="306" t="str">
        <f ca="1">IF(B72="+","Unit",IF(ISERROR(OFFSET('HARGA SATUAN'!$E$6,MATCH(RAB!C72,'HARGA SATUAN'!$C$7:$C$1495,0),0)),"",OFFSET('HARGA SATUAN'!$E$6,MATCH(RAB!C72,'HARGA SATUAN'!$C$7:$C$1495,0),0)))</f>
        <v>Unit</v>
      </c>
      <c r="F72" s="451">
        <f>F67*1</f>
        <v>1</v>
      </c>
      <c r="G72" s="307">
        <f ca="1">IF(ISERROR(OFFSET('HARGA SATUAN'!$I$6,MATCH(RAB!C72,'HARGA SATUAN'!$C$7:$C$1495,0),0)),0,OFFSET('HARGA SATUAN'!$I$6,MATCH(RAB!C72,'HARGA SATUAN'!$C$7:$C$1495,0),0))</f>
        <v>56400</v>
      </c>
      <c r="H72" s="308">
        <f t="shared" ca="1" si="35"/>
        <v>0</v>
      </c>
      <c r="I72" s="308">
        <f t="shared" ca="1" si="36"/>
        <v>0</v>
      </c>
      <c r="J72" s="308">
        <f t="shared" ca="1" si="37"/>
        <v>56400</v>
      </c>
      <c r="K72" s="309">
        <f t="shared" ca="1" si="38"/>
        <v>56400</v>
      </c>
      <c r="L72" s="316"/>
      <c r="M72" s="289" t="str">
        <f t="shared" ca="1" si="22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418" t="s">
        <v>22</v>
      </c>
      <c r="C73" s="421" t="s">
        <v>802</v>
      </c>
      <c r="D73" s="305" t="str">
        <f ca="1">IF(ISERROR(OFFSET('HARGA SATUAN'!$D$6,MATCH(RAB!C73,'HARGA SATUAN'!$C$7:$C$1495,0),0)),"",OFFSET('HARGA SATUAN'!$D$6,MATCH(RAB!C73,'HARGA SATUAN'!$C$7:$C$1495,0),0))</f>
        <v/>
      </c>
      <c r="E73" s="306">
        <f ca="1">IF(B73="+","Unit",IF(ISERROR(OFFSET('HARGA SATUAN'!$E$6,MATCH(RAB!C73,'HARGA SATUAN'!$C$7:$C$1495,0),0)),"",OFFSET('HARGA SATUAN'!$E$6,MATCH(RAB!C73,'HARGA SATUAN'!$C$7:$C$1495,0),0)))</f>
        <v>0</v>
      </c>
      <c r="F73" s="451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ref="H73:H74" ca="1" si="43">IF(OR(D73="MDU",D73="MDU-KD"),(IF($O$3="RAB NON MDU","PLN KD",G73*F73)),0)</f>
        <v>0</v>
      </c>
      <c r="I73" s="308">
        <f t="shared" ref="I73:I74" ca="1" si="44">IF(D73="HDW",G73*F73,0)</f>
        <v>0</v>
      </c>
      <c r="J73" s="308">
        <f t="shared" ref="J73:J74" ca="1" si="45">IF(D73="JASA",G73*F73,0)</f>
        <v>0</v>
      </c>
      <c r="K73" s="309">
        <f t="shared" ref="K73:K74" ca="1" si="46">SUM(H73:J73)</f>
        <v>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318">
        <v>1</v>
      </c>
      <c r="C74" s="109" t="s">
        <v>981</v>
      </c>
      <c r="D74" s="305" t="str">
        <f ca="1">IF(ISERROR(OFFSET('HARGA SATUAN'!$D$6,MATCH(RAB!C74,'HARGA SATUAN'!$C$7:$C$1495,0),0)),"",OFFSET('HARGA SATUAN'!$D$6,MATCH(RAB!C74,'HARGA SATUAN'!$C$7:$C$1495,0),0))</f>
        <v>JASA</v>
      </c>
      <c r="E74" s="306" t="str">
        <f ca="1">IF(B74="+","Unit",IF(ISERROR(OFFSET('HARGA SATUAN'!$E$6,MATCH(RAB!C74,'HARGA SATUAN'!$C$7:$C$1495,0),0)),"",OFFSET('HARGA SATUAN'!$E$6,MATCH(RAB!C74,'HARGA SATUAN'!$C$7:$C$1495,0),0)))</f>
        <v>Unit</v>
      </c>
      <c r="F74" s="451">
        <v>1</v>
      </c>
      <c r="G74" s="307">
        <f ca="1">IF(ISERROR(OFFSET('HARGA SATUAN'!$I$6,MATCH(RAB!C74,'HARGA SATUAN'!$C$7:$C$1495,0),0)),0,OFFSET('HARGA SATUAN'!$I$6,MATCH(RAB!C74,'HARGA SATUAN'!$C$7:$C$1495,0),0))</f>
        <v>32640</v>
      </c>
      <c r="H74" s="308">
        <f t="shared" ca="1" si="43"/>
        <v>0</v>
      </c>
      <c r="I74" s="308">
        <f t="shared" ca="1" si="44"/>
        <v>0</v>
      </c>
      <c r="J74" s="308">
        <f t="shared" ca="1" si="45"/>
        <v>32640</v>
      </c>
      <c r="K74" s="309">
        <f t="shared" ca="1" si="46"/>
        <v>32640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>
      <c r="B75" s="320"/>
      <c r="C75" s="109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315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35"/>
        <v>0</v>
      </c>
      <c r="I75" s="308">
        <f t="shared" ca="1" si="36"/>
        <v>0</v>
      </c>
      <c r="J75" s="308">
        <f t="shared" ca="1" si="37"/>
        <v>0</v>
      </c>
      <c r="K75" s="309">
        <f t="shared" ca="1" si="38"/>
        <v>0</v>
      </c>
      <c r="M75" s="289" t="str">
        <f ca="1">IF(AND(F75&gt;0,F72=0),"",IF(AND(ISBLANK(F75)=FALSE,K75=0),"WARNING",""))</f>
        <v/>
      </c>
    </row>
    <row r="76" spans="1:22">
      <c r="B76" s="321"/>
      <c r="C76" s="322" t="s">
        <v>475</v>
      </c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315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31"/>
        <v>0</v>
      </c>
      <c r="I76" s="308">
        <f t="shared" ca="1" si="32"/>
        <v>0</v>
      </c>
      <c r="J76" s="308">
        <f t="shared" ca="1" si="33"/>
        <v>0</v>
      </c>
      <c r="K76" s="309">
        <f t="shared" ca="1" si="34"/>
        <v>0</v>
      </c>
      <c r="M76" s="289" t="e">
        <f>IF(AND(F76&gt;0,#REF!=0),"",IF(AND(ISBLANK(F76)=FALSE,K76=0),"WARNING",""))</f>
        <v>#REF!</v>
      </c>
    </row>
    <row r="77" spans="1:22">
      <c r="B77" s="324">
        <v>1</v>
      </c>
      <c r="C77" s="325" t="s">
        <v>1091</v>
      </c>
      <c r="D77" s="326" t="str">
        <f ca="1">IF(ISERROR(OFFSET('HARGA SATUAN'!$D$6,MATCH(RAB!C77,'HARGA SATUAN'!$C$7:$C$1495,0),0)),"",OFFSET('HARGA SATUAN'!$D$6,MATCH(RAB!C77,'HARGA SATUAN'!$C$7:$C$1495,0),0))</f>
        <v>JASA</v>
      </c>
      <c r="E77" s="327" t="str">
        <f ca="1">IF(ISERROR(OFFSET('HARGA SATUAN'!$E$6,MATCH(RAB!C77,'HARGA SATUAN'!$C$7:$C$1495,0),0)),"",OFFSET('HARGA SATUAN'!$E$6,MATCH(RAB!C77,'HARGA SATUAN'!$C$7:$C$1495,0),0))</f>
        <v>Lot</v>
      </c>
      <c r="F77" s="328">
        <v>1</v>
      </c>
      <c r="G77" s="329">
        <f ca="1">IF(ISERROR(OFFSET('HARGA SATUAN'!$I$6,MATCH(RAB!C77,'HARGA SATUAN'!$C$7:$C$1495,0),0)),0,OFFSET('HARGA SATUAN'!$I$6,MATCH(RAB!C77,'HARGA SATUAN'!$C$7:$C$1495,0),0))</f>
        <v>2.5000000000000001E-2</v>
      </c>
      <c r="H77" s="330">
        <f ca="1">SUM(H14:H76)*G77</f>
        <v>219532.5</v>
      </c>
      <c r="I77" s="330">
        <f ca="1">SUM(I14:I76)*G77</f>
        <v>187704.05000000002</v>
      </c>
      <c r="J77" s="330">
        <f ca="1">SUM(J14:J76)*G77</f>
        <v>12915.166666666668</v>
      </c>
      <c r="K77" s="330">
        <f ca="1">SUM(K14:K76)*G77</f>
        <v>420151.71666666673</v>
      </c>
      <c r="M77" s="289" t="str">
        <f t="shared" ref="M77" si="47">IF(AND(F77&gt;0,F76=0),"",IF(AND(ISBLANK(F77)=FALSE,K77=0),"WARNING",""))</f>
        <v/>
      </c>
    </row>
    <row r="78" spans="1:22">
      <c r="B78" s="331"/>
      <c r="C78" s="332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IF(ISERROR(OFFSET('HARGA SATUAN'!$E$6,MATCH(RAB!C78,'HARGA SATUAN'!$C$7:$C$1495,0),0)),"",OFFSET('HARGA SATUAN'!$E$6,MATCH(RAB!C78,'HARGA SATUAN'!$C$7:$C$1495,0),0))</f>
        <v/>
      </c>
      <c r="F78" s="323"/>
      <c r="G78" s="307" t="str">
        <f ca="1">IF(ISERROR(OFFSET('HARGA SATUAN'!$I$6,MATCH(RAB!C78,'HARGA SATUAN'!$C$7:$C$1495,0),0)),"",OFFSET('HARGA SATUAN'!$I$6,MATCH(RAB!C78,'HARGA SATUAN'!$C$7:$C$1495,0),0))</f>
        <v/>
      </c>
      <c r="H78" s="308">
        <f ca="1">IF(OR(D78="MDU",D78="MDU-KD"),IF(G78="PLN",0,G78*F78),0)</f>
        <v>0</v>
      </c>
      <c r="I78" s="308">
        <f ca="1">IF(D78="HDW",IF(G78="PLN",0,G78*F78),0)</f>
        <v>0</v>
      </c>
      <c r="J78" s="308">
        <f ca="1">IF(D78="JASA",IF(G78="PLN",0,G78*F78),0)</f>
        <v>0</v>
      </c>
      <c r="K78" s="309">
        <f ca="1">SUM(H78:J78)</f>
        <v>0</v>
      </c>
    </row>
    <row r="79" spans="1:22" ht="15.75" thickBot="1">
      <c r="B79" s="333"/>
      <c r="C79" s="334"/>
      <c r="D79" s="335"/>
      <c r="E79" s="336"/>
      <c r="F79" s="336"/>
      <c r="G79" s="336"/>
      <c r="H79" s="337"/>
      <c r="I79" s="337"/>
      <c r="J79" s="337"/>
      <c r="K79" s="338"/>
    </row>
    <row r="80" spans="1:22">
      <c r="B80" s="339"/>
      <c r="C80" s="639" t="s">
        <v>1008</v>
      </c>
      <c r="D80" s="639"/>
      <c r="E80" s="639"/>
      <c r="F80" s="639"/>
      <c r="G80" s="340" t="s">
        <v>9</v>
      </c>
      <c r="H80" s="341">
        <f ca="1">SUM(H14:H78)</f>
        <v>9000832.5</v>
      </c>
      <c r="I80" s="341">
        <f ca="1">SUM(I14:I78)</f>
        <v>7695866.0499999998</v>
      </c>
      <c r="J80" s="341">
        <f ca="1">SUM(J14:J78)</f>
        <v>529521.83333333337</v>
      </c>
      <c r="K80" s="341">
        <f ca="1">SUM(K14:K78)</f>
        <v>17226220.383333333</v>
      </c>
    </row>
    <row r="81" spans="2:13">
      <c r="B81" s="342"/>
      <c r="C81" s="622" t="s">
        <v>1455</v>
      </c>
      <c r="D81" s="622"/>
      <c r="E81" s="622"/>
      <c r="F81" s="622"/>
      <c r="G81" s="343" t="s">
        <v>9</v>
      </c>
      <c r="H81" s="344">
        <f ca="1">H80*0.11</f>
        <v>990091.57499999995</v>
      </c>
      <c r="I81" s="344">
        <f ca="1">I80*0.11</f>
        <v>846545.26549999998</v>
      </c>
      <c r="J81" s="344">
        <f ca="1">J80*0.11</f>
        <v>58247.401666666672</v>
      </c>
      <c r="K81" s="344">
        <f ca="1">K80*0.11</f>
        <v>1894884.2421666665</v>
      </c>
    </row>
    <row r="82" spans="2:13" ht="15.75" thickBot="1">
      <c r="B82" s="342"/>
      <c r="C82" s="619" t="s">
        <v>463</v>
      </c>
      <c r="D82" s="619"/>
      <c r="E82" s="619"/>
      <c r="F82" s="619"/>
      <c r="G82" s="345" t="s">
        <v>9</v>
      </c>
      <c r="H82" s="346">
        <f ca="1">SUM(H80:H81)</f>
        <v>9990924.0749999993</v>
      </c>
      <c r="I82" s="346">
        <f ca="1">SUM(I80:I81)</f>
        <v>8542411.3155000005</v>
      </c>
      <c r="J82" s="345">
        <f ca="1">SUM(J80:J81)</f>
        <v>587769.2350000001</v>
      </c>
      <c r="K82" s="345">
        <f ca="1">SUM(K80:K81)</f>
        <v>19121104.625500001</v>
      </c>
      <c r="M82" s="410"/>
    </row>
    <row r="83" spans="2:13">
      <c r="B83" s="623" t="str">
        <f ca="1">"Terbilang : "&amp;PROPER(IF(K82=0,"nol",IF(K82&lt;0,"minus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IF(--MID(TEXT(ABS(K82),"000000000000000"),1,3)=0,"",MID(TEXT(ABS(K82),"000000000000000"),1,1)&amp;" ratus "&amp;MID(TEXT(ABS(K82),"000000000000000"),2,1)&amp;" puluh "&amp;MID(TEXT(ABS(K82),"000000000000000"),3,1)&amp;" trilyun ")&amp; IF(--MID(TEXT(ABS(K82),"000000000000000"),4,3)=0,"",MID(TEXT(ABS(K82),"000000000000000"),4,1)&amp;" ratus "&amp;MID(TEXT(ABS(K82),"000000000000000"),5,1)&amp;" puluh "&amp;MID(TEXT(ABS(K82),"000000000000000"),6,1)&amp;" milyar ")&amp; IF(--MID(TEXT(ABS(K82),"000000000000000"),7,3)=0,"",MID(TEXT(ABS(K82),"000000000000000"),7,1)&amp;" ratus "&amp;MID(TEXT(ABS(K82),"000000000000000"),8,1)&amp;" puluh "&amp;MID(TEXT(ABS(K82),"000000000000000"),9,1)&amp;" juta ")&amp; IF(--MID(TEXT(ABS(K82),"000000000000000"),10,3)=0,"",IF(--MID(TEXT(ABS(K82),"000000000000000"),10,3)=1,"*",MID(TEXT(ABS(K82),"000000000000000"),10,1)&amp;" ratus "&amp;MID(TEXT(ABS(K82),"000000000000000"),11,1)&amp;" puluh ")&amp;MID(TEXT(ABS(K82),"000000000000000"),12,1)&amp;" ribu ")&amp; IF(--MID(TEXT(ABS(K82),"000000000000000"),13,3)=0,"",MID(TEXT(ABS(K82),"000000000000000"),13,1)&amp;" ratus "&amp;MID(TEXT(ABS(K82),"000000000000000"),14,1)&amp;" puluh "&amp;MID(TEXT(ABS(K82),"000000000000000"),15,1)),1,"satu"),2,"dua"),3,"tiga"),4,"empat"),5,"lima"),6,"enam"),7,"tujuh"),8,"delapan"),9,"sembilan"),"0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Belas Juta Seratus Dua Puluh Satu Ribu Seratus Lima Rupiah</v>
      </c>
      <c r="C83" s="624"/>
      <c r="D83" s="624"/>
      <c r="E83" s="624"/>
      <c r="F83" s="624"/>
      <c r="G83" s="624"/>
      <c r="H83" s="624"/>
      <c r="I83" s="624"/>
      <c r="J83" s="624"/>
      <c r="K83" s="625"/>
    </row>
    <row r="84" spans="2:13">
      <c r="B84" s="626"/>
      <c r="C84" s="627"/>
      <c r="D84" s="627"/>
      <c r="E84" s="627"/>
      <c r="F84" s="627"/>
      <c r="G84" s="627"/>
      <c r="H84" s="627"/>
      <c r="I84" s="627"/>
      <c r="J84" s="627"/>
      <c r="K84" s="628"/>
    </row>
    <row r="85" spans="2:13" ht="15.75" thickBot="1">
      <c r="B85" s="347" t="str">
        <f>"Harga yang dipakai adalah "&amp;'HARGA SATUAN'!I5&amp;""</f>
        <v>Harga yang dipakai adalah RAB HSS 2023</v>
      </c>
      <c r="C85" s="348"/>
      <c r="D85" s="349"/>
      <c r="E85" s="349"/>
      <c r="F85" s="349"/>
      <c r="G85" s="350"/>
      <c r="H85" s="350"/>
      <c r="I85" s="350"/>
      <c r="J85" s="350"/>
      <c r="K85" s="351"/>
    </row>
    <row r="86" spans="2:13">
      <c r="C86" s="352"/>
      <c r="E86" s="354"/>
      <c r="F86" s="354"/>
      <c r="G86" s="354"/>
    </row>
    <row r="87" spans="2:13">
      <c r="C87" s="284"/>
      <c r="E87" s="354"/>
      <c r="F87" s="354"/>
      <c r="G87" s="354"/>
      <c r="H87" s="629"/>
      <c r="I87" s="629"/>
      <c r="J87" s="630"/>
      <c r="K87" s="630"/>
    </row>
    <row r="88" spans="2:13">
      <c r="C88" s="284"/>
      <c r="E88" s="354"/>
      <c r="F88" s="354"/>
      <c r="G88" s="354"/>
      <c r="H88" s="355"/>
      <c r="I88" s="618" t="s">
        <v>1616</v>
      </c>
      <c r="J88" s="618"/>
      <c r="K88" s="618"/>
    </row>
    <row r="89" spans="2:13">
      <c r="C89" s="284"/>
      <c r="E89" s="354"/>
      <c r="F89" s="354"/>
      <c r="G89" s="354"/>
      <c r="H89" s="355"/>
      <c r="I89" s="618" t="s">
        <v>1611</v>
      </c>
      <c r="J89" s="618"/>
      <c r="K89" s="618"/>
    </row>
    <row r="90" spans="2:13">
      <c r="C90" s="284"/>
      <c r="E90" s="354"/>
      <c r="F90" s="354"/>
      <c r="G90" s="354"/>
      <c r="H90" s="356"/>
      <c r="I90" s="357"/>
      <c r="J90" s="357"/>
      <c r="K90" s="357"/>
    </row>
    <row r="91" spans="2:13">
      <c r="C91" s="284"/>
      <c r="E91" s="354"/>
      <c r="F91" s="354"/>
      <c r="G91" s="354"/>
      <c r="H91" s="356"/>
      <c r="I91" s="356"/>
      <c r="J91" s="356"/>
      <c r="K91" s="356"/>
    </row>
    <row r="92" spans="2:13">
      <c r="C92" s="284"/>
      <c r="E92" s="354"/>
      <c r="F92" s="354"/>
      <c r="G92" s="354"/>
      <c r="H92" s="356"/>
      <c r="I92" s="356"/>
      <c r="J92" s="356"/>
      <c r="K92" s="356"/>
    </row>
    <row r="93" spans="2:13">
      <c r="C93" s="284"/>
      <c r="E93" s="354"/>
      <c r="F93" s="354"/>
      <c r="G93" s="354"/>
      <c r="H93" s="356"/>
      <c r="I93" s="356"/>
      <c r="J93" s="356"/>
      <c r="K93" s="356"/>
    </row>
    <row r="94" spans="2:13">
      <c r="C94" s="284"/>
      <c r="E94" s="354"/>
      <c r="F94" s="354"/>
      <c r="G94" s="354"/>
      <c r="H94" s="358"/>
      <c r="I94" s="618" t="s">
        <v>1612</v>
      </c>
      <c r="J94" s="618"/>
      <c r="K94" s="618"/>
    </row>
    <row r="95" spans="2:13">
      <c r="C95" s="352"/>
      <c r="E95" s="354"/>
      <c r="F95" s="354"/>
      <c r="G95" s="354"/>
      <c r="H95" s="356"/>
      <c r="I95" s="356"/>
      <c r="J95" s="356"/>
      <c r="K95" s="356"/>
    </row>
    <row r="96" spans="2:13">
      <c r="C96" s="352"/>
      <c r="E96" s="354"/>
      <c r="F96" s="354"/>
      <c r="G96" s="354"/>
      <c r="H96" s="356"/>
      <c r="I96" s="356"/>
      <c r="J96" s="356"/>
      <c r="K96" s="356"/>
    </row>
    <row r="97" spans="3:11">
      <c r="C97" s="352"/>
      <c r="E97" s="354"/>
      <c r="F97" s="354"/>
      <c r="G97" s="354"/>
      <c r="H97" s="356"/>
      <c r="I97" s="356"/>
      <c r="J97" s="356"/>
      <c r="K97" s="356"/>
    </row>
  </sheetData>
  <sheetProtection sort="0" autoFilter="0"/>
  <protectedRanges>
    <protectedRange sqref="B59:C59 B15 B16:C16 B19:C19 B17:B18 B35:C55 B56:B58" name="Range1_6_1"/>
    <protectedRange sqref="B25:C32" name="Range1_6_1_1_1"/>
    <protectedRange sqref="C58" name="Range1_6_1_10"/>
    <protectedRange sqref="B66:C73 B60:B65 B74" name="Range1_6_1_11"/>
    <protectedRange sqref="B33:C34" name="Range1_6_1_15"/>
    <protectedRange sqref="C60:C62 C65" name="Range1_6_1_18"/>
    <protectedRange sqref="C56" name="Range1_1_3_3"/>
    <protectedRange sqref="C57" name="Range1_1_3_4"/>
    <protectedRange sqref="C63" name="Range1_1_3_7"/>
    <protectedRange sqref="C64" name="Range1_1_3"/>
    <protectedRange sqref="C74" name="Range1_1_3_8"/>
    <protectedRange sqref="C75" name="Range1_1_3_9"/>
    <protectedRange sqref="C18" name="Range1_1_3_7_1"/>
    <protectedRange sqref="C17" name="Range1_1_3_8_1"/>
    <protectedRange sqref="B20:C24" name="Range1_6_1_1"/>
  </protectedRanges>
  <mergeCells count="22">
    <mergeCell ref="O3:P4"/>
    <mergeCell ref="B4:K4"/>
    <mergeCell ref="C80:F80"/>
    <mergeCell ref="B11:B13"/>
    <mergeCell ref="C11:C13"/>
    <mergeCell ref="D11:D13"/>
    <mergeCell ref="E11:E13"/>
    <mergeCell ref="F11:F13"/>
    <mergeCell ref="G11:G13"/>
    <mergeCell ref="I12:I13"/>
    <mergeCell ref="I89:K89"/>
    <mergeCell ref="I94:K94"/>
    <mergeCell ref="C82:F82"/>
    <mergeCell ref="G6:K6"/>
    <mergeCell ref="I88:K88"/>
    <mergeCell ref="C81:F81"/>
    <mergeCell ref="B83:K84"/>
    <mergeCell ref="H87:K87"/>
    <mergeCell ref="H11:K11"/>
    <mergeCell ref="H12:H13"/>
    <mergeCell ref="J12:J13"/>
    <mergeCell ref="K12:K13"/>
  </mergeCells>
  <phoneticPr fontId="135" type="noConversion"/>
  <conditionalFormatting sqref="C15">
    <cfRule type="cellIs" dxfId="10" priority="101" operator="equal">
      <formula>0</formula>
    </cfRule>
  </conditionalFormatting>
  <conditionalFormatting sqref="C56:C57">
    <cfRule type="cellIs" dxfId="9" priority="17" operator="equal">
      <formula>0</formula>
    </cfRule>
  </conditionalFormatting>
  <conditionalFormatting sqref="C61">
    <cfRule type="cellIs" dxfId="8" priority="7" operator="equal">
      <formula>0</formula>
    </cfRule>
  </conditionalFormatting>
  <conditionalFormatting sqref="C64">
    <cfRule type="cellIs" dxfId="7" priority="5" operator="equal">
      <formula>0</formula>
    </cfRule>
  </conditionalFormatting>
  <conditionalFormatting sqref="C74:C75">
    <cfRule type="cellIs" dxfId="6" priority="3" operator="equal">
      <formula>0</formula>
    </cfRule>
  </conditionalFormatting>
  <conditionalFormatting sqref="E1:E3 E5:E13 H12:I12 O13 E77:G77 H77:K79 E78:H78 E79:F79 S14:V74 E25:K76">
    <cfRule type="cellIs" dxfId="5" priority="1145" stopIfTrue="1" operator="equal">
      <formula>0</formula>
    </cfRule>
  </conditionalFormatting>
  <conditionalFormatting sqref="E14:K19 E20:E24 G20:K24">
    <cfRule type="cellIs" dxfId="4" priority="6" stopIfTrue="1" operator="equal">
      <formula>0</formula>
    </cfRule>
  </conditionalFormatting>
  <conditionalFormatting sqref="G1:G13">
    <cfRule type="cellIs" dxfId="3" priority="70" stopIfTrue="1" operator="equal">
      <formula>0</formula>
    </cfRule>
  </conditionalFormatting>
  <conditionalFormatting sqref="G78:G65544 E83:E65544">
    <cfRule type="cellIs" dxfId="2" priority="279" stopIfTrue="1" operator="equal">
      <formula>0</formula>
    </cfRule>
  </conditionalFormatting>
  <conditionalFormatting sqref="C17:C18">
    <cfRule type="cellIs" dxfId="1" priority="2" operator="equal">
      <formula>0</formula>
    </cfRule>
  </conditionalFormatting>
  <conditionalFormatting sqref="F20:F24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67:F74 F56:F58 F16:F54 H14:K7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77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39AB3-6EBC-41AD-952E-0C205AEAA609}">
  <sheetPr>
    <tabColor rgb="FF92D050"/>
  </sheetPr>
  <dimension ref="C1:AD55"/>
  <sheetViews>
    <sheetView showGridLines="0" topLeftCell="C1" zoomScale="115" zoomScaleNormal="115" zoomScaleSheetLayoutView="100" workbookViewId="0">
      <selection activeCell="F22" sqref="F22"/>
    </sheetView>
  </sheetViews>
  <sheetFormatPr defaultColWidth="9.140625" defaultRowHeight="12"/>
  <cols>
    <col min="1" max="2" width="1.42578125" style="464" customWidth="1"/>
    <col min="3" max="3" width="7.42578125" style="464" customWidth="1"/>
    <col min="4" max="23" width="5.7109375" style="464" customWidth="1"/>
    <col min="24" max="24" width="6.28515625" style="464" customWidth="1"/>
    <col min="25" max="26" width="5.7109375" style="464" customWidth="1"/>
    <col min="27" max="27" width="6.5703125" style="464" customWidth="1"/>
    <col min="28" max="118" width="5.7109375" style="464" customWidth="1"/>
    <col min="119" max="16384" width="9.140625" style="464"/>
  </cols>
  <sheetData>
    <row r="1" spans="3:30" ht="12.75" thickBot="1"/>
    <row r="2" spans="3:30" ht="12.75" customHeight="1">
      <c r="C2" s="465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 s="466"/>
      <c r="U2" s="466"/>
      <c r="V2" s="466"/>
      <c r="W2" s="648" t="s">
        <v>1438</v>
      </c>
      <c r="X2" s="649"/>
      <c r="Y2" s="649"/>
      <c r="Z2" s="649"/>
      <c r="AA2" s="649"/>
      <c r="AB2" s="649"/>
      <c r="AC2" s="649"/>
      <c r="AD2" s="650"/>
    </row>
    <row r="3" spans="3:30">
      <c r="C3" s="467"/>
      <c r="W3" s="651"/>
      <c r="X3" s="652"/>
      <c r="Y3" s="652"/>
      <c r="Z3" s="652"/>
      <c r="AA3" s="652"/>
      <c r="AB3" s="652"/>
      <c r="AC3" s="652"/>
      <c r="AD3" s="653"/>
    </row>
    <row r="4" spans="3:30">
      <c r="C4" s="467"/>
      <c r="G4" s="468" t="s">
        <v>1627</v>
      </c>
      <c r="W4" s="469" t="s">
        <v>987</v>
      </c>
      <c r="AD4" s="470"/>
    </row>
    <row r="5" spans="3:30">
      <c r="C5" s="467"/>
      <c r="W5" s="471" t="s">
        <v>991</v>
      </c>
      <c r="X5" s="654" t="s">
        <v>990</v>
      </c>
      <c r="Y5" s="654"/>
      <c r="Z5" s="654"/>
      <c r="AA5" s="654" t="s">
        <v>988</v>
      </c>
      <c r="AB5" s="654"/>
      <c r="AC5" s="654" t="s">
        <v>989</v>
      </c>
      <c r="AD5" s="655"/>
    </row>
    <row r="6" spans="3:30">
      <c r="C6" s="467"/>
      <c r="W6" s="471">
        <v>1</v>
      </c>
      <c r="X6" s="654" t="s">
        <v>993</v>
      </c>
      <c r="Y6" s="654"/>
      <c r="Z6" s="654"/>
      <c r="AA6" s="654"/>
      <c r="AB6" s="654"/>
      <c r="AC6" s="654"/>
      <c r="AD6" s="655"/>
    </row>
    <row r="7" spans="3:30">
      <c r="C7" s="467"/>
      <c r="W7" s="471">
        <v>2</v>
      </c>
      <c r="X7" s="654" t="s">
        <v>994</v>
      </c>
      <c r="Y7" s="654"/>
      <c r="Z7" s="654"/>
      <c r="AA7" s="654"/>
      <c r="AB7" s="654"/>
      <c r="AC7" s="654"/>
      <c r="AD7" s="655"/>
    </row>
    <row r="8" spans="3:30">
      <c r="C8" s="467"/>
      <c r="W8" s="471">
        <v>3</v>
      </c>
      <c r="X8" s="654" t="s">
        <v>995</v>
      </c>
      <c r="Y8" s="654"/>
      <c r="Z8" s="654"/>
      <c r="AA8" s="654"/>
      <c r="AB8" s="654"/>
      <c r="AC8" s="654"/>
      <c r="AD8" s="655"/>
    </row>
    <row r="9" spans="3:30">
      <c r="C9" s="467"/>
      <c r="W9" s="471">
        <v>4</v>
      </c>
      <c r="X9" s="654" t="s">
        <v>996</v>
      </c>
      <c r="Y9" s="654"/>
      <c r="Z9" s="654"/>
      <c r="AA9" s="654"/>
      <c r="AB9" s="654"/>
      <c r="AC9" s="654"/>
      <c r="AD9" s="655"/>
    </row>
    <row r="10" spans="3:30">
      <c r="C10" s="467"/>
      <c r="W10" s="471">
        <v>5</v>
      </c>
      <c r="X10" s="654" t="s">
        <v>997</v>
      </c>
      <c r="Y10" s="654"/>
      <c r="Z10" s="654"/>
      <c r="AA10" s="654"/>
      <c r="AB10" s="654"/>
      <c r="AC10" s="654"/>
      <c r="AD10" s="655"/>
    </row>
    <row r="11" spans="3:30">
      <c r="C11" s="467"/>
      <c r="W11" s="471">
        <v>6</v>
      </c>
      <c r="X11" s="654" t="s">
        <v>998</v>
      </c>
      <c r="Y11" s="654"/>
      <c r="Z11" s="654"/>
      <c r="AA11" s="654"/>
      <c r="AB11" s="654"/>
      <c r="AC11" s="654"/>
      <c r="AD11" s="655"/>
    </row>
    <row r="12" spans="3:30">
      <c r="C12" s="467"/>
      <c r="W12" s="471">
        <v>7</v>
      </c>
      <c r="X12" s="654" t="s">
        <v>999</v>
      </c>
      <c r="Y12" s="654"/>
      <c r="Z12" s="654"/>
      <c r="AA12" s="654"/>
      <c r="AB12" s="654"/>
      <c r="AC12" s="654"/>
      <c r="AD12" s="655"/>
    </row>
    <row r="13" spans="3:30" ht="12.75" customHeight="1">
      <c r="C13" s="467"/>
      <c r="W13" s="471">
        <v>8</v>
      </c>
      <c r="X13" s="654" t="s">
        <v>1000</v>
      </c>
      <c r="Y13" s="654"/>
      <c r="Z13" s="654"/>
      <c r="AA13" s="654"/>
      <c r="AB13" s="654"/>
      <c r="AC13" s="654"/>
      <c r="AD13" s="655"/>
    </row>
    <row r="14" spans="3:30">
      <c r="C14" s="467"/>
      <c r="W14" s="471">
        <v>9</v>
      </c>
      <c r="X14" s="654" t="s">
        <v>1001</v>
      </c>
      <c r="Y14" s="654"/>
      <c r="Z14" s="654"/>
      <c r="AA14" s="654"/>
      <c r="AB14" s="654"/>
      <c r="AC14" s="654"/>
      <c r="AD14" s="655"/>
    </row>
    <row r="15" spans="3:30">
      <c r="C15" s="467"/>
      <c r="W15" s="471">
        <v>10</v>
      </c>
      <c r="X15" s="654" t="s">
        <v>1010</v>
      </c>
      <c r="Y15" s="654"/>
      <c r="Z15" s="654"/>
      <c r="AA15" s="654"/>
      <c r="AB15" s="654"/>
      <c r="AC15" s="654"/>
      <c r="AD15" s="655"/>
    </row>
    <row r="16" spans="3:30">
      <c r="C16" s="467"/>
      <c r="W16" s="471">
        <v>11</v>
      </c>
      <c r="X16" s="654" t="s">
        <v>1454</v>
      </c>
      <c r="Y16" s="654"/>
      <c r="Z16" s="654"/>
      <c r="AA16" s="654"/>
      <c r="AB16" s="654"/>
      <c r="AC16" s="654"/>
      <c r="AD16" s="655"/>
    </row>
    <row r="17" spans="3:30">
      <c r="C17" s="467"/>
      <c r="S17" s="473"/>
      <c r="W17" s="471">
        <v>12</v>
      </c>
      <c r="X17" s="654" t="s">
        <v>1011</v>
      </c>
      <c r="Y17" s="654"/>
      <c r="Z17" s="654"/>
      <c r="AA17" s="654"/>
      <c r="AB17" s="654"/>
      <c r="AC17" s="654"/>
      <c r="AD17" s="655"/>
    </row>
    <row r="18" spans="3:30">
      <c r="C18" s="474"/>
      <c r="D18" s="519"/>
      <c r="E18" s="475"/>
      <c r="W18" s="471">
        <v>13</v>
      </c>
      <c r="X18" s="654"/>
      <c r="Y18" s="654"/>
      <c r="Z18" s="654"/>
      <c r="AA18" s="654"/>
      <c r="AB18" s="654"/>
      <c r="AC18" s="654"/>
      <c r="AD18" s="655"/>
    </row>
    <row r="19" spans="3:30">
      <c r="C19" s="467"/>
      <c r="W19" s="476"/>
      <c r="X19" s="664"/>
      <c r="Y19" s="664"/>
      <c r="Z19" s="664"/>
      <c r="AA19" s="664"/>
      <c r="AB19" s="664"/>
      <c r="AC19" s="664"/>
      <c r="AD19" s="665"/>
    </row>
    <row r="20" spans="3:30">
      <c r="C20" s="467"/>
      <c r="Q20" s="477"/>
      <c r="W20" s="666" t="s">
        <v>992</v>
      </c>
      <c r="X20" s="667"/>
      <c r="Y20" s="667"/>
      <c r="Z20" s="667"/>
      <c r="AA20" s="667"/>
      <c r="AB20" s="667"/>
      <c r="AC20" s="667"/>
      <c r="AD20" s="668"/>
    </row>
    <row r="21" spans="3:30">
      <c r="C21" s="467"/>
      <c r="W21" s="669" t="s">
        <v>985</v>
      </c>
      <c r="X21" s="670"/>
      <c r="Y21" s="670"/>
      <c r="Z21" s="671"/>
      <c r="AA21" s="672" t="s">
        <v>986</v>
      </c>
      <c r="AB21" s="673"/>
      <c r="AC21" s="673"/>
      <c r="AD21" s="674"/>
    </row>
    <row r="22" spans="3:30">
      <c r="C22" s="467"/>
      <c r="S22" s="478"/>
      <c r="W22" s="656" t="s">
        <v>1628</v>
      </c>
      <c r="X22" s="657"/>
      <c r="Y22" s="479" t="s">
        <v>1629</v>
      </c>
      <c r="Z22" s="480">
        <v>1</v>
      </c>
      <c r="AA22" s="658" t="s">
        <v>1630</v>
      </c>
      <c r="AB22" s="659"/>
      <c r="AC22" s="481" t="s">
        <v>1617</v>
      </c>
      <c r="AD22" s="482">
        <v>1</v>
      </c>
    </row>
    <row r="23" spans="3:30">
      <c r="C23" s="467"/>
      <c r="W23" s="656" t="s">
        <v>1625</v>
      </c>
      <c r="X23" s="657"/>
      <c r="Y23" s="479" t="s">
        <v>1617</v>
      </c>
      <c r="Z23" s="480">
        <v>2</v>
      </c>
      <c r="AA23" s="660"/>
      <c r="AB23" s="661"/>
      <c r="AC23" s="481"/>
      <c r="AD23" s="482"/>
    </row>
    <row r="24" spans="3:30">
      <c r="C24" s="467"/>
      <c r="W24" s="656" t="s">
        <v>1631</v>
      </c>
      <c r="X24" s="657"/>
      <c r="Y24" s="479" t="s">
        <v>1617</v>
      </c>
      <c r="Z24" s="480">
        <v>1</v>
      </c>
      <c r="AA24" s="662"/>
      <c r="AB24" s="663"/>
      <c r="AC24" s="481"/>
      <c r="AD24" s="482"/>
    </row>
    <row r="25" spans="3:30">
      <c r="C25" s="467"/>
      <c r="W25" s="656" t="s">
        <v>1632</v>
      </c>
      <c r="X25" s="657"/>
      <c r="Y25" s="479" t="s">
        <v>1633</v>
      </c>
      <c r="Z25" s="480">
        <v>50</v>
      </c>
      <c r="AA25" s="660"/>
      <c r="AB25" s="661"/>
      <c r="AC25" s="481"/>
      <c r="AD25" s="482"/>
    </row>
    <row r="26" spans="3:30">
      <c r="C26" s="467"/>
      <c r="W26" s="677" t="s">
        <v>1634</v>
      </c>
      <c r="X26" s="678"/>
      <c r="Y26" s="479" t="s">
        <v>1617</v>
      </c>
      <c r="Z26" s="480">
        <v>1</v>
      </c>
      <c r="AA26" s="660"/>
      <c r="AB26" s="661"/>
      <c r="AC26" s="481"/>
      <c r="AD26" s="482"/>
    </row>
    <row r="27" spans="3:30">
      <c r="C27" s="467"/>
      <c r="W27" s="677" t="s">
        <v>1618</v>
      </c>
      <c r="X27" s="678"/>
      <c r="Y27" s="479" t="s">
        <v>1617</v>
      </c>
      <c r="Z27" s="480">
        <v>1</v>
      </c>
      <c r="AA27" s="660"/>
      <c r="AB27" s="661"/>
      <c r="AC27" s="481"/>
      <c r="AD27" s="482"/>
    </row>
    <row r="28" spans="3:30">
      <c r="C28" s="467"/>
      <c r="W28" s="675"/>
      <c r="X28" s="676"/>
      <c r="Y28" s="479"/>
      <c r="Z28" s="480"/>
      <c r="AA28" s="660"/>
      <c r="AB28" s="661"/>
      <c r="AC28" s="481"/>
      <c r="AD28" s="482"/>
    </row>
    <row r="29" spans="3:30">
      <c r="C29" s="467"/>
      <c r="W29" s="677"/>
      <c r="X29" s="678"/>
      <c r="Y29" s="479"/>
      <c r="Z29" s="480"/>
      <c r="AA29" s="660"/>
      <c r="AB29" s="661"/>
      <c r="AC29" s="481"/>
      <c r="AD29" s="482"/>
    </row>
    <row r="30" spans="3:30" ht="11.25" customHeight="1">
      <c r="C30" s="467"/>
      <c r="W30" s="675"/>
      <c r="X30" s="676"/>
      <c r="Y30" s="479"/>
      <c r="Z30" s="480"/>
      <c r="AA30" s="660"/>
      <c r="AB30" s="661"/>
      <c r="AC30" s="481"/>
      <c r="AD30" s="482"/>
    </row>
    <row r="31" spans="3:30">
      <c r="C31" s="467"/>
      <c r="U31" s="487"/>
      <c r="W31" s="485"/>
      <c r="X31" s="486"/>
      <c r="Y31" s="479"/>
      <c r="Z31" s="480"/>
      <c r="AA31" s="660"/>
      <c r="AB31" s="661"/>
      <c r="AC31" s="481"/>
      <c r="AD31" s="482"/>
    </row>
    <row r="32" spans="3:30">
      <c r="C32" s="467"/>
      <c r="U32" s="487"/>
      <c r="W32" s="483"/>
      <c r="X32" s="484"/>
      <c r="Y32" s="479"/>
      <c r="Z32" s="480"/>
      <c r="AA32" s="660"/>
      <c r="AB32" s="661"/>
      <c r="AC32" s="481"/>
      <c r="AD32" s="482"/>
    </row>
    <row r="33" spans="3:30">
      <c r="C33" s="467"/>
      <c r="W33" s="675"/>
      <c r="X33" s="676"/>
      <c r="Y33" s="479"/>
      <c r="Z33" s="480"/>
      <c r="AA33" s="660"/>
      <c r="AB33" s="661"/>
      <c r="AC33" s="481"/>
      <c r="AD33" s="482"/>
    </row>
    <row r="34" spans="3:30">
      <c r="C34" s="467"/>
      <c r="Q34" s="464" t="s">
        <v>1607</v>
      </c>
      <c r="W34" s="675"/>
      <c r="X34" s="676"/>
      <c r="Y34" s="479"/>
      <c r="Z34" s="480"/>
      <c r="AA34" s="660"/>
      <c r="AB34" s="661"/>
      <c r="AC34" s="481"/>
      <c r="AD34" s="482"/>
    </row>
    <row r="35" spans="3:30">
      <c r="C35" s="467"/>
      <c r="W35" s="675"/>
      <c r="X35" s="676"/>
      <c r="Y35" s="479"/>
      <c r="Z35" s="480"/>
      <c r="AA35" s="660"/>
      <c r="AB35" s="661"/>
      <c r="AC35" s="481"/>
      <c r="AD35" s="482"/>
    </row>
    <row r="36" spans="3:30">
      <c r="C36" s="467"/>
      <c r="W36" s="675"/>
      <c r="X36" s="676"/>
      <c r="Y36" s="479"/>
      <c r="Z36" s="480"/>
      <c r="AA36" s="660"/>
      <c r="AB36" s="661"/>
      <c r="AC36" s="481"/>
      <c r="AD36" s="482"/>
    </row>
    <row r="37" spans="3:30" ht="12.75" customHeight="1">
      <c r="C37" s="467"/>
      <c r="W37" s="485"/>
      <c r="X37" s="488"/>
      <c r="Y37" s="479"/>
      <c r="Z37" s="480"/>
      <c r="AA37" s="679"/>
      <c r="AB37" s="680"/>
      <c r="AC37" s="481"/>
      <c r="AD37" s="489"/>
    </row>
    <row r="38" spans="3:30" ht="12.75" customHeight="1">
      <c r="C38" s="467"/>
      <c r="W38" s="490"/>
      <c r="X38" s="491"/>
      <c r="Y38" s="479"/>
      <c r="Z38" s="492"/>
      <c r="AA38" s="681"/>
      <c r="AB38" s="682"/>
      <c r="AC38" s="481"/>
      <c r="AD38" s="489"/>
    </row>
    <row r="39" spans="3:30" ht="12" customHeight="1">
      <c r="C39" s="467"/>
      <c r="W39" s="490"/>
      <c r="X39" s="491"/>
      <c r="Y39" s="479"/>
      <c r="Z39" s="492"/>
      <c r="AA39" s="686"/>
      <c r="AB39" s="687"/>
      <c r="AC39" s="481"/>
      <c r="AD39" s="489"/>
    </row>
    <row r="40" spans="3:30" ht="12" customHeight="1">
      <c r="C40" s="467"/>
      <c r="W40" s="493"/>
      <c r="X40" s="494"/>
      <c r="Y40" s="495"/>
      <c r="Z40" s="492"/>
      <c r="AA40" s="496"/>
      <c r="AB40" s="497"/>
      <c r="AC40" s="498"/>
      <c r="AD40" s="499"/>
    </row>
    <row r="41" spans="3:30" ht="12" customHeight="1">
      <c r="C41" s="467"/>
      <c r="W41" s="688"/>
      <c r="X41" s="689"/>
      <c r="Y41" s="500"/>
      <c r="Z41" s="501"/>
      <c r="AA41" s="690"/>
      <c r="AB41" s="691"/>
      <c r="AC41" s="498"/>
      <c r="AD41" s="499"/>
    </row>
    <row r="42" spans="3:30" ht="12" customHeight="1">
      <c r="C42" s="467"/>
      <c r="W42" s="692" t="s">
        <v>1635</v>
      </c>
      <c r="X42" s="693"/>
      <c r="Y42" s="693"/>
      <c r="Z42" s="693"/>
      <c r="AA42" s="693"/>
      <c r="AB42" s="693"/>
      <c r="AC42" s="693"/>
      <c r="AD42" s="694"/>
    </row>
    <row r="43" spans="3:30" ht="12" customHeight="1">
      <c r="C43" s="467"/>
      <c r="V43" s="502"/>
      <c r="W43" s="695"/>
      <c r="X43" s="696"/>
      <c r="Y43" s="696"/>
      <c r="Z43" s="696"/>
      <c r="AA43" s="696"/>
      <c r="AB43" s="696"/>
      <c r="AC43" s="696"/>
      <c r="AD43" s="697"/>
    </row>
    <row r="44" spans="3:30">
      <c r="C44" s="503"/>
      <c r="D44" s="504"/>
      <c r="E44" s="504"/>
      <c r="F44" s="504"/>
      <c r="G44" s="504"/>
      <c r="H44" s="504"/>
      <c r="I44" s="504"/>
      <c r="N44" s="504"/>
      <c r="O44" s="504"/>
      <c r="P44" s="504"/>
      <c r="Q44" s="504"/>
      <c r="R44" s="504"/>
      <c r="S44" s="504"/>
      <c r="T44" s="504"/>
      <c r="U44" s="504"/>
      <c r="V44" s="502"/>
      <c r="W44" s="683" t="s">
        <v>11</v>
      </c>
      <c r="X44" s="684"/>
      <c r="Y44" s="654"/>
      <c r="Z44" s="654"/>
      <c r="AA44" s="654"/>
      <c r="AB44" s="654"/>
      <c r="AC44" s="654"/>
      <c r="AD44" s="655"/>
    </row>
    <row r="45" spans="3:30">
      <c r="C45" s="503"/>
      <c r="D45" s="504"/>
      <c r="E45" s="504"/>
      <c r="F45" s="504"/>
      <c r="G45" s="504"/>
      <c r="H45" s="504"/>
      <c r="I45" s="504"/>
      <c r="N45" s="504"/>
      <c r="O45" s="504"/>
      <c r="P45" s="504"/>
      <c r="Q45" s="504"/>
      <c r="R45" s="504"/>
      <c r="S45" s="504"/>
      <c r="T45" s="504"/>
      <c r="U45" s="504"/>
      <c r="V45" s="502"/>
      <c r="W45" s="683" t="s">
        <v>984</v>
      </c>
      <c r="X45" s="684"/>
      <c r="Y45" s="654">
        <v>1</v>
      </c>
      <c r="Z45" s="654"/>
      <c r="AA45" s="654"/>
      <c r="AB45" s="654" t="s">
        <v>12</v>
      </c>
      <c r="AC45" s="654"/>
      <c r="AD45" s="472" t="s">
        <v>13</v>
      </c>
    </row>
    <row r="46" spans="3:30">
      <c r="C46" s="503"/>
      <c r="D46" s="504"/>
      <c r="E46" s="504"/>
      <c r="F46" s="504"/>
      <c r="G46" s="504"/>
      <c r="H46" s="504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2"/>
      <c r="W46" s="683" t="s">
        <v>15</v>
      </c>
      <c r="X46" s="684"/>
      <c r="Y46" s="685"/>
      <c r="Z46" s="685"/>
      <c r="AA46" s="685"/>
      <c r="AB46" s="654" t="s">
        <v>16</v>
      </c>
      <c r="AC46" s="654"/>
      <c r="AD46" s="505"/>
    </row>
    <row r="47" spans="3:30">
      <c r="C47" s="503"/>
      <c r="D47" s="504"/>
      <c r="E47" s="504"/>
      <c r="F47" s="504"/>
      <c r="G47" s="504"/>
      <c r="H47" s="504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2"/>
      <c r="W47" s="703" t="s">
        <v>17</v>
      </c>
      <c r="X47" s="703"/>
      <c r="Y47" s="703"/>
      <c r="Z47" s="703"/>
      <c r="AA47" s="703"/>
      <c r="AB47" s="703"/>
      <c r="AC47" s="703"/>
      <c r="AD47" s="704"/>
    </row>
    <row r="48" spans="3:30" ht="12.75" customHeight="1">
      <c r="C48" s="503"/>
      <c r="D48" s="504"/>
      <c r="E48" s="504"/>
      <c r="F48" s="504"/>
      <c r="G48" s="504"/>
      <c r="H48" s="504"/>
      <c r="I48" s="504"/>
      <c r="J48" s="504"/>
      <c r="K48" s="504"/>
      <c r="L48" s="504"/>
      <c r="M48" s="504"/>
      <c r="R48" s="504"/>
      <c r="S48" s="504"/>
      <c r="T48" s="504"/>
      <c r="U48" s="504"/>
      <c r="V48" s="502"/>
      <c r="W48" s="705" t="s">
        <v>1636</v>
      </c>
      <c r="X48" s="705"/>
      <c r="Y48" s="705"/>
      <c r="Z48" s="705"/>
      <c r="AA48" s="705"/>
      <c r="AB48" s="705"/>
      <c r="AC48" s="705"/>
      <c r="AD48" s="706"/>
    </row>
    <row r="49" spans="3:30">
      <c r="C49" s="503"/>
      <c r="D49" s="506"/>
      <c r="E49" s="504"/>
      <c r="F49" s="504"/>
      <c r="G49" s="504"/>
      <c r="I49" s="504"/>
      <c r="J49" s="504"/>
      <c r="K49" s="504"/>
      <c r="L49" s="504"/>
      <c r="M49" s="504"/>
      <c r="R49" s="504"/>
      <c r="S49" s="504"/>
      <c r="T49" s="504"/>
      <c r="U49" s="504"/>
      <c r="V49" s="507"/>
      <c r="W49" s="705"/>
      <c r="X49" s="705"/>
      <c r="Y49" s="705"/>
      <c r="Z49" s="705"/>
      <c r="AA49" s="705"/>
      <c r="AB49" s="705"/>
      <c r="AC49" s="705"/>
      <c r="AD49" s="706"/>
    </row>
    <row r="50" spans="3:30">
      <c r="C50" s="503"/>
      <c r="D50" s="508"/>
      <c r="E50" s="508"/>
      <c r="F50" s="508"/>
      <c r="G50" s="508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7"/>
      <c r="W50" s="705"/>
      <c r="X50" s="705"/>
      <c r="Y50" s="705"/>
      <c r="Z50" s="705"/>
      <c r="AA50" s="705"/>
      <c r="AB50" s="705"/>
      <c r="AC50" s="705"/>
      <c r="AD50" s="706"/>
    </row>
    <row r="51" spans="3:30" ht="19.5" customHeight="1">
      <c r="C51" s="503"/>
      <c r="D51" s="508"/>
      <c r="E51" s="508"/>
      <c r="F51" s="508"/>
      <c r="G51" s="508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7"/>
      <c r="W51" s="707"/>
      <c r="X51" s="707"/>
      <c r="Y51" s="707"/>
      <c r="Z51" s="707"/>
      <c r="AA51" s="707"/>
      <c r="AB51" s="707"/>
      <c r="AC51" s="707"/>
      <c r="AD51" s="708"/>
    </row>
    <row r="52" spans="3:30">
      <c r="C52" s="503"/>
      <c r="D52" s="509"/>
      <c r="E52" s="509"/>
      <c r="F52" s="509"/>
      <c r="G52" s="509"/>
      <c r="I52" s="504"/>
      <c r="J52" s="504"/>
      <c r="K52" s="504"/>
      <c r="L52" s="422"/>
      <c r="M52" s="504"/>
      <c r="N52" s="504"/>
      <c r="O52" s="504"/>
      <c r="P52" s="504"/>
      <c r="Q52" s="504"/>
      <c r="R52" s="504"/>
      <c r="S52" s="504"/>
      <c r="T52" s="504"/>
      <c r="U52" s="504"/>
      <c r="V52" s="502"/>
      <c r="W52" s="698" t="s">
        <v>18</v>
      </c>
      <c r="X52" s="684"/>
      <c r="Y52" s="654" t="s">
        <v>1623</v>
      </c>
      <c r="Z52" s="654"/>
      <c r="AA52" s="654"/>
      <c r="AB52" s="654"/>
      <c r="AC52" s="654"/>
      <c r="AD52" s="655"/>
    </row>
    <row r="53" spans="3:30">
      <c r="C53" s="503"/>
      <c r="D53" s="508"/>
      <c r="E53" s="508"/>
      <c r="F53" s="508"/>
      <c r="G53" s="508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V53" s="502"/>
      <c r="W53" s="698" t="s">
        <v>19</v>
      </c>
      <c r="X53" s="684"/>
      <c r="Y53" s="654" t="s">
        <v>1622</v>
      </c>
      <c r="Z53" s="654"/>
      <c r="AA53" s="654"/>
      <c r="AB53" s="654"/>
      <c r="AC53" s="654"/>
      <c r="AD53" s="655"/>
    </row>
    <row r="54" spans="3:30">
      <c r="C54" s="503"/>
      <c r="D54" s="423"/>
      <c r="E54" s="423"/>
      <c r="F54" s="423"/>
      <c r="G54" s="423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V54" s="502"/>
      <c r="W54" s="698" t="s">
        <v>20</v>
      </c>
      <c r="X54" s="684"/>
      <c r="Y54" s="654" t="s">
        <v>1622</v>
      </c>
      <c r="Z54" s="654"/>
      <c r="AA54" s="654"/>
      <c r="AB54" s="654"/>
      <c r="AC54" s="654"/>
      <c r="AD54" s="655"/>
    </row>
    <row r="55" spans="3:30" ht="12.75" thickBot="1">
      <c r="C55" s="510"/>
      <c r="D55" s="511"/>
      <c r="E55" s="511"/>
      <c r="F55" s="511"/>
      <c r="G55" s="511"/>
      <c r="H55" s="511"/>
      <c r="I55" s="511"/>
      <c r="J55" s="511"/>
      <c r="K55" s="511"/>
      <c r="L55" s="511"/>
      <c r="M55" s="511"/>
      <c r="N55" s="511"/>
      <c r="O55" s="511"/>
      <c r="P55" s="511"/>
      <c r="Q55" s="511"/>
      <c r="R55" s="511"/>
      <c r="S55" s="511"/>
      <c r="T55" s="511"/>
      <c r="U55" s="512"/>
      <c r="V55" s="513"/>
      <c r="W55" s="699" t="s">
        <v>21</v>
      </c>
      <c r="X55" s="700"/>
      <c r="Y55" s="701" t="s">
        <v>1621</v>
      </c>
      <c r="Z55" s="701"/>
      <c r="AA55" s="701"/>
      <c r="AB55" s="701"/>
      <c r="AC55" s="701"/>
      <c r="AD55" s="702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03AB3-7B2C-441D-B801-BAD9A48ADF3D}">
  <sheetPr>
    <tabColor rgb="FFFF66FF"/>
  </sheetPr>
  <dimension ref="B1:AE122"/>
  <sheetViews>
    <sheetView view="pageBreakPreview" topLeftCell="A13" zoomScale="47" zoomScaleNormal="40" zoomScaleSheetLayoutView="103" workbookViewId="0">
      <selection activeCell="N58" sqref="N58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09" t="s">
        <v>1619</v>
      </c>
      <c r="D3" s="710"/>
      <c r="E3" s="710"/>
      <c r="F3" s="710"/>
      <c r="G3" s="710"/>
      <c r="H3" s="710"/>
      <c r="I3" s="710"/>
      <c r="J3" s="710"/>
      <c r="K3" s="710"/>
      <c r="L3" s="710"/>
      <c r="M3" s="710"/>
      <c r="N3" s="710"/>
      <c r="O3" s="710"/>
      <c r="P3" s="710"/>
      <c r="Q3" s="710"/>
      <c r="R3" s="710"/>
      <c r="S3" s="710"/>
      <c r="T3" s="710"/>
      <c r="U3" s="710"/>
      <c r="V3" s="710"/>
      <c r="W3" s="710"/>
      <c r="X3" s="710"/>
      <c r="Y3" s="710"/>
      <c r="Z3" s="710"/>
      <c r="AA3" s="710"/>
      <c r="AB3" s="711"/>
      <c r="AC3" s="430"/>
      <c r="AD3" s="428"/>
      <c r="AE3" s="428"/>
    </row>
    <row r="4" spans="2:31" ht="13.5" customHeight="1" thickBot="1">
      <c r="B4" s="429"/>
      <c r="C4" s="712"/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4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B7E89-7B1F-4710-8D11-2673982AB34E}">
  <sheetPr>
    <tabColor rgb="FF92D050"/>
  </sheetPr>
  <dimension ref="B1:AF122"/>
  <sheetViews>
    <sheetView zoomScale="43" zoomScaleNormal="130" zoomScaleSheetLayoutView="40" workbookViewId="0">
      <selection activeCell="AH12" sqref="AH12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5" t="s">
        <v>1620</v>
      </c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7"/>
      <c r="AD4" s="206"/>
      <c r="AE4" s="205"/>
      <c r="AF4" s="205"/>
    </row>
    <row r="5" spans="2:32" ht="13.5" customHeight="1" thickBot="1">
      <c r="B5" s="204"/>
      <c r="C5" s="204"/>
      <c r="D5" s="718"/>
      <c r="E5" s="719"/>
      <c r="F5" s="719"/>
      <c r="G5" s="719"/>
      <c r="H5" s="719"/>
      <c r="I5" s="719"/>
      <c r="J5" s="719"/>
      <c r="K5" s="719"/>
      <c r="L5" s="719"/>
      <c r="M5" s="719"/>
      <c r="N5" s="719"/>
      <c r="O5" s="719"/>
      <c r="P5" s="719"/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19"/>
      <c r="AC5" s="720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8"/>
    </row>
    <row r="76" spans="2:32" ht="15" customHeight="1">
      <c r="F76" s="459"/>
      <c r="N76" s="458"/>
    </row>
    <row r="77" spans="2:32" ht="15" customHeight="1">
      <c r="F77" s="459"/>
      <c r="N77" s="458"/>
    </row>
    <row r="78" spans="2:32" ht="15" customHeight="1">
      <c r="F78" s="459"/>
      <c r="N78" s="458"/>
    </row>
    <row r="79" spans="2:32" ht="15" customHeight="1">
      <c r="F79" s="459"/>
      <c r="N79" s="458"/>
    </row>
    <row r="80" spans="2:32" ht="15" customHeight="1">
      <c r="F80" s="459"/>
      <c r="N80" s="458"/>
    </row>
    <row r="81" spans="6:14" ht="15" customHeight="1">
      <c r="F81" s="459"/>
      <c r="N81" s="458"/>
    </row>
    <row r="82" spans="6:14" ht="15" customHeight="1">
      <c r="F82" s="459"/>
      <c r="N82" s="458"/>
    </row>
    <row r="83" spans="6:14" ht="15" customHeight="1">
      <c r="F83" s="459"/>
      <c r="N83" s="458"/>
    </row>
    <row r="84" spans="6:14" ht="15" customHeight="1">
      <c r="F84" s="459"/>
      <c r="N84" s="458"/>
    </row>
    <row r="85" spans="6:14" ht="15" customHeight="1">
      <c r="F85" s="459"/>
      <c r="N85" s="458"/>
    </row>
    <row r="86" spans="6:14" ht="15" customHeight="1">
      <c r="F86" s="459"/>
      <c r="N86" s="458"/>
    </row>
    <row r="87" spans="6:14" ht="15" customHeight="1">
      <c r="F87" s="459"/>
      <c r="N87" s="458"/>
    </row>
    <row r="88" spans="6:14" ht="15" customHeight="1">
      <c r="F88" s="459"/>
      <c r="N88" s="458"/>
    </row>
    <row r="89" spans="6:14" ht="15" customHeight="1">
      <c r="F89" s="459"/>
      <c r="N89" s="458"/>
    </row>
    <row r="90" spans="6:14" ht="15" customHeight="1">
      <c r="F90" s="459"/>
      <c r="N90" s="458"/>
    </row>
    <row r="91" spans="6:14" ht="15" customHeight="1">
      <c r="F91" s="459"/>
      <c r="N91" s="458"/>
    </row>
    <row r="92" spans="6:14" ht="15" customHeight="1">
      <c r="F92" s="459"/>
      <c r="N92" s="458"/>
    </row>
    <row r="93" spans="6:14" ht="15" customHeight="1">
      <c r="F93" s="459"/>
      <c r="N93" s="458"/>
    </row>
    <row r="94" spans="6:14" ht="15" customHeight="1">
      <c r="F94" s="459"/>
      <c r="N94" s="458"/>
    </row>
    <row r="95" spans="6:14" ht="15" customHeight="1">
      <c r="F95" s="459"/>
      <c r="N95" s="458"/>
    </row>
    <row r="96" spans="6:14" ht="15" customHeight="1">
      <c r="F96" s="459"/>
      <c r="N96" s="458"/>
    </row>
    <row r="97" spans="6:14" ht="15" customHeight="1">
      <c r="F97" s="459"/>
      <c r="N97" s="458"/>
    </row>
    <row r="98" spans="6:14" ht="15" customHeight="1">
      <c r="F98" s="459"/>
    </row>
    <row r="99" spans="6:14" ht="15" customHeight="1">
      <c r="F99" s="459"/>
    </row>
    <row r="100" spans="6:14" ht="15" customHeight="1">
      <c r="F100" s="459"/>
    </row>
    <row r="101" spans="6:14" ht="15" customHeight="1">
      <c r="F101" s="459"/>
    </row>
    <row r="102" spans="6:14" ht="15" customHeight="1">
      <c r="F102" s="459"/>
    </row>
    <row r="103" spans="6:14" ht="15" customHeight="1">
      <c r="F103" s="459"/>
    </row>
    <row r="104" spans="6:14" ht="15" customHeight="1">
      <c r="F104" s="459"/>
    </row>
    <row r="105" spans="6:14" ht="15" customHeight="1">
      <c r="F105" s="459"/>
    </row>
    <row r="106" spans="6:14" ht="15" customHeight="1">
      <c r="F106" s="459"/>
    </row>
    <row r="107" spans="6:14" ht="15" customHeight="1">
      <c r="F107" s="459"/>
    </row>
    <row r="108" spans="6:14" ht="15" customHeight="1">
      <c r="F108" s="459"/>
    </row>
    <row r="109" spans="6:14" ht="15" customHeight="1">
      <c r="F109" s="459"/>
    </row>
    <row r="110" spans="6:14" ht="15" customHeight="1">
      <c r="F110" s="459"/>
    </row>
    <row r="111" spans="6:14" ht="15" customHeight="1">
      <c r="F111" s="459"/>
    </row>
    <row r="112" spans="6:14" ht="15" customHeight="1">
      <c r="F112" s="459"/>
    </row>
    <row r="113" spans="6:6" ht="15" customHeight="1">
      <c r="F113" s="459"/>
    </row>
    <row r="114" spans="6:6" ht="15" customHeight="1">
      <c r="F114" s="459"/>
    </row>
    <row r="115" spans="6:6" ht="15" customHeight="1">
      <c r="F115" s="459"/>
    </row>
    <row r="116" spans="6:6" ht="15" customHeight="1">
      <c r="F116" s="459"/>
    </row>
    <row r="117" spans="6:6" ht="15" customHeight="1">
      <c r="F117" s="459"/>
    </row>
    <row r="118" spans="6:6" ht="15" customHeight="1">
      <c r="F118" s="459"/>
    </row>
    <row r="119" spans="6:6" ht="15" customHeight="1">
      <c r="F119" s="459"/>
    </row>
    <row r="120" spans="6:6" ht="15" customHeight="1">
      <c r="F120" s="459"/>
    </row>
    <row r="121" spans="6:6" ht="15" customHeight="1">
      <c r="F121" s="459"/>
    </row>
    <row r="122" spans="6:6">
      <c r="F122" s="459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2024-04-07T03:42:52Z</dcterms:modified>
</cp:coreProperties>
</file>