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94850D05-0BD2-4F9F-B72D-12D5F9767F42}" xr6:coauthVersionLast="47" xr6:coauthVersionMax="47" xr10:uidLastSave="{00000000-0000-0000-0000-000000000000}"/>
  <bookViews>
    <workbookView xWindow="-120" yWindow="-120" windowWidth="15600" windowHeight="11160" tabRatio="859" firstSheet="2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75" i="11"/>
  <c r="F73" i="11"/>
  <c r="F72" i="11"/>
  <c r="G76" i="11" l="1"/>
  <c r="G77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G70" i="11"/>
  <c r="G71" i="11"/>
  <c r="G72" i="11"/>
  <c r="G73" i="11"/>
  <c r="G74" i="11"/>
  <c r="G75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J75" i="11" l="1"/>
  <c r="H74" i="11"/>
  <c r="H73" i="11"/>
  <c r="I71" i="11"/>
  <c r="I75" i="11"/>
  <c r="H72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75" i="11"/>
  <c r="K73" i="11"/>
  <c r="K72" i="11"/>
  <c r="K74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2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H67" i="11"/>
  <c r="D312" i="29"/>
  <c r="E312" i="29" s="1"/>
  <c r="D802" i="41"/>
  <c r="E802" i="41" s="1"/>
  <c r="D22" i="59"/>
  <c r="K8" i="60" s="1"/>
  <c r="D21" i="59"/>
  <c r="K1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41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7" i="11"/>
  <c r="F860" i="41"/>
  <c r="F863" i="41"/>
  <c r="F862" i="41"/>
  <c r="F824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66" i="11"/>
  <c r="I66" i="11"/>
  <c r="F806" i="41"/>
  <c r="E1081" i="41"/>
  <c r="E1027" i="41"/>
  <c r="F861" i="41"/>
  <c r="E861" i="41"/>
  <c r="E230" i="29"/>
  <c r="E274" i="29"/>
  <c r="F274" i="29"/>
  <c r="H82" i="11"/>
  <c r="J82" i="11"/>
  <c r="I37" i="11"/>
  <c r="J35" i="11"/>
  <c r="F332" i="29"/>
  <c r="I42" i="11"/>
  <c r="J67" i="11"/>
  <c r="H33" i="11"/>
  <c r="I34" i="11"/>
  <c r="E340" i="29"/>
  <c r="H28" i="11"/>
  <c r="I33" i="11"/>
  <c r="I4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F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4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F348" i="29"/>
  <c r="E59" i="39"/>
  <c r="F59" i="39"/>
  <c r="E290" i="29"/>
  <c r="F290" i="29"/>
  <c r="I28" i="11"/>
  <c r="F323" i="29"/>
  <c r="E260" i="29"/>
  <c r="E236" i="29"/>
  <c r="E73" i="39"/>
  <c r="E341" i="29"/>
  <c r="F341" i="29"/>
  <c r="F299" i="29"/>
  <c r="H39" i="11"/>
  <c r="J39" i="11"/>
  <c r="J41" i="11"/>
  <c r="H41" i="11"/>
  <c r="J65" i="11"/>
  <c r="H65" i="11"/>
  <c r="I65" i="11"/>
  <c r="F300" i="29"/>
  <c r="E284" i="29"/>
  <c r="J19" i="11"/>
  <c r="J16" i="11"/>
  <c r="I43" i="11"/>
  <c r="F233" i="29"/>
  <c r="E58" i="39"/>
  <c r="F319" i="29"/>
  <c r="F310" i="29"/>
  <c r="I39" i="11"/>
  <c r="I36" i="11"/>
  <c r="I31" i="11"/>
  <c r="I35" i="11"/>
  <c r="H66" i="11"/>
  <c r="J22" i="11"/>
  <c r="J20" i="11"/>
  <c r="K18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727" i="41" l="1"/>
  <c r="F237" i="29"/>
  <c r="F857" i="41"/>
  <c r="F728" i="41"/>
  <c r="F238" i="29"/>
  <c r="F69" i="39"/>
  <c r="F75" i="39"/>
  <c r="F368" i="29"/>
  <c r="F74" i="39"/>
  <c r="F1311" i="41"/>
  <c r="M70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F350" i="29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12" i="29"/>
  <c r="F339" i="29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16" i="41"/>
  <c r="F840" i="41"/>
  <c r="F835" i="41"/>
  <c r="F729" i="41"/>
  <c r="F802" i="41"/>
  <c r="F829" i="41"/>
  <c r="C16" i="39" l="1"/>
  <c r="F16" i="39"/>
  <c r="F17" i="39"/>
  <c r="C30" i="39"/>
  <c r="G30" i="39" s="1"/>
  <c r="C17" i="39"/>
  <c r="D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D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G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D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C33" i="29"/>
  <c r="B33" i="29" s="1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G122" i="29" s="1"/>
  <c r="C94" i="29"/>
  <c r="B94" i="29" s="1"/>
  <c r="E94" i="29" s="1"/>
  <c r="F128" i="29"/>
  <c r="C90" i="29"/>
  <c r="G90" i="29" s="1"/>
  <c r="F59" i="29"/>
  <c r="F85" i="29"/>
  <c r="C37" i="29"/>
  <c r="G37" i="29" s="1"/>
  <c r="F165" i="29"/>
  <c r="F249" i="41"/>
  <c r="F133" i="29"/>
  <c r="C67" i="29"/>
  <c r="B67" i="29" s="1"/>
  <c r="E67" i="29" s="1"/>
  <c r="C113" i="29"/>
  <c r="G113" i="29" s="1"/>
  <c r="C134" i="29"/>
  <c r="G134" i="29" s="1"/>
  <c r="F5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D22" i="29"/>
  <c r="C32" i="29"/>
  <c r="G32" i="29" s="1"/>
  <c r="C157" i="29"/>
  <c r="B157" i="29" s="1"/>
  <c r="E157" i="29" s="1"/>
  <c r="C124" i="29"/>
  <c r="D124" i="29" s="1"/>
  <c r="F130" i="29"/>
  <c r="C25" i="29"/>
  <c r="D25" i="29" s="1"/>
  <c r="F124" i="29"/>
  <c r="C160" i="29"/>
  <c r="B160" i="29" s="1"/>
  <c r="E160" i="29" s="1"/>
  <c r="C100" i="29"/>
  <c r="D100" i="29" s="1"/>
  <c r="F58" i="29"/>
  <c r="F109" i="29"/>
  <c r="C65" i="29"/>
  <c r="D65" i="29" s="1"/>
  <c r="C66" i="29"/>
  <c r="B66" i="29" s="1"/>
  <c r="E66" i="29" s="1"/>
  <c r="F88" i="29"/>
  <c r="C85" i="29"/>
  <c r="G85" i="29" s="1"/>
  <c r="C111" i="29"/>
  <c r="B111" i="29" s="1"/>
  <c r="E111" i="29" s="1"/>
  <c r="C54" i="29"/>
  <c r="D54" i="29" s="1"/>
  <c r="F108" i="29"/>
  <c r="C77" i="29"/>
  <c r="B77" i="29" s="1"/>
  <c r="E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G19" i="29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85" i="11"/>
  <c r="J86" i="11" s="1"/>
  <c r="H85" i="11"/>
  <c r="H86" i="11" s="1"/>
  <c r="I85" i="11"/>
  <c r="I86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19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22" i="2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G77" i="29"/>
  <c r="G38" i="29"/>
  <c r="D149" i="29"/>
  <c r="D154" i="29"/>
  <c r="B22" i="39"/>
  <c r="E22" i="39" s="1"/>
  <c r="B17" i="39"/>
  <c r="E17" i="39" s="1"/>
  <c r="M15" i="11"/>
  <c r="K81" i="11"/>
  <c r="K8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G24" i="29"/>
  <c r="G131" i="29"/>
  <c r="D19" i="29"/>
  <c r="G17" i="39" l="1"/>
  <c r="D32" i="39"/>
  <c r="G24" i="39"/>
  <c r="G22" i="39"/>
  <c r="B32" i="39"/>
  <c r="E32" i="39" s="1"/>
  <c r="B19" i="39"/>
  <c r="E19" i="39" s="1"/>
  <c r="B34" i="39"/>
  <c r="E34" i="39" s="1"/>
  <c r="D24" i="39"/>
  <c r="D34" i="39"/>
  <c r="G26" i="29"/>
  <c r="B38" i="29"/>
  <c r="E38" i="29" s="1"/>
  <c r="D35" i="29"/>
  <c r="I35" i="29" s="1"/>
  <c r="G99" i="29"/>
  <c r="D99" i="29"/>
  <c r="H99" i="29" s="1"/>
  <c r="D109" i="29"/>
  <c r="J109" i="29" s="1"/>
  <c r="B40" i="29"/>
  <c r="E40" i="29" s="1"/>
  <c r="G74" i="29"/>
  <c r="B90" i="29"/>
  <c r="E90" i="29" s="1"/>
  <c r="D133" i="29"/>
  <c r="I133" i="29" s="1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I160" i="29" s="1"/>
  <c r="D58" i="29"/>
  <c r="H58" i="29" s="1"/>
  <c r="B133" i="29"/>
  <c r="E133" i="29" s="1"/>
  <c r="D33" i="29"/>
  <c r="I33" i="29" s="1"/>
  <c r="G143" i="29"/>
  <c r="B124" i="29"/>
  <c r="E124" i="29" s="1"/>
  <c r="G115" i="29"/>
  <c r="G65" i="29"/>
  <c r="D90" i="29"/>
  <c r="H90" i="29" s="1"/>
  <c r="G58" i="29"/>
  <c r="D122" i="29"/>
  <c r="J122" i="29" s="1"/>
  <c r="D143" i="29"/>
  <c r="I143" i="29" s="1"/>
  <c r="B149" i="29"/>
  <c r="E149" i="29" s="1"/>
  <c r="D85" i="29"/>
  <c r="J85" i="29" s="1"/>
  <c r="D92" i="29"/>
  <c r="H92" i="29" s="1"/>
  <c r="D28" i="39"/>
  <c r="J28" i="39" s="1"/>
  <c r="G20" i="39"/>
  <c r="B148" i="29"/>
  <c r="E148" i="29" s="1"/>
  <c r="D67" i="29"/>
  <c r="H67" i="29" s="1"/>
  <c r="D68" i="29"/>
  <c r="H68" i="29" s="1"/>
  <c r="D20" i="29"/>
  <c r="H20" i="29" s="1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H106" i="29" s="1"/>
  <c r="G18" i="39"/>
  <c r="D29" i="39"/>
  <c r="I29" i="39" s="1"/>
  <c r="B28" i="39"/>
  <c r="E28" i="39" s="1"/>
  <c r="D20" i="39"/>
  <c r="H20" i="39" s="1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H57" i="29" s="1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I26" i="39" s="1"/>
  <c r="G66" i="29"/>
  <c r="D94" i="29"/>
  <c r="I94" i="29" s="1"/>
  <c r="G23" i="29"/>
  <c r="G23" i="39"/>
  <c r="D21" i="39"/>
  <c r="J21" i="39" s="1"/>
  <c r="D81" i="29"/>
  <c r="I81" i="29" s="1"/>
  <c r="G111" i="29"/>
  <c r="G18" i="29"/>
  <c r="H18" i="29" s="1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5" i="11"/>
  <c r="K86" i="11" s="1"/>
  <c r="H83" i="29"/>
  <c r="H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I149" i="29"/>
  <c r="H149" i="29"/>
  <c r="J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I57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I113" i="29"/>
  <c r="I122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H31" i="39"/>
  <c r="I20" i="39" l="1"/>
  <c r="J20" i="39"/>
  <c r="H28" i="39"/>
  <c r="I68" i="29"/>
  <c r="J106" i="29"/>
  <c r="H165" i="29"/>
  <c r="H33" i="29"/>
  <c r="H160" i="29"/>
  <c r="I99" i="29"/>
  <c r="I20" i="29"/>
  <c r="I90" i="29"/>
  <c r="K90" i="29" s="1"/>
  <c r="J35" i="29"/>
  <c r="J31" i="39"/>
  <c r="J160" i="29"/>
  <c r="H77" i="29"/>
  <c r="K77" i="29" s="1"/>
  <c r="J20" i="29"/>
  <c r="I28" i="39"/>
  <c r="J68" i="29"/>
  <c r="J33" i="29"/>
  <c r="K33" i="29" s="1"/>
  <c r="J143" i="29"/>
  <c r="I106" i="29"/>
  <c r="I27" i="29"/>
  <c r="J26" i="39"/>
  <c r="H133" i="29"/>
  <c r="I109" i="29"/>
  <c r="H143" i="29"/>
  <c r="J57" i="29"/>
  <c r="K57" i="29" s="1"/>
  <c r="H26" i="39"/>
  <c r="J133" i="29"/>
  <c r="H109" i="29"/>
  <c r="I67" i="29"/>
  <c r="I148" i="29"/>
  <c r="J67" i="29"/>
  <c r="H122" i="29"/>
  <c r="K122" i="29" s="1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24" i="39"/>
  <c r="K73" i="29"/>
  <c r="K21" i="29"/>
  <c r="K72" i="29"/>
  <c r="K124" i="29"/>
  <c r="K108" i="2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68" i="29" l="1"/>
  <c r="K160" i="29"/>
  <c r="K20" i="29"/>
  <c r="K26" i="39"/>
  <c r="K28" i="39"/>
  <c r="K110" i="29"/>
  <c r="K165" i="29"/>
  <c r="K27" i="29"/>
  <c r="K92" i="29"/>
  <c r="K67" i="29"/>
  <c r="K143" i="29"/>
  <c r="K156" i="29"/>
  <c r="K115" i="29"/>
  <c r="K133" i="29"/>
  <c r="K85" i="29"/>
  <c r="K33" i="39"/>
  <c r="K109" i="29"/>
  <c r="K58" i="29"/>
  <c r="K25" i="39"/>
  <c r="K79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<sst xmlns="http://schemas.openxmlformats.org/spreadsheetml/2006/main" count="4745" uniqueCount="1639">
  <si>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</si>
  <si>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</si>
  <si>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</si>
  <si>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</si>
  <si>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</si>
  <si>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</si>
  <si>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</si>
  <si>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</si>
  <si>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</si>
  <si>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</si>
  <si>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</si>
  <si>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</si>
  <si>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</si>
  <si>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</si>
  <si>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</si>
  <si>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</si>
  <si>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</si>
  <si>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</si>
  <si>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</si>
  <si>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</si>
  <si>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</si>
  <si>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</si>
  <si>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</si>
  <si>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</si>
  <si>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</si>
  <si>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</si>
  <si>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</si>
  <si>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</si>
  <si>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</si>
  <si>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</si>
  <si>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</si>
  <si>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</si>
  <si>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</si>
  <si>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</si>
  <si>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</si>
  <si>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</si>
  <si>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</si>
  <si>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</si>
  <si>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</si>
  <si>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</si>
  <si>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</si>
  <si>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</si>
  <si>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</si>
  <si>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</si>
  <si>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</si>
  <si>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</si>
  <si>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</si>
  <si>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</si>
  <si>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</si>
  <si>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</si>
  <si>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</si>
  <si>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</si>
  <si>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</si>
  <si>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</si>
  <si>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</si>
  <si>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</si>
  <si>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</si>
  <si>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</si>
  <si>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</si>
  <si>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</si>
  <si>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</si>
  <si>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</si>
  <si>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</si>
  <si>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</si>
  <si>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</si>
  <si>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</si>
  <si>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</si>
  <si>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</si>
  <si>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</si>
  <si>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</si>
  <si>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</si>
  <si>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</si>
  <si>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</si>
  <si>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</si>
  <si>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</si>
  <si>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</si>
  <si>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</si>
  <si>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</si>
  <si>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</si>
  <si>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</si>
  <si>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</si>
  <si>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</si>
  <si>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</si>
  <si>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</si>
  <si>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</si>
  <si>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</si>
  <si>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</si>
  <si>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</si>
  <si>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</si>
  <si>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</si>
  <si>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</si>
  <si>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</si>
  <si>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</si>
  <si>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</si>
  <si>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</si>
  <si>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</si>
  <si>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</si>
  <si>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</si>
  <si>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</si>
  <si>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</si>
  <si>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</si>
  <si>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</si>
  <si>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</si>
  <si>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</si>
  <si>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</si>
  <si>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</si>
  <si>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</si>
  <si>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</si>
  <si>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</si>
  <si>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</si>
  <si>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</si>
  <si>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</si>
  <si>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</si>
  <si>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</si>
  <si>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</si>
  <si>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</si>
  <si>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</si>
  <si>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</si>
  <si>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</si>
  <si>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</si>
  <si>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</si>
  <si>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</si>
  <si>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</si>
  <si>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</si>
  <si>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</si>
  <si>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</si>
  <si>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</si>
  <si>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</si>
  <si>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</si>
  <si>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</si>
  <si>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</si>
  <si>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</si>
  <si>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</si>
  <si>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</si>
  <si>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</si>
  <si>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</si>
  <si>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</si>
  <si>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</si>
  <si>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</si>
  <si>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</si>
  <si>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</si>
  <si>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</si>
  <si>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</si>
  <si>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</si>
  <si>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</si>
  <si>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</si>
  <si>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</si>
  <si>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</si>
  <si>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</si>
  <si>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</si>
  <si>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</si>
  <si>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</si>
  <si>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</si>
  <si>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</si>
  <si>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</si>
  <si>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</si>
  <si>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</si>
  <si>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</si>
  <si>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</si>
  <si>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</si>
  <si>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</si>
  <si>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</si>
  <si>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</si>
  <si>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</si>
  <si>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</si>
  <si>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</si>
  <si>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</si>
  <si>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</si>
  <si>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</si>
  <si>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</si>
  <si>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</si>
  <si>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</si>
  <si>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</si>
  <si>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</si>
  <si>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</si>
  <si>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</si>
  <si>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</si>
  <si>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</si>
  <si>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</si>
  <si>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</si>
  <si>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</si>
  <si>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</si>
  <si>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</si>
  <si>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</si>
  <si>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</si>
  <si>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</si>
  <si>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</si>
  <si>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</si>
  <si>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</si>
  <si>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</si>
  <si>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</si>
  <si>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</si>
  <si>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</si>
  <si>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</si>
  <si>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</si>
  <si>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</si>
  <si>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</si>
  <si>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</si>
  <si>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</si>
  <si>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</si>
  <si>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</si>
  <si>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</si>
  <si>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</si>
  <si>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</si>
  <si>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</si>
  <si>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</si>
  <si>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</si>
  <si>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</si>
  <si>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</si>
  <si>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</si>
  <si>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</si>
  <si>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</si>
  <si>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</si>
  <si>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</si>
  <si>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</si>
  <si>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</si>
  <si>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</si>
  <si>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</si>
  <si>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</si>
  <si>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</si>
  <si>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</si>
  <si>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</si>
  <si>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</si>
  <si>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</si>
  <si>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</si>
  <si>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</si>
  <si>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</si>
  <si>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</si>
  <si>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</si>
  <si>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</si>
  <si>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</si>
  <si>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</si>
  <si>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</si>
  <si>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</si>
  <si>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</si>
  <si>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</si>
  <si>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</si>
  <si>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</si>
  <si>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</si>
  <si>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</si>
  <si>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</si>
  <si>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</si>
  <si>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</si>
  <si>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</si>
  <si>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</si>
  <si>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</si>
  <si>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</si>
  <si>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</si>
  <si>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</si>
  <si>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</si>
  <si>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</si>
  <si>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</si>
  <si>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</si>
  <si>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</si>
  <si>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</si>
  <si>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</si>
  <si>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</si>
  <si>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</si>
  <si>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</si>
  <si>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</si>
  <si>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</si>
  <si>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</si>
  <si>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</si>
  <si>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</si>
  <si>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</si>
  <si>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</si>
  <si>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</si>
  <si>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</si>
  <si>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</si>
  <si>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</si>
  <si>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</si>
  <si>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</si>
  <si>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</si>
  <si>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</si>
  <si>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</si>
  <si>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</si>
  <si>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</si>
  <si>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</si>
  <si>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</si>
  <si>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</si>
  <si>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</si>
  <si>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</si>
  <si>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</si>
  <si>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</si>
  <si>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</si>
  <si>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</si>
  <si>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</si>
  <si>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</si>
  <si>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</si>
  <si>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</si>
  <si>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</si>
  <si>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</si>
  <si>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</si>
  <si>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</si>
  <si>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</si>
  <si>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</si>
  <si>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</si>
  <si>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</si>
  <si>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</si>
  <si>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</si>
  <si>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</si>
  <si>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</si>
  <si>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</si>
  <si>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</si>
  <si>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</si>
  <si>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</si>
  <si>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</si>
  <si>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</si>
  <si>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</si>
  <si>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</si>
  <si>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</si>
  <si>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</si>
  <si>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</si>
  <si>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</si>
  <si>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</si>
  <si>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</si>
  <si>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</si>
  <si>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</si>
  <si>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</si>
  <si>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</si>
  <si>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</si>
  <si>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</si>
  <si>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</si>
  <si>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</si>
  <si>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</si>
  <si>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</si>
  <si>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</si>
  <si>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</si>
  <si>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</si>
  <si>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</si>
  <si>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</si>
  <si>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</si>
  <si>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</si>
  <si>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</si>
  <si>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</si>
  <si>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</si>
  <si>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</si>
  <si>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</si>
  <si>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</si>
  <si>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</si>
  <si>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</si>
  <si>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</si>
  <si>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</si>
  <si>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</si>
  <si>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</si>
  <si>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</si>
  <si>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</si>
  <si>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</si>
  <si>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</si>
  <si>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</si>
  <si>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</si>
  <si>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</si>
  <si>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</si>
  <si>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</si>
  <si>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</si>
  <si>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</si>
  <si>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</si>
  <si>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</si>
  <si>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</si>
  <si>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</si>
  <si>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</si>
  <si>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</si>
  <si>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</si>
  <si>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</si>
  <si>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</si>
  <si>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</si>
  <si>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</si>
  <si>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</si>
  <si>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</si>
  <si>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</si>
  <si>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</si>
  <si>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</si>
  <si>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</si>
  <si>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</si>
  <si>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</si>
  <si>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</si>
  <si>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</si>
  <si>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</si>
  <si>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</si>
  <si>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</si>
  <si>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</si>
  <si>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</si>
  <si>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</si>
  <si>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</si>
  <si>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</si>
  <si>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</si>
  <si>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</si>
  <si>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</si>
  <si>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</si>
  <si>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</si>
  <si>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</si>
  <si>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</si>
  <si>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</si>
  <si>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</si>
  <si>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</si>
  <si>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</si>
  <si>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</si>
  <si>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</si>
  <si>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</si>
  <si>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</si>
  <si>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</si>
  <si>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</si>
  <si>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</si>
  <si>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</si>
  <si>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</si>
  <si>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</si>
  <si>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</si>
  <si>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</si>
  <si>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</si>
  <si>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</si>
  <si>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</si>
  <si>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</si>
  <si>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</si>
  <si>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</si>
  <si>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</si>
  <si>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</si>
  <si>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</si>
  <si>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</si>
  <si>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</si>
  <si>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</si>
  <si>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</si>
  <si>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</si>
  <si>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</si>
  <si>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</si>
  <si>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</si>
  <si>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</si>
  <si>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</si>
  <si>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</si>
  <si>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</si>
  <si>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</si>
  <si>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</si>
  <si>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</si>
  <si>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</si>
  <si>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</si>
  <si>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</si>
  <si>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</si>
  <si>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</si>
  <si>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</si>
  <si>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</si>
  <si>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</si>
  <si>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</si>
  <si>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</si>
  <si>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</si>
  <si>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</si>
  <si>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</si>
  <si>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</si>
  <si>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</si>
  <si>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</si>
  <si>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</si>
  <si>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</si>
  <si>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</si>
  <si>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</si>
  <si>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</si>
  <si>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</si>
  <si>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</si>
  <si>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</si>
  <si>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</si>
  <si>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</si>
  <si>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</si>
  <si>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</si>
  <si>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</si>
  <si>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</si>
  <si>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</si>
  <si>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</si>
  <si>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</si>
  <si>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</si>
  <si>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</si>
  <si>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</si>
  <si>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</si>
  <si>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</si>
  <si>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</si>
  <si>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</si>
  <si>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</si>
  <si>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</si>
  <si>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</si>
  <si>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</si>
  <si>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</si>
  <si>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</si>
  <si>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</si>
  <si>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</si>
  <si>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</si>
  <si>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</si>
  <si>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</si>
  <si>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</si>
  <si>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</si>
  <si>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</si>
  <si>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</si>
  <si>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</si>
  <si>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</si>
  <si>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</si>
  <si>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</si>
  <si>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</si>
  <si>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</si>
  <si>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</si>
  <si>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</si>
  <si>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</si>
  <si>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</si>
  <si>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</si>
  <si>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</si>
  <si>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</si>
  <si>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</si>
  <si>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</si>
  <si>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</si>
  <si>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</si>
  <si>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</si>
  <si>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</si>
  <si>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</si>
  <si>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</si>
  <si>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</si>
  <si>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</si>
  <si>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</si>
  <si>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</si>
  <si>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</si>
  <si>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</si>
  <si>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</si>
  <si>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</si>
  <si>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</si>
  <si>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</si>
  <si>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</si>
  <si>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</si>
  <si>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</si>
  <si>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</si>
  <si>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</si>
  <si>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</si>
  <si>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</si>
  <si>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</si>
  <si>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</si>
  <si>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</si>
  <si>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</si>
  <si>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</si>
  <si>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</si>
  <si>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</si>
  <si>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</si>
  <si>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</si>
  <si>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</si>
  <si>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</si>
  <si>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</si>
  <si>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</si>
  <si>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</si>
  <si>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</si>
  <si>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</si>
  <si>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</si>
  <si>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</si>
  <si>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</si>
  <si>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</si>
  <si>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</si>
  <si>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</si>
  <si>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</si>
  <si>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</si>
  <si>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</si>
  <si>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</si>
  <si>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</si>
  <si>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</si>
  <si>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</si>
  <si>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</si>
  <si>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</si>
  <si>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</si>
  <si>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</si>
  <si>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</si>
  <si>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</si>
  <si>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</si>
  <si>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</si>
  <si>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</si>
  <si>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</si>
  <si>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</si>
  <si>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</si>
  <si>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</si>
  <si>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</si>
  <si>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</si>
  <si>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</si>
  <si>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</si>
  <si>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</si>
  <si>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</si>
  <si>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</si>
  <si>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</si>
  <si>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</si>
  <si>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</si>
  <si>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</si>
  <si>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</si>
  <si>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</si>
  <si>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</si>
  <si>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</si>
  <si>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</si>
  <si>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</si>
  <si>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</si>
  <si>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</si>
  <si>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</si>
  <si>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</si>
  <si>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</si>
  <si>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</si>
  <si>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</si>
  <si>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</si>
  <si>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</si>
  <si>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</si>
  <si>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</si>
  <si>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</si>
  <si>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</si>
  <si>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</si>
  <si>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</si>
  <si>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</si>
  <si>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</si>
  <si>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</si>
  <si>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</si>
  <si>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</si>
  <si>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</si>
  <si>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</si>
  <si>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</si>
  <si>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</si>
  <si>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</si>
  <si>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</si>
  <si>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</si>
  <si>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</si>
  <si>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</si>
  <si>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</si>
  <si>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</si>
  <si>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</si>
  <si>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</si>
  <si>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</si>
  <si>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</si>
  <si>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</si>
  <si>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</si>
  <si>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</si>
  <si>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</si>
  <si>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</si>
  <si>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</si>
  <si>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</si>
  <si>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</si>
  <si>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</si>
  <si>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</si>
  <si>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</si>
  <si>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</si>
  <si>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</si>
  <si>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</si>
  <si>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</si>
  <si>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</si>
  <si>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</si>
  <si>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</si>
  <si>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</si>
  <si>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</si>
  <si>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</si>
  <si>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</si>
  <si>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</si>
  <si>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</si>
  <si>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</si>
  <si>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</si>
  <si>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</si>
  <si>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</si>
  <si>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</si>
  <si>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</si>
  <si>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</si>
  <si>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</si>
  <si>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</si>
  <si>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</si>
  <si>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</si>
  <si>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</si>
  <si>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</si>
  <si>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</si>
  <si>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</si>
  <si>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</si>
  <si>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</si>
  <si>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</si>
  <si>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</si>
  <si>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</si>
  <si>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</si>
  <si>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</si>
  <si>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</si>
  <si>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</si>
  <si>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</si>
  <si>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</si>
  <si>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</si>
  <si>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</si>
  <si>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</si>
  <si>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</si>
  <si>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</si>
  <si>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</si>
  <si>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</si>
  <si>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</si>
  <si>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</si>
  <si>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</si>
  <si>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</si>
  <si>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</si>
  <si>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</si>
  <si>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</si>
  <si>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</si>
  <si>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</si>
  <si>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</si>
  <si>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</si>
  <si>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</si>
  <si>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</si>
  <si>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</si>
  <si>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</si>
  <si>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</si>
  <si>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</si>
  <si>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</si>
  <si>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</si>
  <si>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</si>
  <si>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</si>
  <si>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</si>
  <si>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</si>
  <si>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</si>
  <si>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</si>
  <si>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</si>
  <si>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</si>
  <si>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</si>
  <si>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</si>
  <si>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</si>
  <si>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</si>
  <si>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</si>
  <si>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</si>
  <si>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</si>
  <si>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</si>
  <si>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</si>
  <si>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</si>
  <si>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</si>
  <si>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</si>
  <si>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</si>
  <si>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</si>
  <si>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</si>
  <si>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</si>
  <si>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</si>
  <si>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</si>
  <si>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</si>
  <si>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</si>
  <si>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</si>
  <si>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</si>
  <si>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</si>
  <si>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</si>
  <si>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</si>
  <si>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</si>
  <si>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</si>
  <si>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</si>
  <si>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</si>
  <si>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</si>
  <si>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</si>
  <si>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</si>
  <si>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</si>
  <si>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</si>
  <si>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</si>
  <si>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</si>
  <si>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</si>
  <si>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</si>
  <si>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</si>
  <si>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</si>
  <si>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</si>
  <si>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</si>
  <si>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</si>
  <si>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</si>
  <si>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</si>
  <si>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</si>
  <si>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</si>
  <si>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</si>
  <si>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</si>
  <si>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</si>
  <si>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</si>
  <si>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</si>
  <si>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</si>
  <si>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</si>
  <si>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</si>
  <si>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</si>
  <si>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</si>
  <si>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</si>
  <si>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</si>
  <si>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</si>
  <si>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</si>
  <si>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</si>
  <si>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</si>
  <si>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</si>
  <si>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</si>
  <si>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</si>
  <si>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</si>
  <si>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</si>
  <si>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</si>
  <si>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</si>
  <si>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</si>
  <si>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</si>
  <si>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</si>
  <si>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</si>
  <si>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</si>
  <si>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</si>
  <si>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</si>
  <si>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</si>
  <si>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</si>
  <si>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</si>
  <si>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</si>
  <si>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</si>
  <si>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</si>
  <si>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</si>
  <si>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</si>
  <si>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</si>
  <si>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</si>
  <si>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</si>
  <si>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</si>
  <si>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</si>
  <si>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</si>
  <si>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</si>
  <si>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</si>
  <si>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</si>
  <si>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</si>
  <si>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</si>
  <si>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</si>
  <si>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</si>
  <si>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</si>
  <si>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</si>
  <si>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</si>
  <si>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</si>
  <si>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</si>
  <si>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</si>
  <si>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</si>
  <si>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</si>
  <si>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</si>
  <si>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</si>
  <si>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</si>
  <si>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</si>
  <si>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</si>
  <si>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</si>
  <si>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</si>
  <si>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</si>
  <si>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</si>
  <si>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</si>
  <si>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</si>
  <si>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</si>
  <si>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</si>
  <si>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</si>
  <si>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</si>
  <si>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</si>
  <si>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</si>
  <si>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</si>
  <si>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</si>
  <si>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</si>
  <si>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</si>
  <si>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</si>
  <si>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</si>
  <si>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</si>
  <si>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</si>
  <si>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</si>
  <si>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</si>
  <si>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</si>
  <si>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</si>
  <si>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</si>
  <si>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</si>
  <si>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</si>
  <si>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</si>
  <si>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</si>
  <si>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</si>
  <si>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</si>
  <si>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</si>
  <si>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</si>
  <si>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</si>
  <si>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</si>
  <si>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</si>
  <si>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</si>
  <si>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</si>
  <si>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</si>
  <si>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</si>
  <si>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</si>
  <si>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</si>
  <si>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</si>
  <si>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</si>
  <si>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</si>
  <si>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</si>
  <si>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</si>
  <si>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</si>
  <si>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</si>
  <si>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</si>
  <si>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</si>
  <si>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</si>
  <si>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</si>
  <si>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</si>
  <si>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</si>
  <si>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</si>
  <si>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</si>
  <si>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</si>
  <si>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</si>
  <si>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</si>
  <si>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</si>
  <si>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</si>
  <si>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</si>
  <si>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</si>
  <si>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</si>
  <si>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</si>
  <si>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</si>
  <si>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</si>
  <si>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</si>
  <si>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</si>
  <si>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</si>
  <si>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</si>
  <si>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</si>
  <si>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</si>
  <si>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</si>
  <si>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</si>
  <si>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</si>
  <si>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</si>
  <si>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</si>
  <si>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</si>
  <si>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</si>
  <si>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</si>
  <si>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</si>
  <si>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</si>
  <si>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</si>
  <si>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</si>
  <si>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</si>
  <si>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</si>
  <si>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</si>
  <si>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</si>
  <si>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</si>
  <si>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</si>
  <si>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</si>
  <si>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</si>
  <si>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</si>
  <si>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</si>
  <si>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</si>
  <si>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</si>
  <si>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</si>
  <si>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</si>
  <si>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</si>
  <si>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</si>
  <si>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</si>
  <si>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</si>
  <si>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</si>
  <si>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</si>
  <si>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</si>
  <si>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</si>
  <si>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</si>
  <si>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</si>
  <si>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</si>
  <si>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</si>
  <si>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</si>
  <si>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</si>
  <si>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</si>
  <si>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</si>
  <si>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</si>
  <si>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</si>
  <si>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</si>
  <si>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</si>
  <si>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</si>
  <si>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</si>
  <si>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</si>
  <si>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</si>
  <si>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</si>
  <si>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</si>
  <si>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</si>
  <si>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</si>
  <si>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</si>
  <si>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</si>
  <si>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</si>
  <si>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</si>
  <si>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</si>
  <si>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</si>
  <si>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</si>
  <si>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</si>
  <si>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</si>
  <si>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</si>
  <si>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</si>
  <si>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</si>
  <si>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</si>
  <si>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</si>
  <si>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</si>
  <si>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</si>
  <si>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</si>
  <si>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</si>
  <si>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</si>
  <si>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</si>
  <si>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</si>
  <si>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</si>
  <si>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</si>
  <si>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</si>
  <si>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</si>
  <si>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</si>
  <si>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</si>
  <si>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</si>
  <si>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</si>
  <si>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</si>
  <si>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</si>
  <si>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</si>
  <si>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</si>
  <si>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</si>
  <si>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</si>
  <si>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</si>
  <si>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</si>
  <si>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</si>
  <si>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</si>
  <si>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</si>
  <si>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</si>
  <si>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</si>
  <si>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</si>
  <si>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</si>
  <si>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</si>
  <si>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</si>
  <si>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</si>
  <si>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</si>
  <si>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</si>
  <si>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</si>
  <si>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</si>
  <si>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</si>
  <si>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</si>
  <si>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</si>
  <si>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</si>
  <si>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</si>
  <si>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</si>
  <si>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</si>
  <si>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</si>
  <si>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</si>
  <si>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</si>
  <si>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</si>
  <si>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</si>
  <si>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</si>
  <si>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</si>
  <si>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</si>
  <si>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</si>
  <si>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</si>
  <si>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</si>
  <si>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</si>
  <si>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</si>
  <si>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</si>
  <si>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</si>
  <si>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</si>
  <si>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</si>
  <si>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</si>
  <si>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</si>
  <si>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</si>
  <si>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</si>
  <si>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</si>
  <si>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</si>
  <si>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</si>
  <si>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</si>
  <si>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</si>
  <si>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</si>
  <si>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</si>
  <si>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</si>
  <si>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</si>
  <si>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</si>
  <si>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</si>
  <si>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</si>
  <si>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</si>
  <si>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</si>
  <si>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</si>
  <si>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</si>
  <si>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</si>
  <si>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</si>
  <si>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</si>
  <si>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</si>
  <si>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</si>
  <si>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</si>
  <si>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</si>
  <si>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</si>
  <si>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</si>
  <si>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</si>
  <si>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</si>
  <si>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</si>
  <si>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</si>
  <si>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</si>
  <si>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</si>
  <si>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</si>
  <si>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</si>
  <si>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</si>
  <si>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</si>
  <si>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</si>
  <si>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</si>
  <si>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</si>
  <si>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</si>
  <si>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</si>
  <si>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</si>
  <si>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</si>
  <si>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</si>
  <si>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</si>
  <si>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</si>
  <si>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</si>
  <si>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</si>
  <si>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</si>
  <si>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</si>
  <si>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</si>
  <si>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</si>
  <si>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</si>
  <si>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</si>
  <si>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</si>
  <si>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</si>
  <si>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</si>
  <si>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</si>
  <si>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</si>
  <si>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</si>
  <si>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</si>
  <si>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</si>
  <si>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</si>
  <si>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</si>
  <si>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</si>
  <si>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</si>
  <si>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</si>
  <si>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</si>
  <si>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</si>
  <si>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</si>
  <si>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</si>
  <si>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</si>
  <si>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</si>
  <si>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</si>
  <si>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</si>
  <si>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</si>
  <si>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</si>
  <si>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</si>
  <si>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</si>
  <si>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</si>
  <si>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</si>
  <si>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</si>
  <si>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</si>
  <si>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</si>
  <si>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</si>
  <si>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</si>
  <si>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</si>
  <si>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</si>
  <si>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</si>
  <si>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</si>
  <si>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</si>
  <si>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</si>
  <si>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</si>
  <si>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</si>
  <si>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</si>
  <si>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</si>
  <si>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</si>
  <si>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</si>
  <si>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</si>
  <si>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</si>
  <si>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</si>
  <si>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</si>
  <si>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</si>
  <si>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</si>
  <si>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</si>
  <si>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</si>
  <si>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</si>
  <si>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</si>
  <si>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</si>
  <si>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</si>
  <si>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</si>
  <si>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</si>
  <si>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</si>
  <si>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</si>
  <si>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</si>
  <si>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</si>
  <si>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</si>
  <si>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</si>
  <si>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</si>
  <si>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</si>
  <si>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</si>
  <si>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</si>
  <si>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</si>
  <si>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</si>
  <si>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</si>
  <si>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</si>
  <si>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</si>
  <si>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</si>
  <si>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</si>
  <si>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</si>
  <si>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</si>
  <si>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</si>
  <si>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</si>
  <si>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</si>
  <si>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</si>
  <si>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</si>
  <si>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</si>
  <si>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</si>
  <si>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</si>
  <si>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</si>
  <si>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</si>
  <si>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</si>
  <si>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</si>
  <si>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</si>
  <si>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</si>
  <si>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</si>
  <si>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</si>
  <si>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</si>
  <si>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</si>
  <si>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</si>
  <si>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</si>
  <si>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</si>
  <si>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</si>
  <si>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</si>
  <si>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</si>
  <si>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</si>
  <si>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</si>
  <si>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</si>
  <si>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</si>
  <si>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</si>
  <si>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</si>
  <si>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</si>
  <si>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</si>
  <si>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</si>
  <si>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</si>
  <si>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</si>
  <si>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</si>
  <si>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</si>
  <si>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</si>
  <si>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</si>
  <si>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</si>
  <si>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</si>
  <si>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</si>
  <si>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</si>
  <si>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</si>
  <si>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</si>
  <si>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</si>
  <si>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</si>
  <si>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</si>
  <si>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</si>
  <si>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</si>
  <si>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</si>
  <si>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</si>
  <si>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</si>
  <si>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</si>
  <si>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</si>
  <si>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</si>
  <si>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</si>
  <si>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</si>
  <si>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</si>
  <si>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</si>
  <si>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</si>
  <si>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</si>
  <si>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</si>
  <si>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</si>
  <si>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</si>
  <si>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</si>
  <si>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</si>
  <si>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</si>
  <si>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</si>
  <si>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</si>
  <si>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</si>
  <si>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</si>
  <si>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</si>
  <si>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</si>
  <si>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</si>
  <si>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</si>
  <si>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</si>
  <si>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</si>
  <si>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</si>
  <si>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</si>
  <si>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</si>
  <si>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</si>
  <si>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</si>
  <si>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</si>
  <si>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</si>
  <si>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</si>
  <si>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</si>
  <si>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</si>
  <si>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</si>
  <si>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</si>
  <si>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</si>
  <si>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</si>
  <si>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</si>
  <si>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</si>
  <si>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</si>
  <si>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</si>
  <si>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</si>
  <si>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</si>
  <si>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</si>
  <si>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</si>
  <si>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</si>
  <si>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</si>
  <si>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</si>
  <si>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</si>
  <si>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</si>
  <si>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</si>
  <si>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</si>
  <si>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</si>
  <si>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</si>
  <si>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</si>
  <si>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</si>
  <si>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</si>
  <si>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</si>
  <si>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</si>
  <si>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</si>
  <si>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</si>
  <si>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</si>
  <si>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</si>
  <si>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</si>
  <si>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</si>
  <si>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</si>
  <si>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</si>
  <si>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</si>
  <si>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</si>
  <si>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</si>
  <si>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</si>
  <si>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</si>
  <si>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</si>
  <si>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</si>
  <si>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</si>
  <si>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</si>
  <si>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</si>
  <si>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</si>
  <si>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</si>
  <si>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</si>
  <si>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</si>
  <si>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</si>
  <si>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</si>
  <si>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</si>
  <si>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</si>
  <si>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</si>
  <si>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</si>
  <si>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</si>
  <si>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</si>
  <si>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</si>
  <si>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</si>
  <si>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</si>
  <si>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</si>
  <si>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</si>
  <si>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</si>
  <si>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</si>
  <si>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</si>
  <si>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</si>
  <si>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</si>
  <si>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</si>
  <si>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</si>
  <si>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</si>
  <si>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</si>
  <si>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</si>
  <si>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</si>
  <si>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</si>
  <si>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</si>
  <si>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</si>
  <si>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</si>
  <si>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</si>
  <si>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</si>
  <si>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</si>
  <si>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</si>
  <si>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</si>
  <si>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</si>
  <si>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</si>
  <si>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</si>
  <si>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</si>
  <si>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</si>
  <si>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</si>
  <si>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</si>
  <si>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</si>
  <si>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</si>
  <si>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</si>
  <si>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</si>
  <si>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</si>
  <si>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</si>
  <si>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</si>
  <si>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</si>
  <si>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</si>
  <si>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</si>
  <si>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</si>
  <si>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</si>
  <si>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</si>
  <si>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</si>
  <si>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</si>
  <si>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</si>
  <si>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</si>
  <si>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</si>
  <si>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</si>
  <si>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</si>
  <si>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</si>
  <si>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</si>
  <si>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</si>
  <si>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</si>
  <si>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</si>
  <si>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</si>
  <si>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</si>
  <si>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</si>
  <si>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</si>
  <si>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</si>
  <si>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</si>
  <si>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</si>
  <si>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</si>
  <si>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</si>
  <si>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</si>
  <si>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</si>
  <si>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</si>
  <si>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</si>
  <si>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</si>
  <si>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</si>
  <si>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</si>
  <si>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</si>
  <si>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</si>
  <si>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</si>
  <si>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</si>
  <si>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</si>
  <si>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</si>
  <si>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</si>
  <si>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</si>
  <si>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</si>
  <si>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</si>
  <si>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</si>
  <si>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</si>
  <si>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</si>
  <si>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</si>
  <si>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</si>
  <si>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</si>
  <si>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</si>
  <si>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</si>
  <si>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</si>
  <si>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</si>
  <si>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</si>
  <si>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</si>
  <si>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</si>
  <si>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</si>
  <si>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</si>
  <si>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</si>
  <si>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</si>
  <si>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</si>
  <si>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</si>
  <si>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</si>
  <si>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</si>
  <si>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</si>
  <si>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</si>
  <si>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</si>
  <si>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</si>
  <si>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</si>
  <si>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</si>
  <si>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</si>
  <si>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</si>
  <si>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</si>
  <si>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</si>
  <si>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</si>
  <si>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</si>
  <si>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</si>
  <si>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</si>
  <si>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</si>
  <si>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</si>
  <si>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</si>
  <si>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</si>
  <si>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</si>
  <si>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</si>
  <si>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</si>
  <si>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</si>
  <si>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</si>
  <si>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</si>
  <si>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</si>
  <si>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</si>
  <si>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</si>
  <si>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</si>
  <si>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</si>
  <si>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</si>
  <si>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</si>
  <si>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</si>
  <si>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</si>
  <si>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</si>
  <si>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</si>
  <si>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</si>
  <si>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</si>
  <si>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</si>
  <si>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</si>
  <si>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</si>
  <si>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</si>
  <si>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</si>
  <si>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</si>
  <si>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</si>
  <si>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</si>
  <si>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</si>
  <si>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</si>
  <si>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</si>
  <si>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</si>
  <si>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</si>
  <si>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</si>
  <si>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</si>
  <si>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</si>
  <si>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</si>
  <si>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</si>
  <si>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</si>
  <si>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</si>
  <si>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</si>
  <si>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</si>
  <si>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</si>
  <si>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</si>
  <si>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</si>
  <si>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</si>
  <si>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</si>
  <si>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</si>
  <si>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</si>
  <si>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</si>
  <si>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</si>
  <si>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</si>
  <si>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</si>
  <si>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</si>
  <si>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</si>
  <si>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</si>
  <si>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</si>
  <si>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</si>
  <si>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</si>
  <si>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</si>
  <si>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</si>
  <si>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</si>
  <si>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</si>
  <si>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</si>
  <si>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</si>
  <si>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</si>
  <si>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</si>
  <si>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</si>
  <si>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</si>
  <si>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</si>
  <si>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</si>
  <si>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</si>
  <si>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</si>
  <si>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</si>
  <si>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</si>
  <si>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</si>
  <si>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</si>
  <si>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</si>
  <si>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</si>
  <si>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</si>
  <si>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</si>
  <si>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</si>
  <si>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</si>
  <si>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</si>
  <si>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</si>
  <si>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</si>
  <si>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</si>
  <si>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</si>
  <si>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</si>
  <si>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</si>
  <si>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</si>
  <si>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</si>
  <si>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</si>
  <si>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</si>
  <si>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</si>
  <si>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</si>
  <si>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</si>
  <si>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</si>
  <si>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</si>
  <si>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</si>
  <si>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</si>
  <si>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</si>
  <si>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</si>
  <si>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</si>
  <si>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</si>
  <si>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</si>
  <si>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</si>
  <si>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</si>
  <si>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</si>
  <si>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</si>
  <si>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</si>
  <si>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</si>
  <si>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</si>
  <si>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</si>
  <si>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</si>
  <si>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</si>
  <si>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</si>
  <si>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</si>
  <si>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</si>
  <si>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</si>
  <si>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</si>
  <si>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</si>
  <si>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</si>
  <si>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</si>
  <si>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</si>
  <si>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</si>
  <si>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</si>
  <si>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</si>
  <si>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</si>
  <si>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</si>
  <si>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</si>
  <si>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</si>
  <si>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</si>
  <si>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</si>
  <si>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</si>
  <si>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</si>
  <si>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</si>
  <si>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</si>
  <si>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</si>
  <si>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</si>
  <si>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</si>
  <si>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</si>
  <si>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</si>
  <si>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</si>
  <si>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</si>
  <si>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</si>
  <si>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</si>
  <si>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</si>
  <si>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</si>
  <si>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</si>
  <si>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</si>
  <si>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</si>
  <si>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</si>
  <si>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</si>
  <si>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</si>
  <si>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</si>
  <si>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</si>
  <si>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</si>
  <si>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</si>
  <si>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</si>
  <si>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</si>
  <si>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</si>
  <si>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</si>
  <si>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</si>
  <si>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</si>
  <si>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</si>
  <si>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</si>
  <si>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</si>
  <si>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</si>
  <si>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</si>
  <si>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</si>
  <si>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</si>
  <si>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</si>
  <si>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</si>
  <si>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</si>
  <si>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</si>
  <si>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</si>
  <si>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</si>
  <si>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</si>
  <si>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</si>
  <si>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</si>
  <si>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</si>
  <si>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</si>
  <si>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</si>
  <si>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</si>
  <si>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</si>
  <si>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</si>
  <si>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</si>
  <si>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</si>
  <si>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</si>
  <si>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</si>
  <si>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</si>
  <si>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</si>
  <si>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</si>
  <si>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</si>
  <si>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</si>
  <si>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</si>
  <si>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</si>
  <si>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</si>
  <si>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</si>
  <si>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</si>
  <si>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</si>
  <si>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</si>
  <si>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</si>
  <si>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</si>
  <si>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</si>
  <si>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</si>
  <si>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</si>
  <si>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</si>
  <si>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</si>
  <si>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</si>
  <si>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</si>
  <si>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</si>
  <si>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PWI03</t>
  </si>
  <si>
    <t>-7.081780, 110.916304</t>
  </si>
  <si>
    <t>SR APP PRA 11KVA</t>
  </si>
  <si>
    <t>APP 1P</t>
  </si>
  <si>
    <t>PD MOENIR ZUHRI 2X900 - 2X11KVA</t>
  </si>
  <si>
    <t>Daya 11.000 VA</t>
  </si>
  <si>
    <t>PD MOENIR ZUHRI</t>
  </si>
  <si>
    <t>KAUMAN</t>
  </si>
  <si>
    <t>R1T</t>
  </si>
  <si>
    <t>K2-625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</si>
</sst>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25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8" fillId="0" borderId="21" xfId="1652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3" fillId="0" borderId="20" xfId="1652" applyFont="1" applyBorder="1" applyAlignment="1">
      <alignment horizontal="center" vertical="center"/>
    </xf>
    <xf numFmtId="0" fontId="43" fillId="0" borderId="21" xfId="1652" applyFont="1" applyBorder="1" applyAlignment="1">
      <alignment vertical="center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quotePrefix="1" applyFont="1" applyFill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34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0" xfId="2677" applyFont="1" applyFill="1" applyAlignment="1">
      <alignment horizont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9" xfId="2677" applyFont="1" applyFill="1" applyBorder="1" applyAlignment="1">
      <alignment horizontal="left" vertical="center"/>
    </xf>
    <xf numFmtId="0" fontId="114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91" fillId="33" borderId="98" xfId="2677" applyFont="1" applyFill="1" applyBorder="1" applyAlignment="1">
      <alignment horizontal="center" vertical="center"/>
    </xf>
    <xf numFmtId="0" fontId="172" fillId="33" borderId="101" xfId="2677" applyFont="1" applyFill="1" applyBorder="1" applyAlignment="1">
      <alignment horizontal="left" vertical="center"/>
    </xf>
    <xf numFmtId="0" fontId="172" fillId="33" borderId="100" xfId="2677" applyFont="1" applyFill="1" applyBorder="1" applyAlignment="1">
      <alignment horizontal="left" vertical="center"/>
    </xf>
    <xf numFmtId="0" fontId="172" fillId="33" borderId="9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5" xfId="2677" applyFont="1" applyFill="1" applyBorder="1" applyAlignment="1">
      <alignment horizontal="center" vertical="top" wrapText="1"/>
    </xf>
    <xf numFmtId="0" fontId="118" fillId="33" borderId="94" xfId="2677" applyFont="1" applyFill="1" applyBorder="1" applyAlignment="1">
      <alignment horizontal="center" vertical="top" wrapText="1"/>
    </xf>
    <xf numFmtId="0" fontId="114" fillId="33" borderId="42" xfId="2677" applyFont="1" applyFill="1" applyBorder="1" applyAlignment="1">
      <alignment horizontal="center"/>
    </xf>
    <xf numFmtId="0" fontId="118" fillId="33" borderId="28" xfId="2677" applyFont="1" applyFill="1" applyBorder="1" applyAlignment="1">
      <alignment horizontal="center"/>
    </xf>
    <xf numFmtId="0" fontId="118" fillId="33" borderId="0" xfId="2677" applyFont="1" applyFill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 vertical="center"/>
    </xf>
    <xf numFmtId="0" fontId="118" fillId="33" borderId="0" xfId="2677" applyFont="1" applyFill="1" applyAlignment="1">
      <alignment horizontal="center" vertical="center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4" fillId="0" borderId="21" xfId="1652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29" fillId="35" borderId="55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8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9" fillId="35" borderId="45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49" fontId="91" fillId="33" borderId="102" xfId="2677" applyNumberFormat="1" applyFont="1" applyFill="1" applyBorder="1" applyAlignment="1">
      <alignment horizontal="left" vertical="center"/>
    </xf>
    <xf numFmtId="49" fontId="91" fillId="33" borderId="40" xfId="2677" applyNumberFormat="1" applyFont="1" applyFill="1" applyBorder="1" applyAlignment="1">
      <alignment horizontal="left" vertical="center"/>
    </xf>
    <xf numFmtId="49" fontId="173" fillId="33" borderId="102" xfId="2677" applyNumberFormat="1" applyFont="1" applyFill="1" applyBorder="1" applyAlignment="1">
      <alignment horizontal="left" vertical="center"/>
    </xf>
    <xf numFmtId="49" fontId="173" fillId="33" borderId="40" xfId="2677" applyNumberFormat="1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0" fontId="173" fillId="33" borderId="59" xfId="2677" applyFont="1" applyFill="1" applyBorder="1" applyAlignment="1">
      <alignment horizontal="left" vertical="center"/>
    </xf>
    <xf numFmtId="0" fontId="173" fillId="33" borderId="60" xfId="2677" applyFont="1" applyFill="1" applyBorder="1" applyAlignment="1">
      <alignment horizontal="left" vertic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0" fillId="33" borderId="50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vertical="center"/>
    </xf>
    <xf numFmtId="49" fontId="114" fillId="33" borderId="41" xfId="2677" applyNumberFormat="1" applyFont="1" applyFill="1" applyBorder="1" applyAlignment="1">
      <alignment vertical="center"/>
    </xf>
    <xf numFmtId="49" fontId="114" fillId="33" borderId="50" xfId="2677" applyNumberFormat="1" applyFont="1" applyFill="1" applyBorder="1" applyAlignment="1">
      <alignment vertical="top" wrapText="1"/>
    </xf>
    <xf numFmtId="49" fontId="114" fillId="33" borderId="41" xfId="2677" applyNumberFormat="1" applyFont="1" applyFill="1" applyBorder="1" applyAlignment="1">
      <alignment vertical="top" wrapText="1"/>
    </xf>
    <xf numFmtId="0" fontId="114" fillId="33" borderId="7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0" fontId="114" fillId="33" borderId="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vertical="top" wrapText="1"/>
    </xf>
    <xf numFmtId="0" fontId="118" fillId="33" borderId="97" xfId="2677" applyFont="1" applyFill="1" applyBorder="1" applyAlignment="1">
      <alignment horizontal="center" vertical="center" wrapText="1"/>
    </xf>
    <xf numFmtId="0" fontId="118" fillId="33" borderId="96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5" fillId="33" borderId="56" xfId="2677" applyFont="1" applyFill="1" applyBorder="1" applyAlignment="1">
      <alignment horizontal="left" vertical="top" wrapText="1"/>
    </xf>
    <xf numFmtId="0" fontId="115" fillId="33" borderId="57" xfId="2677" applyFont="1" applyFill="1" applyBorder="1" applyAlignment="1">
      <alignment horizontal="left" vertical="top" wrapText="1"/>
    </xf>
    <xf numFmtId="0" fontId="115" fillId="33" borderId="43" xfId="2677" applyFont="1" applyFill="1" applyBorder="1" applyAlignment="1">
      <alignment horizontal="left" vertical="top" wrapText="1"/>
    </xf>
    <xf numFmtId="0" fontId="115" fillId="33" borderId="44" xfId="2677" applyFont="1" applyFill="1" applyBorder="1" applyAlignment="1">
      <alignment horizontal="left" vertical="top" wrapText="1"/>
    </xf>
    <xf numFmtId="0" fontId="115" fillId="33" borderId="45" xfId="2677" applyFont="1" applyFill="1" applyBorder="1" applyAlignment="1">
      <alignment horizontal="left" vertical="top" wrapText="1"/>
    </xf>
    <xf numFmtId="0" fontId="114" fillId="33" borderId="50" xfId="2677" applyFont="1" applyFill="1" applyBorder="1" applyAlignment="1">
      <alignment horizontal="center"/>
    </xf>
    <xf numFmtId="0" fontId="114" fillId="33" borderId="87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9" fillId="33" borderId="0" xfId="2677" applyFont="1" applyFill="1" applyAlignment="1">
      <alignment horizontal="center" vertical="center" wrapText="1"/>
    </xf>
    <xf numFmtId="0" fontId="119" fillId="33" borderId="37" xfId="2677" applyFont="1" applyFill="1" applyBorder="1" applyAlignment="1">
      <alignment horizontal="center" vertical="center" wrapText="1"/>
    </xf>
    <xf numFmtId="0" fontId="119" fillId="33" borderId="44" xfId="2677" applyFont="1" applyFill="1" applyBorder="1" applyAlignment="1">
      <alignment horizontal="center" vertical="center" wrapText="1"/>
    </xf>
    <xf numFmtId="0" fontId="119" fillId="33" borderId="45" xfId="2677" applyFont="1" applyFill="1" applyBorder="1" applyAlignment="1">
      <alignment horizontal="center" vertical="center" wrapText="1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0.1466666666666667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0.75558984429384701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306641</xdr:colOff>
      <xdr:row>5</xdr:row>
      <xdr:rowOff>38101</xdr:rowOff>
    </xdr:from>
    <xdr:to>
      <xdr:col>11</xdr:col>
      <xdr:colOff>120424</xdr:colOff>
      <xdr:row>35</xdr:row>
      <xdr:rowOff>4055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 rot="5400000">
          <a:off x="1487856" y="2990736"/>
          <a:ext cx="4537954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264631</xdr:colOff>
      <xdr:row>19</xdr:row>
      <xdr:rowOff>12424</xdr:rowOff>
    </xdr:from>
    <xdr:to>
      <xdr:col>10</xdr:col>
      <xdr:colOff>28183</xdr:colOff>
      <xdr:row>20</xdr:row>
      <xdr:rowOff>1817</xdr:rowOff>
    </xdr:to>
    <xdr:grpSp>
      <xdr:nvGrpSpPr>
        <xdr:cNvPr id="182" name="Group 13">
          <a:extLst>
            <a:ext uri="{FF2B5EF4-FFF2-40B4-BE49-F238E27FC236}">
              <a16:creationId xmlns:a16="http://schemas.microsoft.com/office/drawing/2014/main" id="{ADCBFF56-9E95-40AE-B719-9191380E7412}"/>
            </a:ext>
          </a:extLst>
        </xdr:cNvPr>
        <xdr:cNvGrpSpPr/>
      </xdr:nvGrpSpPr>
      <xdr:grpSpPr>
        <a:xfrm>
          <a:off x="3236431" y="2936599"/>
          <a:ext cx="144552" cy="141793"/>
          <a:chOff x="9937028" y="802652"/>
          <a:chExt cx="83991" cy="77961"/>
        </a:xfrm>
      </xdr:grpSpPr>
      <xdr:sp macro="" textlink="">
        <xdr:nvSpPr>
          <xdr:cNvPr id="183" name="Oval 1">
            <a:extLst>
              <a:ext uri="{FF2B5EF4-FFF2-40B4-BE49-F238E27FC236}">
                <a16:creationId xmlns:a16="http://schemas.microsoft.com/office/drawing/2014/main" id="{E7D8FD80-4AB2-1D2B-ECBA-D01242835D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3">
            <a:extLst>
              <a:ext uri="{FF2B5EF4-FFF2-40B4-BE49-F238E27FC236}">
                <a16:creationId xmlns:a16="http://schemas.microsoft.com/office/drawing/2014/main" id="{ED1605B0-7E8E-AB79-DFF2-CE2101C9BB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7">
            <a:extLst>
              <a:ext uri="{FF2B5EF4-FFF2-40B4-BE49-F238E27FC236}">
                <a16:creationId xmlns:a16="http://schemas.microsoft.com/office/drawing/2014/main" id="{44D03887-2F4E-215A-C8BD-2BB73B5B3C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28161</xdr:colOff>
      <xdr:row>16</xdr:row>
      <xdr:rowOff>113057</xdr:rowOff>
    </xdr:from>
    <xdr:to>
      <xdr:col>10</xdr:col>
      <xdr:colOff>170230</xdr:colOff>
      <xdr:row>17</xdr:row>
      <xdr:rowOff>45848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3380961" y="258003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285750</xdr:colOff>
      <xdr:row>10</xdr:row>
      <xdr:rowOff>133350</xdr:rowOff>
    </xdr:from>
    <xdr:to>
      <xdr:col>10</xdr:col>
      <xdr:colOff>49302</xdr:colOff>
      <xdr:row>11</xdr:row>
      <xdr:rowOff>126470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3257550" y="1676400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257175</xdr:colOff>
      <xdr:row>25</xdr:row>
      <xdr:rowOff>19050</xdr:rowOff>
    </xdr:from>
    <xdr:to>
      <xdr:col>10</xdr:col>
      <xdr:colOff>20727</xdr:colOff>
      <xdr:row>26</xdr:row>
      <xdr:rowOff>12170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3228975" y="3857625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257175</xdr:colOff>
      <xdr:row>10</xdr:row>
      <xdr:rowOff>66675</xdr:rowOff>
    </xdr:from>
    <xdr:to>
      <xdr:col>18</xdr:col>
      <xdr:colOff>257175</xdr:colOff>
      <xdr:row>13</xdr:row>
      <xdr:rowOff>66675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5514975" y="1609725"/>
          <a:ext cx="1143000" cy="4667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RABAYAR 2X11KVA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57150</xdr:colOff>
      <xdr:row>16</xdr:row>
      <xdr:rowOff>85725</xdr:rowOff>
    </xdr:from>
    <xdr:to>
      <xdr:col>9</xdr:col>
      <xdr:colOff>307203</xdr:colOff>
      <xdr:row>17</xdr:row>
      <xdr:rowOff>18516</xdr:rowOff>
    </xdr:to>
    <xdr:grpSp>
      <xdr:nvGrpSpPr>
        <xdr:cNvPr id="196" name="Group 134">
          <a:extLst>
            <a:ext uri="{FF2B5EF4-FFF2-40B4-BE49-F238E27FC236}">
              <a16:creationId xmlns:a16="http://schemas.microsoft.com/office/drawing/2014/main" id="{DFF851DA-AE10-433E-901B-E3F8ECFC39E7}"/>
            </a:ext>
          </a:extLst>
        </xdr:cNvPr>
        <xdr:cNvGrpSpPr/>
      </xdr:nvGrpSpPr>
      <xdr:grpSpPr>
        <a:xfrm>
          <a:off x="3028950" y="255270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8" name="Isosceles Triangle 118">
            <a:extLst>
              <a:ext uri="{FF2B5EF4-FFF2-40B4-BE49-F238E27FC236}">
                <a16:creationId xmlns:a16="http://schemas.microsoft.com/office/drawing/2014/main" id="{73DC9386-D6FE-501D-4D23-20FE7EB4A79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9" name="Isosceles Triangle 119">
            <a:extLst>
              <a:ext uri="{FF2B5EF4-FFF2-40B4-BE49-F238E27FC236}">
                <a16:creationId xmlns:a16="http://schemas.microsoft.com/office/drawing/2014/main" id="{F3494010-0E85-72D4-CAA4-6AB60381AC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4" name="Isosceles Triangle 120">
            <a:extLst>
              <a:ext uri="{FF2B5EF4-FFF2-40B4-BE49-F238E27FC236}">
                <a16:creationId xmlns:a16="http://schemas.microsoft.com/office/drawing/2014/main" id="{EEFD4A53-FD5F-95B8-CAB4-776D38EE594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276225</xdr:colOff>
      <xdr:row>17</xdr:row>
      <xdr:rowOff>38100</xdr:rowOff>
    </xdr:from>
    <xdr:to>
      <xdr:col>10</xdr:col>
      <xdr:colOff>39777</xdr:colOff>
      <xdr:row>18</xdr:row>
      <xdr:rowOff>31220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BB1E0D90-7019-46F2-9325-9E3CB409EA8F}"/>
            </a:ext>
          </a:extLst>
        </xdr:cNvPr>
        <xdr:cNvGrpSpPr/>
      </xdr:nvGrpSpPr>
      <xdr:grpSpPr>
        <a:xfrm>
          <a:off x="3248025" y="2657475"/>
          <a:ext cx="144552" cy="145520"/>
          <a:chOff x="9937028" y="802652"/>
          <a:chExt cx="83991" cy="77961"/>
        </a:xfrm>
      </xdr:grpSpPr>
      <xdr:sp macro="" textlink="">
        <xdr:nvSpPr>
          <xdr:cNvPr id="3" name="Oval 1">
            <a:extLst>
              <a:ext uri="{FF2B5EF4-FFF2-40B4-BE49-F238E27FC236}">
                <a16:creationId xmlns:a16="http://schemas.microsoft.com/office/drawing/2014/main" id="{7469561C-8EEC-D33C-A59B-8A41A78F219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6" name="Straight Connector 3">
            <a:extLst>
              <a:ext uri="{FF2B5EF4-FFF2-40B4-BE49-F238E27FC236}">
                <a16:creationId xmlns:a16="http://schemas.microsoft.com/office/drawing/2014/main" id="{B62B237D-259C-17D4-9D1C-020E4B180B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7">
            <a:extLst>
              <a:ext uri="{FF2B5EF4-FFF2-40B4-BE49-F238E27FC236}">
                <a16:creationId xmlns:a16="http://schemas.microsoft.com/office/drawing/2014/main" id="{8D2B875C-E8C0-4C44-B91D-94C97FCBCAB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238125</xdr:colOff>
      <xdr:row>17</xdr:row>
      <xdr:rowOff>38100</xdr:rowOff>
    </xdr:from>
    <xdr:to>
      <xdr:col>12</xdr:col>
      <xdr:colOff>1677</xdr:colOff>
      <xdr:row>18</xdr:row>
      <xdr:rowOff>31220</xdr:rowOff>
    </xdr:to>
    <xdr:grpSp>
      <xdr:nvGrpSpPr>
        <xdr:cNvPr id="194" name="Group 13">
          <a:extLst>
            <a:ext uri="{FF2B5EF4-FFF2-40B4-BE49-F238E27FC236}">
              <a16:creationId xmlns:a16="http://schemas.microsoft.com/office/drawing/2014/main" id="{3A8B81CE-C45D-43EF-B8E5-AA45C19A225E}"/>
            </a:ext>
          </a:extLst>
        </xdr:cNvPr>
        <xdr:cNvGrpSpPr/>
      </xdr:nvGrpSpPr>
      <xdr:grpSpPr>
        <a:xfrm>
          <a:off x="3971925" y="2657475"/>
          <a:ext cx="144552" cy="145520"/>
          <a:chOff x="9937028" y="802652"/>
          <a:chExt cx="83991" cy="77961"/>
        </a:xfrm>
      </xdr:grpSpPr>
      <xdr:sp macro="" textlink="">
        <xdr:nvSpPr>
          <xdr:cNvPr id="195" name="Oval 1">
            <a:extLst>
              <a:ext uri="{FF2B5EF4-FFF2-40B4-BE49-F238E27FC236}">
                <a16:creationId xmlns:a16="http://schemas.microsoft.com/office/drawing/2014/main" id="{725C6611-E8BA-141F-0BAB-12B6AE22657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3">
            <a:extLst>
              <a:ext uri="{FF2B5EF4-FFF2-40B4-BE49-F238E27FC236}">
                <a16:creationId xmlns:a16="http://schemas.microsoft.com/office/drawing/2014/main" id="{0AB12BDB-1778-B1BB-13F1-6754B323BDB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7">
            <a:extLst>
              <a:ext uri="{FF2B5EF4-FFF2-40B4-BE49-F238E27FC236}">
                <a16:creationId xmlns:a16="http://schemas.microsoft.com/office/drawing/2014/main" id="{CD6F3E0C-6623-1E7C-3794-CAA2DA85C51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180975</xdr:colOff>
      <xdr:row>17</xdr:row>
      <xdr:rowOff>57150</xdr:rowOff>
    </xdr:from>
    <xdr:to>
      <xdr:col>13</xdr:col>
      <xdr:colOff>325527</xdr:colOff>
      <xdr:row>18</xdr:row>
      <xdr:rowOff>50270</xdr:rowOff>
    </xdr:to>
    <xdr:grpSp>
      <xdr:nvGrpSpPr>
        <xdr:cNvPr id="202" name="Group 13">
          <a:extLst>
            <a:ext uri="{FF2B5EF4-FFF2-40B4-BE49-F238E27FC236}">
              <a16:creationId xmlns:a16="http://schemas.microsoft.com/office/drawing/2014/main" id="{A7BF1CA6-B1F7-45F8-BFB7-521D40DC5FEA}"/>
            </a:ext>
          </a:extLst>
        </xdr:cNvPr>
        <xdr:cNvGrpSpPr/>
      </xdr:nvGrpSpPr>
      <xdr:grpSpPr>
        <a:xfrm>
          <a:off x="4676775" y="2676525"/>
          <a:ext cx="144552" cy="145520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19E86AE4-C4F6-2D8D-1910-8C8D52E6E18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3">
            <a:extLst>
              <a:ext uri="{FF2B5EF4-FFF2-40B4-BE49-F238E27FC236}">
                <a16:creationId xmlns:a16="http://schemas.microsoft.com/office/drawing/2014/main" id="{D248230F-1A3E-8D22-C489-98C589E1B14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7">
            <a:extLst>
              <a:ext uri="{FF2B5EF4-FFF2-40B4-BE49-F238E27FC236}">
                <a16:creationId xmlns:a16="http://schemas.microsoft.com/office/drawing/2014/main" id="{EB3D9A7F-D41B-B6B7-D6DD-C923F1992AE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133465</xdr:colOff>
      <xdr:row>14</xdr:row>
      <xdr:rowOff>123710</xdr:rowOff>
    </xdr:from>
    <xdr:to>
      <xdr:col>19</xdr:col>
      <xdr:colOff>99419</xdr:colOff>
      <xdr:row>16</xdr:row>
      <xdr:rowOff>13693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1D39BF64-4174-45CA-A46E-7B01E7DCAFEA}"/>
            </a:ext>
          </a:extLst>
        </xdr:cNvPr>
        <xdr:cNvSpPr txBox="1"/>
      </xdr:nvSpPr>
      <xdr:spPr>
        <a:xfrm>
          <a:off x="2343265" y="2285885"/>
          <a:ext cx="4537954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333375</xdr:colOff>
      <xdr:row>8</xdr:row>
      <xdr:rowOff>76200</xdr:rowOff>
    </xdr:from>
    <xdr:to>
      <xdr:col>9</xdr:col>
      <xdr:colOff>361950</xdr:colOff>
      <xdr:row>29</xdr:row>
      <xdr:rowOff>0</xdr:rowOff>
    </xdr:to>
    <xdr:cxnSp macro="">
      <xdr:nvCxnSpPr>
        <xdr:cNvPr id="208" name="Straight Connector 207">
          <a:extLst>
            <a:ext uri="{FF2B5EF4-FFF2-40B4-BE49-F238E27FC236}">
              <a16:creationId xmlns:a16="http://schemas.microsoft.com/office/drawing/2014/main" id="{BA789CBA-756B-44FC-A008-8AFD12F96137}"/>
            </a:ext>
          </a:extLst>
        </xdr:cNvPr>
        <xdr:cNvCxnSpPr/>
      </xdr:nvCxnSpPr>
      <xdr:spPr>
        <a:xfrm flipV="1">
          <a:off x="3305175" y="1314450"/>
          <a:ext cx="28575" cy="31337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39777</xdr:colOff>
      <xdr:row>17</xdr:row>
      <xdr:rowOff>110860</xdr:rowOff>
    </xdr:from>
    <xdr:to>
      <xdr:col>15</xdr:col>
      <xdr:colOff>19050</xdr:colOff>
      <xdr:row>17</xdr:row>
      <xdr:rowOff>133350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5E0146C5-9B54-4050-AD2B-8114A3DF5A7D}"/>
            </a:ext>
          </a:extLst>
        </xdr:cNvPr>
        <xdr:cNvCxnSpPr>
          <a:endCxn id="3" idx="6"/>
        </xdr:cNvCxnSpPr>
      </xdr:nvCxnSpPr>
      <xdr:spPr>
        <a:xfrm flipH="1" flipV="1">
          <a:off x="3392577" y="2730235"/>
          <a:ext cx="1884273" cy="224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17</xdr:row>
      <xdr:rowOff>66676</xdr:rowOff>
    </xdr:from>
    <xdr:to>
      <xdr:col>10</xdr:col>
      <xdr:colOff>369572</xdr:colOff>
      <xdr:row>17</xdr:row>
      <xdr:rowOff>149547</xdr:rowOff>
    </xdr:to>
    <xdr:grpSp>
      <xdr:nvGrpSpPr>
        <xdr:cNvPr id="213" name="Group 73">
          <a:extLst>
            <a:ext uri="{FF2B5EF4-FFF2-40B4-BE49-F238E27FC236}">
              <a16:creationId xmlns:a16="http://schemas.microsoft.com/office/drawing/2014/main" id="{EF66310E-492E-43DE-ABF7-BB1950F8462A}"/>
            </a:ext>
          </a:extLst>
        </xdr:cNvPr>
        <xdr:cNvGrpSpPr/>
      </xdr:nvGrpSpPr>
      <xdr:grpSpPr>
        <a:xfrm rot="21429191">
          <a:off x="3638550" y="2686051"/>
          <a:ext cx="83822" cy="82871"/>
          <a:chOff x="12175074" y="2285812"/>
          <a:chExt cx="107252" cy="65186"/>
        </a:xfrm>
      </xdr:grpSpPr>
      <xdr:cxnSp macro="">
        <xdr:nvCxnSpPr>
          <xdr:cNvPr id="215" name="Straight Connector 74">
            <a:extLst>
              <a:ext uri="{FF2B5EF4-FFF2-40B4-BE49-F238E27FC236}">
                <a16:creationId xmlns:a16="http://schemas.microsoft.com/office/drawing/2014/main" id="{A9717470-2151-1D0A-9503-89701BDE6E9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75">
            <a:extLst>
              <a:ext uri="{FF2B5EF4-FFF2-40B4-BE49-F238E27FC236}">
                <a16:creationId xmlns:a16="http://schemas.microsoft.com/office/drawing/2014/main" id="{FC9BE582-8329-25C8-A1AD-ED6949D3CA1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6">
            <a:extLst>
              <a:ext uri="{FF2B5EF4-FFF2-40B4-BE49-F238E27FC236}">
                <a16:creationId xmlns:a16="http://schemas.microsoft.com/office/drawing/2014/main" id="{78B32073-B3BB-9FF0-5150-78B72998AB8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219074</xdr:colOff>
      <xdr:row>17</xdr:row>
      <xdr:rowOff>76200</xdr:rowOff>
    </xdr:from>
    <xdr:to>
      <xdr:col>12</xdr:col>
      <xdr:colOff>302896</xdr:colOff>
      <xdr:row>18</xdr:row>
      <xdr:rowOff>6671</xdr:rowOff>
    </xdr:to>
    <xdr:grpSp>
      <xdr:nvGrpSpPr>
        <xdr:cNvPr id="218" name="Group 73">
          <a:extLst>
            <a:ext uri="{FF2B5EF4-FFF2-40B4-BE49-F238E27FC236}">
              <a16:creationId xmlns:a16="http://schemas.microsoft.com/office/drawing/2014/main" id="{F51F5E17-0E7A-43FF-AD64-9A535821924C}"/>
            </a:ext>
          </a:extLst>
        </xdr:cNvPr>
        <xdr:cNvGrpSpPr/>
      </xdr:nvGrpSpPr>
      <xdr:grpSpPr>
        <a:xfrm rot="21429191">
          <a:off x="4333874" y="2695575"/>
          <a:ext cx="83822" cy="82871"/>
          <a:chOff x="12175074" y="2285812"/>
          <a:chExt cx="107252" cy="65186"/>
        </a:xfrm>
      </xdr:grpSpPr>
      <xdr:cxnSp macro="">
        <xdr:nvCxnSpPr>
          <xdr:cNvPr id="219" name="Straight Connector 74">
            <a:extLst>
              <a:ext uri="{FF2B5EF4-FFF2-40B4-BE49-F238E27FC236}">
                <a16:creationId xmlns:a16="http://schemas.microsoft.com/office/drawing/2014/main" id="{B20C978A-35E9-BFC7-D371-2CA4818DAD6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5">
            <a:extLst>
              <a:ext uri="{FF2B5EF4-FFF2-40B4-BE49-F238E27FC236}">
                <a16:creationId xmlns:a16="http://schemas.microsoft.com/office/drawing/2014/main" id="{5DE30C32-926A-623C-0CAA-887CBE090B8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76">
            <a:extLst>
              <a:ext uri="{FF2B5EF4-FFF2-40B4-BE49-F238E27FC236}">
                <a16:creationId xmlns:a16="http://schemas.microsoft.com/office/drawing/2014/main" id="{A116F1B8-277F-4C39-C818-DD1E9CD81A6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304800</xdr:colOff>
      <xdr:row>9</xdr:row>
      <xdr:rowOff>142875</xdr:rowOff>
    </xdr:from>
    <xdr:to>
      <xdr:col>14</xdr:col>
      <xdr:colOff>85725</xdr:colOff>
      <xdr:row>13</xdr:row>
      <xdr:rowOff>85725</xdr:rowOff>
    </xdr:to>
    <xdr:sp macro="" textlink="">
      <xdr:nvSpPr>
        <xdr:cNvPr id="222" name="TextBox 145">
          <a:extLst>
            <a:ext uri="{FF2B5EF4-FFF2-40B4-BE49-F238E27FC236}">
              <a16:creationId xmlns:a16="http://schemas.microsoft.com/office/drawing/2014/main" id="{EDD1B2B0-1A90-4B57-9323-BFFA985E950A}"/>
            </a:ext>
          </a:extLst>
        </xdr:cNvPr>
        <xdr:cNvSpPr txBox="1"/>
      </xdr:nvSpPr>
      <xdr:spPr>
        <a:xfrm>
          <a:off x="4419600" y="1533525"/>
          <a:ext cx="542925" cy="561975"/>
        </a:xfrm>
        <a:prstGeom prst="rect">
          <a:avLst/>
        </a:prstGeom>
        <a:solidFill>
          <a:srgbClr val="92D050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66675</xdr:colOff>
      <xdr:row>9</xdr:row>
      <xdr:rowOff>142875</xdr:rowOff>
    </xdr:from>
    <xdr:to>
      <xdr:col>15</xdr:col>
      <xdr:colOff>228600</xdr:colOff>
      <xdr:row>13</xdr:row>
      <xdr:rowOff>85725</xdr:rowOff>
    </xdr:to>
    <xdr:sp macro="" textlink="">
      <xdr:nvSpPr>
        <xdr:cNvPr id="223" name="TextBox 145">
          <a:extLst>
            <a:ext uri="{FF2B5EF4-FFF2-40B4-BE49-F238E27FC236}">
              <a16:creationId xmlns:a16="http://schemas.microsoft.com/office/drawing/2014/main" id="{55C692C1-8E32-4032-81ED-4ED1FB0AF845}"/>
            </a:ext>
          </a:extLst>
        </xdr:cNvPr>
        <xdr:cNvSpPr txBox="1"/>
      </xdr:nvSpPr>
      <xdr:spPr>
        <a:xfrm>
          <a:off x="4943475" y="1533525"/>
          <a:ext cx="542925" cy="561975"/>
        </a:xfrm>
        <a:prstGeom prst="rect">
          <a:avLst/>
        </a:prstGeom>
        <a:solidFill>
          <a:srgbClr val="92D050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171450</xdr:colOff>
      <xdr:row>12</xdr:row>
      <xdr:rowOff>76200</xdr:rowOff>
    </xdr:from>
    <xdr:to>
      <xdr:col>13</xdr:col>
      <xdr:colOff>303972</xdr:colOff>
      <xdr:row>13</xdr:row>
      <xdr:rowOff>74958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C9B57060-BB86-4AEA-92C4-DD25FA402D6A}"/>
            </a:ext>
          </a:extLst>
        </xdr:cNvPr>
        <xdr:cNvSpPr/>
      </xdr:nvSpPr>
      <xdr:spPr>
        <a:xfrm>
          <a:off x="4667250" y="1924050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14</xdr:col>
      <xdr:colOff>209550</xdr:colOff>
      <xdr:row>12</xdr:row>
      <xdr:rowOff>66675</xdr:rowOff>
    </xdr:from>
    <xdr:to>
      <xdr:col>14</xdr:col>
      <xdr:colOff>342072</xdr:colOff>
      <xdr:row>13</xdr:row>
      <xdr:rowOff>65433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DCEE755A-831B-472B-AE6F-5AEEF193AEAF}"/>
            </a:ext>
          </a:extLst>
        </xdr:cNvPr>
        <xdr:cNvSpPr/>
      </xdr:nvSpPr>
      <xdr:spPr>
        <a:xfrm>
          <a:off x="5086350" y="1914525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237711</xdr:colOff>
      <xdr:row>13</xdr:row>
      <xdr:rowOff>74958</xdr:rowOff>
    </xdr:from>
    <xdr:to>
      <xdr:col>13</xdr:col>
      <xdr:colOff>253251</xdr:colOff>
      <xdr:row>17</xdr:row>
      <xdr:rowOff>57150</xdr:rowOff>
    </xdr:to>
    <xdr:cxnSp macro="">
      <xdr:nvCxnSpPr>
        <xdr:cNvPr id="227" name="Straight Connector 140">
          <a:extLst>
            <a:ext uri="{FF2B5EF4-FFF2-40B4-BE49-F238E27FC236}">
              <a16:creationId xmlns:a16="http://schemas.microsoft.com/office/drawing/2014/main" id="{2E8E9214-C7AC-42E6-9DDB-3ABF708A3D0B}"/>
            </a:ext>
          </a:extLst>
        </xdr:cNvPr>
        <xdr:cNvCxnSpPr>
          <a:cxnSpLocks/>
          <a:stCxn id="225" idx="2"/>
          <a:endCxn id="203" idx="0"/>
        </xdr:cNvCxnSpPr>
      </xdr:nvCxnSpPr>
      <xdr:spPr bwMode="auto">
        <a:xfrm>
          <a:off x="4733511" y="2084733"/>
          <a:ext cx="15540" cy="5917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304358</xdr:colOff>
      <xdr:row>13</xdr:row>
      <xdr:rowOff>65433</xdr:rowOff>
    </xdr:from>
    <xdr:to>
      <xdr:col>14</xdr:col>
      <xdr:colOff>275811</xdr:colOff>
      <xdr:row>17</xdr:row>
      <xdr:rowOff>78461</xdr:rowOff>
    </xdr:to>
    <xdr:cxnSp macro="">
      <xdr:nvCxnSpPr>
        <xdr:cNvPr id="231" name="Straight Connector 140">
          <a:extLst>
            <a:ext uri="{FF2B5EF4-FFF2-40B4-BE49-F238E27FC236}">
              <a16:creationId xmlns:a16="http://schemas.microsoft.com/office/drawing/2014/main" id="{752E0373-C574-4DD6-9A9A-28DA3D23DEBB}"/>
            </a:ext>
          </a:extLst>
        </xdr:cNvPr>
        <xdr:cNvCxnSpPr>
          <a:cxnSpLocks/>
          <a:stCxn id="226" idx="2"/>
          <a:endCxn id="203" idx="7"/>
        </xdr:cNvCxnSpPr>
      </xdr:nvCxnSpPr>
      <xdr:spPr bwMode="auto">
        <a:xfrm flipH="1">
          <a:off x="4800158" y="2075208"/>
          <a:ext cx="352453" cy="62262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207829</xdr:colOff>
      <xdr:row>15</xdr:row>
      <xdr:rowOff>40430</xdr:rowOff>
    </xdr:from>
    <xdr:to>
      <xdr:col>13</xdr:col>
      <xdr:colOff>289893</xdr:colOff>
      <xdr:row>15</xdr:row>
      <xdr:rowOff>100007</xdr:rowOff>
    </xdr:to>
    <xdr:grpSp>
      <xdr:nvGrpSpPr>
        <xdr:cNvPr id="234" name="Group 233">
          <a:extLst>
            <a:ext uri="{FF2B5EF4-FFF2-40B4-BE49-F238E27FC236}">
              <a16:creationId xmlns:a16="http://schemas.microsoft.com/office/drawing/2014/main" id="{2FAAAF93-EE2E-47B7-A728-D6AB55C1585D}"/>
            </a:ext>
          </a:extLst>
        </xdr:cNvPr>
        <xdr:cNvGrpSpPr/>
      </xdr:nvGrpSpPr>
      <xdr:grpSpPr>
        <a:xfrm rot="4603269">
          <a:off x="4714872" y="2343762"/>
          <a:ext cx="59577" cy="82064"/>
          <a:chOff x="12175074" y="2285812"/>
          <a:chExt cx="76230" cy="64551"/>
        </a:xfrm>
      </xdr:grpSpPr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5F2955C5-FCB0-295F-2901-5106BBE8284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DD74D0B8-B691-3EC4-F657-2EC6B7471781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47625</xdr:colOff>
      <xdr:row>15</xdr:row>
      <xdr:rowOff>66675</xdr:rowOff>
    </xdr:from>
    <xdr:to>
      <xdr:col>14</xdr:col>
      <xdr:colOff>129689</xdr:colOff>
      <xdr:row>15</xdr:row>
      <xdr:rowOff>126252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CC5570E1-9F68-4778-A6FC-1E8C2CBEDE29}"/>
            </a:ext>
          </a:extLst>
        </xdr:cNvPr>
        <xdr:cNvGrpSpPr/>
      </xdr:nvGrpSpPr>
      <xdr:grpSpPr>
        <a:xfrm rot="4603269">
          <a:off x="4935668" y="2370007"/>
          <a:ext cx="59577" cy="82064"/>
          <a:chOff x="12175074" y="2285812"/>
          <a:chExt cx="76230" cy="64551"/>
        </a:xfrm>
      </xdr:grpSpPr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1C5F5DAC-39EB-CF17-F83B-C6C22A54B5A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BE94B021-1BC9-B667-D17F-3002C1EFB21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352425</xdr:colOff>
      <xdr:row>15</xdr:row>
      <xdr:rowOff>66676</xdr:rowOff>
    </xdr:from>
    <xdr:to>
      <xdr:col>11</xdr:col>
      <xdr:colOff>76200</xdr:colOff>
      <xdr:row>17</xdr:row>
      <xdr:rowOff>1868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64111620-3E1F-4C18-B858-C7384B89F53A}"/>
            </a:ext>
          </a:extLst>
        </xdr:cNvPr>
        <xdr:cNvSpPr txBox="1"/>
      </xdr:nvSpPr>
      <xdr:spPr>
        <a:xfrm>
          <a:off x="3324225" y="2381251"/>
          <a:ext cx="485775" cy="2399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6</xdr:col>
      <xdr:colOff>133350</xdr:colOff>
      <xdr:row>14</xdr:row>
      <xdr:rowOff>85725</xdr:rowOff>
    </xdr:from>
    <xdr:to>
      <xdr:col>9</xdr:col>
      <xdr:colOff>38100</xdr:colOff>
      <xdr:row>19</xdr:row>
      <xdr:rowOff>114300</xdr:rowOff>
    </xdr:to>
    <xdr:sp macro="" textlink="">
      <xdr:nvSpPr>
        <xdr:cNvPr id="242" name="TextBox 157">
          <a:extLst>
            <a:ext uri="{FF2B5EF4-FFF2-40B4-BE49-F238E27FC236}">
              <a16:creationId xmlns:a16="http://schemas.microsoft.com/office/drawing/2014/main" id="{3D25A195-91AD-47B7-BA1A-F4E7E5EAAF72}"/>
            </a:ext>
          </a:extLst>
        </xdr:cNvPr>
        <xdr:cNvSpPr txBox="1"/>
      </xdr:nvSpPr>
      <xdr:spPr>
        <a:xfrm>
          <a:off x="1962150" y="2247900"/>
          <a:ext cx="1047750" cy="79057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K2-625</a:t>
          </a: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303990</xdr:colOff>
      <xdr:row>56</xdr:row>
      <xdr:rowOff>40532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2DDFA0-453D-95DB-BAFC-FCC56427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91490" cy="83090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-1</xdr:rowOff>
    </xdr:from>
    <xdr:to>
      <xdr:col>29</xdr:col>
      <xdr:colOff>199361</xdr:colOff>
      <xdr:row>58</xdr:row>
      <xdr:rowOff>44301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16971C-36D2-5A1F-2D5D-AA82EC6F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7"/>
          <a:ext cx="15084942" cy="81073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90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90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1127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PD MOENIR ZUHRI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KAUMAN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1008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462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0" sqref="C20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1034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PD MOENIR ZUHRI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KAUMAN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si="4"/>
        <v/>
      </c>
      <c r="C19" s="109"/>
      <c r="D19" s="101" t="str">
        <f ca="1">IF(ISERROR(OFFSET('HARGA SATUAN'!$D$6,MATCH(C19,'HARGA SATUAN'!$C$7:$C$1495,0),0)),"",OFFSET('HARGA SATUAN'!$D$6,MATCH(C19,'HARGA SATUAN'!$C$7:$C$1495,0),0))</f>
        <v/>
      </c>
      <c r="E19" s="101" t="str">
        <f ca="1">IF(B19="+","Unit",IF(ISERROR(OFFSET('HARGA SATUAN'!$E$6,MATCH(C19,'HARGA SATUAN'!$C$7:$C$1495,0),0)),"",OFFSET('HARGA SATUAN'!$E$6,MATCH(C19,'HARGA SATUAN'!$C$7:$C$1495,0),0)))</f>
        <v/>
      </c>
      <c r="F19" s="101"/>
      <c r="G19" s="41" t="str">
        <f ca="1">IF(ISERROR(OFFSET('HARGA SATUAN'!$I$6,MATCH(C19,'HARGA SATUAN'!$C$7:$C$1495,0),0)),"",OFFSET('HARGA SATUAN'!$I$6,MATCH(C19,'HARGA SATUAN'!$C$7:$C$1495,0),0))</f>
        <v/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si="4"/>
        <v/>
      </c>
      <c r="C20" s="109"/>
      <c r="D20" s="101" t="str">
        <f ca="1">IF(ISERROR(OFFSET('HARGA SATUAN'!$D$6,MATCH(C20,'HARGA SATUAN'!$C$7:$C$1495,0),0)),"",OFFSET('HARGA SATUAN'!$D$6,MATCH(C20,'HARGA SATUAN'!$C$7:$C$1495,0),0))</f>
        <v/>
      </c>
      <c r="E20" s="101" t="str">
        <f ca="1">IF(B20="+","Unit",IF(ISERROR(OFFSET('HARGA SATUAN'!$E$6,MATCH(C20,'HARGA SATUAN'!$C$7:$C$1495,0),0)),"",OFFSET('HARGA SATUAN'!$E$6,MATCH(C20,'HARGA SATUAN'!$C$7:$C$1495,0),0)))</f>
        <v/>
      </c>
      <c r="F20" s="101"/>
      <c r="G20" s="41" t="str">
        <f ca="1">IF(ISERROR(OFFSET('HARGA SATUAN'!$I$6,MATCH(C20,'HARGA SATUAN'!$C$7:$C$1495,0),0)),"",OFFSET('HARGA SATUAN'!$I$6,MATCH(C20,'HARGA SATUAN'!$C$7:$C$1495,0),0))</f>
        <v/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si="4"/>
        <v/>
      </c>
      <c r="C21" s="109"/>
      <c r="D21" s="101" t="str">
        <f ca="1">IF(ISERROR(OFFSET('HARGA SATUAN'!$D$6,MATCH(C21,'HARGA SATUAN'!$C$7:$C$1495,0),0)),"",OFFSET('HARGA SATUAN'!$D$6,MATCH(C21,'HARGA SATUAN'!$C$7:$C$1495,0),0))</f>
        <v/>
      </c>
      <c r="E21" s="101" t="str">
        <f ca="1">IF(B21="+","Unit",IF(ISERROR(OFFSET('HARGA SATUAN'!$E$6,MATCH(C21,'HARGA SATUAN'!$C$7:$C$1495,0),0)),"",OFFSET('HARGA SATUAN'!$E$6,MATCH(C21,'HARGA SATUAN'!$C$7:$C$1495,0),0)))</f>
        <v/>
      </c>
      <c r="F21" s="101"/>
      <c r="G21" s="41" t="str">
        <f ca="1">IF(ISERROR(OFFSET('HARGA SATUAN'!$I$6,MATCH(C21,'HARGA SATUAN'!$C$7:$C$1495,0),0)),"",OFFSET('HARGA SATUAN'!$I$6,MATCH(C21,'HARGA SATUAN'!$C$7:$C$1495,0),0))</f>
        <v/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si="4"/>
        <v/>
      </c>
      <c r="C22" s="109"/>
      <c r="D22" s="101" t="str">
        <f ca="1">IF(ISERROR(OFFSET('HARGA SATUAN'!$D$6,MATCH(C22,'HARGA SATUAN'!$C$7:$C$1495,0),0)),"",OFFSET('HARGA SATUAN'!$D$6,MATCH(C22,'HARGA SATUAN'!$C$7:$C$1495,0),0))</f>
        <v/>
      </c>
      <c r="E22" s="101" t="str">
        <f ca="1">IF(B22="+","Unit",IF(ISERROR(OFFSET('HARGA SATUAN'!$E$6,MATCH(C22,'HARGA SATUAN'!$C$7:$C$1495,0),0)),"",OFFSET('HARGA SATUAN'!$E$6,MATCH(C22,'HARGA SATUAN'!$C$7:$C$1495,0),0)))</f>
        <v/>
      </c>
      <c r="F22" s="101"/>
      <c r="G22" s="41" t="str">
        <f ca="1">IF(ISERROR(OFFSET('HARGA SATUAN'!$I$6,MATCH(C22,'HARGA SATUAN'!$C$7:$C$1495,0),0)),"",OFFSET('HARGA SATUAN'!$I$6,MATCH(C22,'HARGA SATUAN'!$C$7:$C$1495,0),0))</f>
        <v/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/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/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/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/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/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/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/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/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/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/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1008</v>
      </c>
      <c r="D168" s="543"/>
      <c r="E168" s="543"/>
      <c r="F168" s="543"/>
      <c r="G168" s="77" t="s">
        <v>9</v>
      </c>
      <c r="H168" s="55">
        <f ca="1">SUM(H14:H167)</f>
        <v>28578600</v>
      </c>
      <c r="I168" s="55">
        <f ca="1">SUM(I14:I167)</f>
        <v>0</v>
      </c>
      <c r="J168" s="55">
        <f ca="1">SUM(J14:J167)</f>
        <v>0</v>
      </c>
      <c r="K168" s="55">
        <f ca="1">SUM(K14:K167)</f>
        <v>28578600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462</v>
      </c>
      <c r="D169" s="544"/>
      <c r="E169" s="544"/>
      <c r="F169" s="544"/>
      <c r="G169" s="59" t="s">
        <v>9</v>
      </c>
      <c r="H169" s="60">
        <f ca="1">H168*0.1</f>
        <v>2857860</v>
      </c>
      <c r="I169" s="60">
        <f ca="1">I168*0.1</f>
        <v>0</v>
      </c>
      <c r="J169" s="60">
        <f ca="1">J168*0.1</f>
        <v>0</v>
      </c>
      <c r="K169" s="60">
        <f ca="1">K168*0.1</f>
        <v>2857860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31436460</v>
      </c>
      <c r="I170" s="78">
        <f ca="1">SUM(I168:I169)</f>
        <v>0</v>
      </c>
      <c r="J170" s="61">
        <f ca="1">SUM(J168:J169)</f>
        <v>0</v>
      </c>
      <c r="K170" s="61">
        <f ca="1">SUM(K168:K169)</f>
        <v>31436460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2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2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2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90</v>
      </c>
      <c r="E350" s="24">
        <f t="shared" ca="1" si="22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1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topLeftCell="A10" zoomScale="55" zoomScaleNormal="55" zoomScaleSheetLayoutView="85" workbookViewId="0">
      <selection activeCell="N17" sqref="N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8" t="s">
        <v>1453</v>
      </c>
      <c r="C2" s="568"/>
      <c r="D2" s="568"/>
      <c r="E2" s="56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3" t="s">
        <v>1528</v>
      </c>
      <c r="C4" s="574"/>
      <c r="D4" s="574"/>
      <c r="E4" s="575"/>
      <c r="F4" s="373"/>
      <c r="G4" s="373"/>
      <c r="H4" s="374"/>
      <c r="I4" s="600" t="s">
        <v>1529</v>
      </c>
      <c r="J4" s="601"/>
      <c r="K4" s="601"/>
      <c r="L4" s="602"/>
    </row>
    <row r="5" spans="1:12" ht="34.5" customHeight="1">
      <c r="A5" s="193"/>
      <c r="B5" s="376" t="s">
        <v>1378</v>
      </c>
      <c r="C5" s="224" t="s">
        <v>9</v>
      </c>
      <c r="D5" s="569" t="str">
        <f>DATA!D14</f>
        <v>PD MOENIR ZUHRI</v>
      </c>
      <c r="E5" s="570"/>
      <c r="F5" s="197"/>
      <c r="G5" s="197"/>
      <c r="I5" s="377" t="s">
        <v>1378</v>
      </c>
      <c r="J5" s="224" t="s">
        <v>9</v>
      </c>
      <c r="K5" s="603" t="str">
        <f>D5</f>
        <v>PD MOENIR ZUHRI</v>
      </c>
      <c r="L5" s="604"/>
    </row>
    <row r="6" spans="1:12" ht="31.5" customHeight="1">
      <c r="A6" s="193"/>
      <c r="B6" s="376" t="s">
        <v>1525</v>
      </c>
      <c r="C6" s="224" t="s">
        <v>9</v>
      </c>
      <c r="D6" s="578">
        <f>DATA!D17*1000</f>
        <v>1800</v>
      </c>
      <c r="E6" s="579"/>
      <c r="F6" s="197"/>
      <c r="G6" s="197"/>
      <c r="I6" s="377" t="s">
        <v>1526</v>
      </c>
      <c r="J6" s="224" t="s">
        <v>9</v>
      </c>
      <c r="K6" s="605">
        <f>DATA!D20*1000</f>
        <v>22000</v>
      </c>
      <c r="L6" s="606"/>
    </row>
    <row r="7" spans="1:12" ht="30.75" customHeight="1">
      <c r="A7" s="193"/>
      <c r="B7" s="376" t="s">
        <v>1440</v>
      </c>
      <c r="C7" s="224" t="s">
        <v>9</v>
      </c>
      <c r="D7" s="576">
        <f>DATA!D18</f>
        <v>1</v>
      </c>
      <c r="E7" s="577"/>
      <c r="F7" s="375" t="s">
        <v>1452</v>
      </c>
      <c r="I7" s="377" t="s">
        <v>1440</v>
      </c>
      <c r="J7" s="224" t="s">
        <v>9</v>
      </c>
      <c r="K7" s="607">
        <f>DATA!D21</f>
        <v>3</v>
      </c>
      <c r="L7" s="608"/>
    </row>
    <row r="8" spans="1:12" ht="51" customHeight="1">
      <c r="A8" s="193"/>
      <c r="B8" s="376" t="s">
        <v>1441</v>
      </c>
      <c r="C8" s="224" t="s">
        <v>9</v>
      </c>
      <c r="D8" s="576">
        <f>DATA!D19</f>
        <v>220</v>
      </c>
      <c r="E8" s="577"/>
      <c r="F8" s="375" t="s">
        <v>1452</v>
      </c>
      <c r="G8" s="370">
        <v>220</v>
      </c>
      <c r="I8" s="377" t="s">
        <v>1441</v>
      </c>
      <c r="J8" s="224" t="s">
        <v>9</v>
      </c>
      <c r="K8" s="607">
        <f>DATA!D22</f>
        <v>380</v>
      </c>
      <c r="L8" s="608"/>
    </row>
    <row r="9" spans="1:12" ht="30" customHeight="1" thickBot="1">
      <c r="A9" s="193"/>
      <c r="B9" s="382" t="s">
        <v>1537</v>
      </c>
      <c r="C9" s="372" t="s">
        <v>9</v>
      </c>
      <c r="D9" s="571">
        <f>IF(D7=1,D6/(380/3^0.5),(D6/(380*3^0.5)))</f>
        <v>8.2044511937473139</v>
      </c>
      <c r="E9" s="572"/>
      <c r="F9" s="196"/>
      <c r="G9" s="371">
        <v>380</v>
      </c>
      <c r="I9" s="383" t="s">
        <v>1537</v>
      </c>
      <c r="J9" s="372" t="s">
        <v>9</v>
      </c>
      <c r="K9" s="609">
        <f>IF(K7=1,K6/(380/3^0.5),(K6/(380*3^0.5)))</f>
        <v>33.425541900452018</v>
      </c>
      <c r="L9" s="610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80" t="s">
        <v>1638</v>
      </c>
      <c r="E12" s="581"/>
      <c r="F12" s="197"/>
      <c r="G12" s="197"/>
      <c r="I12" s="399" t="s">
        <v>1530</v>
      </c>
      <c r="J12" s="400" t="s">
        <v>9</v>
      </c>
      <c r="K12" s="580" t="s">
        <v>1638</v>
      </c>
      <c r="L12" s="581"/>
    </row>
    <row r="13" spans="1:12" ht="31.5" customHeight="1">
      <c r="A13" s="193"/>
      <c r="B13" s="407" t="s">
        <v>1379</v>
      </c>
      <c r="C13" s="387" t="s">
        <v>9</v>
      </c>
      <c r="D13" s="584" t="s">
        <v>1629</v>
      </c>
      <c r="E13" s="585"/>
      <c r="F13" s="197"/>
      <c r="G13" s="197"/>
      <c r="I13" s="401" t="s">
        <v>1379</v>
      </c>
      <c r="J13" s="387" t="s">
        <v>9</v>
      </c>
      <c r="K13" s="584" t="s">
        <v>1629</v>
      </c>
      <c r="L13" s="585"/>
    </row>
    <row r="14" spans="1:12" ht="30.75" customHeight="1">
      <c r="A14" s="193"/>
      <c r="B14" s="407" t="s">
        <v>1531</v>
      </c>
      <c r="C14" s="387" t="s">
        <v>9</v>
      </c>
      <c r="D14" s="592">
        <v>250</v>
      </c>
      <c r="E14" s="593"/>
      <c r="F14" s="375" t="s">
        <v>1452</v>
      </c>
      <c r="G14" s="379">
        <v>50</v>
      </c>
      <c r="I14" s="401" t="s">
        <v>1531</v>
      </c>
      <c r="J14" s="387" t="s">
        <v>9</v>
      </c>
      <c r="K14" s="594">
        <v>50</v>
      </c>
      <c r="L14" s="595"/>
    </row>
    <row r="15" spans="1:12" ht="57" customHeight="1">
      <c r="A15" s="193"/>
      <c r="B15" s="407" t="s">
        <v>1440</v>
      </c>
      <c r="C15" s="387" t="s">
        <v>9</v>
      </c>
      <c r="D15" s="393">
        <v>3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6">
        <f>94+96+97</f>
        <v>287</v>
      </c>
      <c r="E16" s="597"/>
      <c r="F16" s="375"/>
      <c r="G16" s="379">
        <v>160</v>
      </c>
      <c r="I16" s="401" t="s">
        <v>1533</v>
      </c>
      <c r="J16" s="387" t="s">
        <v>9</v>
      </c>
      <c r="K16" s="598">
        <f>K9</f>
        <v>33.425541900452018</v>
      </c>
      <c r="L16" s="599"/>
    </row>
    <row r="17" spans="1:12" ht="34.5" customHeight="1">
      <c r="A17" s="193"/>
      <c r="B17" s="407" t="s">
        <v>1534</v>
      </c>
      <c r="C17" s="387" t="s">
        <v>9</v>
      </c>
      <c r="D17" s="586">
        <f>IF(D15=1,D14/(20/3^0.5),(D14/(20*3^0.5)))</f>
        <v>7.2168783648703227</v>
      </c>
      <c r="E17" s="587"/>
      <c r="F17" s="375" t="s">
        <v>1452</v>
      </c>
      <c r="G17" s="380">
        <v>200</v>
      </c>
      <c r="I17" s="401" t="s">
        <v>1534</v>
      </c>
      <c r="J17" s="387" t="s">
        <v>9</v>
      </c>
      <c r="K17" s="590">
        <f>IF(K15=1,K14/(20/3^0.5),(K14/(20*3^0.5)))</f>
        <v>4.3301270189221928</v>
      </c>
      <c r="L17" s="591"/>
    </row>
    <row r="18" spans="1:12" ht="34.5" customHeight="1">
      <c r="A18" s="193"/>
      <c r="B18" s="407" t="s">
        <v>1535</v>
      </c>
      <c r="C18" s="387" t="s">
        <v>9</v>
      </c>
      <c r="D18" s="586">
        <f>IF(D15=1,D14/(380/3^0.5),(D14/(380*3^0.5)))*1000</f>
        <v>379.83570341422751</v>
      </c>
      <c r="E18" s="587"/>
      <c r="F18" s="375" t="s">
        <v>1452</v>
      </c>
      <c r="G18" s="380">
        <v>250</v>
      </c>
      <c r="I18" s="401" t="s">
        <v>1535</v>
      </c>
      <c r="J18" s="387" t="s">
        <v>9</v>
      </c>
      <c r="K18" s="590">
        <f>IF(K15=1,K14/(380/3^0.5),(K14/(380*3^0.5)))*1000</f>
        <v>227.90142204853646</v>
      </c>
      <c r="L18" s="591"/>
    </row>
    <row r="19" spans="1:12" ht="30" customHeight="1">
      <c r="A19" s="193"/>
      <c r="B19" s="408" t="s">
        <v>1527</v>
      </c>
      <c r="C19" s="386" t="s">
        <v>9</v>
      </c>
      <c r="D19" s="586">
        <f>IF(D15=1,D14/(380/3^0.5),(D14/(380*3^0.5)))</f>
        <v>0.37983570341422751</v>
      </c>
      <c r="E19" s="587"/>
      <c r="F19" s="196"/>
      <c r="G19" s="371"/>
      <c r="I19" s="403" t="s">
        <v>1527</v>
      </c>
      <c r="J19" s="386" t="s">
        <v>9</v>
      </c>
      <c r="K19" s="590">
        <f>IF(K15=1,K14/(380/3^0.5),(K14/(380*3^0.5)))</f>
        <v>0.22790142204853647</v>
      </c>
      <c r="L19" s="591"/>
    </row>
    <row r="20" spans="1:12" ht="30" customHeight="1" thickBot="1">
      <c r="A20" s="193"/>
      <c r="B20" s="409" t="s">
        <v>1536</v>
      </c>
      <c r="C20" s="405" t="s">
        <v>9</v>
      </c>
      <c r="D20" s="582">
        <f>D16/D18</f>
        <v>0.75558984429384701</v>
      </c>
      <c r="E20" s="583"/>
      <c r="F20" s="196"/>
      <c r="G20" s="371"/>
      <c r="I20" s="404" t="s">
        <v>1527</v>
      </c>
      <c r="J20" s="405" t="s">
        <v>9</v>
      </c>
      <c r="K20" s="588">
        <f>K16/K18</f>
        <v>0.1466666666666667</v>
      </c>
      <c r="L20" s="589"/>
    </row>
    <row r="21" spans="1:12" ht="9.75" customHeight="1">
      <c r="A21" s="193"/>
      <c r="B21" s="394" t="s">
        <v>1536</v>
      </c>
      <c r="C21" s="395" t="s">
        <v>9</v>
      </c>
      <c r="D21" s="567">
        <v>1</v>
      </c>
      <c r="E21" s="567"/>
      <c r="F21" s="396"/>
      <c r="G21" s="397"/>
      <c r="H21" s="398"/>
      <c r="I21" s="394" t="s">
        <v>1527</v>
      </c>
      <c r="J21" s="395" t="s">
        <v>9</v>
      </c>
      <c r="K21" s="567">
        <v>1</v>
      </c>
      <c r="L21" s="56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20.2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19573800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37195703.008500002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743914.06017000007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MOENIR ZUHRI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1637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1.8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22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3" t="s">
        <v>1356</v>
      </c>
      <c r="C3" s="613"/>
      <c r="D3" s="613"/>
      <c r="E3" s="613"/>
      <c r="F3" s="252" t="str">
        <f>DATA!D14</f>
        <v>PD MOENIR ZUHRI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4" t="s">
        <v>1348</v>
      </c>
      <c r="C5" s="614" t="s">
        <v>1357</v>
      </c>
      <c r="D5" s="615" t="s">
        <v>1358</v>
      </c>
      <c r="E5" s="615" t="s">
        <v>1359</v>
      </c>
      <c r="F5" s="614" t="s">
        <v>1360</v>
      </c>
      <c r="G5" s="614"/>
      <c r="H5" s="614"/>
      <c r="I5" s="614"/>
      <c r="J5" s="614"/>
      <c r="K5" s="614" t="s">
        <v>1361</v>
      </c>
      <c r="L5" s="614"/>
      <c r="M5" s="254"/>
      <c r="N5" s="618" t="s">
        <v>1362</v>
      </c>
      <c r="O5" s="615" t="s">
        <v>1363</v>
      </c>
      <c r="P5" s="615" t="s">
        <v>1364</v>
      </c>
      <c r="Q5" s="615" t="s">
        <v>1365</v>
      </c>
      <c r="R5" s="255"/>
      <c r="S5" s="256"/>
      <c r="T5" s="616" t="s">
        <v>1366</v>
      </c>
      <c r="U5" s="257"/>
    </row>
    <row r="6" spans="1:21" ht="20.100000000000001" customHeight="1">
      <c r="B6" s="614"/>
      <c r="C6" s="614"/>
      <c r="D6" s="614"/>
      <c r="E6" s="61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9"/>
      <c r="O6" s="614"/>
      <c r="P6" s="614"/>
      <c r="Q6" s="614"/>
      <c r="R6" s="255"/>
      <c r="S6" s="256"/>
      <c r="T6" s="614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3232</v>
      </c>
      <c r="D7" s="263">
        <f>C7*4/24</f>
        <v>538.66666666666663</v>
      </c>
      <c r="E7" s="263">
        <f>C7-D7</f>
        <v>2693.3333333333335</v>
      </c>
      <c r="F7" s="264">
        <f ca="1">DATA!D10/1000000</f>
        <v>37.195703008500004</v>
      </c>
      <c r="G7" s="265">
        <f ca="1">DATA!$D$11/1000000</f>
        <v>0.74391406017000006</v>
      </c>
      <c r="H7" s="265">
        <f>C7*DATA!$D$5/1000000</f>
        <v>3.5038921483054399</v>
      </c>
      <c r="I7" s="265">
        <f>(C7*DATA!$D$5*DATA!$D$7)/1000000</f>
        <v>7.8837573336872385E-2</v>
      </c>
      <c r="J7" s="263">
        <f ca="1">SUM(F7:I7)</f>
        <v>41.522346790312312</v>
      </c>
      <c r="K7" s="266">
        <f>DATA!D9/1000000</f>
        <v>19.573799999999999</v>
      </c>
      <c r="L7" s="263">
        <f>((D7*DATA!$D$23)/1000000)+((E7*DATA!$D$24)/1000000)</f>
        <v>4.6692704000000003</v>
      </c>
      <c r="M7" s="263">
        <f>K7+L7</f>
        <v>24.243070400000001</v>
      </c>
      <c r="N7" s="263">
        <f ca="1">M7-J7</f>
        <v>-17.279276390312312</v>
      </c>
      <c r="O7" s="261">
        <v>1</v>
      </c>
      <c r="P7" s="263">
        <f ca="1">O7*N7</f>
        <v>-17.279276390312312</v>
      </c>
      <c r="Q7" s="263">
        <f ca="1">P7</f>
        <v>-17.279276390312312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9696</v>
      </c>
      <c r="D8" s="263">
        <f>C8*4/24</f>
        <v>1616</v>
      </c>
      <c r="E8" s="263">
        <f t="shared" ref="E8:E32" si="0">C8-D8</f>
        <v>8080</v>
      </c>
      <c r="F8" s="261"/>
      <c r="G8" s="265">
        <f ca="1">DATA!$D$11/1000000</f>
        <v>0.74391406017000006</v>
      </c>
      <c r="H8" s="265">
        <f>C8*DATA!$D$5/1000000</f>
        <v>10.511676444916318</v>
      </c>
      <c r="I8" s="265">
        <f>(C8*DATA!$D$5*DATA!$D$7)/1000000</f>
        <v>0.23651272001061716</v>
      </c>
      <c r="J8" s="263">
        <f t="shared" ref="J8:J32" ca="1" si="1">SUM(F8:I8)</f>
        <v>11.492103225096937</v>
      </c>
      <c r="K8" s="268"/>
      <c r="L8" s="263">
        <f>((D8*DATA!$D$23)/1000000)+((E8*DATA!$D$24)/1000000)</f>
        <v>14.007811199999999</v>
      </c>
      <c r="M8" s="263">
        <f t="shared" ref="M8:M32" si="2">K8+L8</f>
        <v>14.007811199999999</v>
      </c>
      <c r="N8" s="263">
        <f ca="1">M8-J8</f>
        <v>2.5157079749030622</v>
      </c>
      <c r="O8" s="262">
        <f>1/(1+'[92]Asumsi I'!$C$3)^(KKF!A8)</f>
        <v>0.89285714285714279</v>
      </c>
      <c r="P8" s="263">
        <f ca="1">O8*N8</f>
        <v>2.2461678347348766</v>
      </c>
      <c r="Q8" s="263">
        <f ca="1">Q7+P8</f>
        <v>-15.033108555577435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9696</v>
      </c>
      <c r="D9" s="263">
        <f t="shared" ref="D9:D32" si="5">C9*4/24</f>
        <v>1616</v>
      </c>
      <c r="E9" s="263">
        <f t="shared" si="0"/>
        <v>8080</v>
      </c>
      <c r="F9" s="261"/>
      <c r="G9" s="265">
        <f ca="1">DATA!$D$11/1000000</f>
        <v>0.74391406017000006</v>
      </c>
      <c r="H9" s="265">
        <f>C9*DATA!$D$5/1000000</f>
        <v>10.511676444916318</v>
      </c>
      <c r="I9" s="265">
        <f>(C9*DATA!$D$5*DATA!$D$7)/1000000</f>
        <v>0.23651272001061716</v>
      </c>
      <c r="J9" s="263">
        <f t="shared" ca="1" si="1"/>
        <v>11.492103225096937</v>
      </c>
      <c r="K9" s="263"/>
      <c r="L9" s="263">
        <f>((D9*DATA!$D$23)/1000000)+((E9*DATA!$D$24)/1000000)</f>
        <v>14.007811199999999</v>
      </c>
      <c r="M9" s="263">
        <f t="shared" si="2"/>
        <v>14.007811199999999</v>
      </c>
      <c r="N9" s="263">
        <f t="shared" ref="N9:N32" ca="1" si="6">M9-J9</f>
        <v>2.5157079749030622</v>
      </c>
      <c r="O9" s="269">
        <f>1/(1+'[92]Asumsi I'!$C$3)^(KKF!A9)</f>
        <v>0.79719387755102034</v>
      </c>
      <c r="P9" s="263">
        <f t="shared" ref="P9:P32" ca="1" si="7">O9*N9</f>
        <v>2.005506995298997</v>
      </c>
      <c r="Q9" s="263">
        <f ca="1">Q8+P9</f>
        <v>-13.027601560278438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9696</v>
      </c>
      <c r="D10" s="263">
        <f t="shared" si="5"/>
        <v>1616</v>
      </c>
      <c r="E10" s="263">
        <f t="shared" si="0"/>
        <v>8080</v>
      </c>
      <c r="F10" s="261"/>
      <c r="G10" s="265">
        <f ca="1">DATA!$D$11/1000000</f>
        <v>0.74391406017000006</v>
      </c>
      <c r="H10" s="265">
        <f>C10*DATA!$D$5/1000000</f>
        <v>10.511676444916318</v>
      </c>
      <c r="I10" s="265">
        <f>(C10*DATA!$D$5*DATA!$D$7)/1000000</f>
        <v>0.23651272001061716</v>
      </c>
      <c r="J10" s="263">
        <f t="shared" ca="1" si="1"/>
        <v>11.492103225096937</v>
      </c>
      <c r="K10" s="261"/>
      <c r="L10" s="263">
        <f>((D10*DATA!$D$23)/1000000)+((E10*DATA!$D$24)/1000000)</f>
        <v>14.007811199999999</v>
      </c>
      <c r="M10" s="263">
        <f t="shared" si="2"/>
        <v>14.007811199999999</v>
      </c>
      <c r="N10" s="263">
        <f t="shared" ca="1" si="6"/>
        <v>2.5157079749030622</v>
      </c>
      <c r="O10" s="262">
        <f>1/(1+'[92]Asumsi I'!$C$3)^(KKF!A10)</f>
        <v>0.71178024781341087</v>
      </c>
      <c r="P10" s="263">
        <f t="shared" ca="1" si="7"/>
        <v>1.7906312458026756</v>
      </c>
      <c r="Q10" s="263">
        <f t="shared" ref="Q10:Q30" ca="1" si="9">Q9+P10</f>
        <v>-11.236970314475762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9696</v>
      </c>
      <c r="D11" s="263">
        <f t="shared" si="5"/>
        <v>1616</v>
      </c>
      <c r="E11" s="263">
        <f t="shared" si="0"/>
        <v>8080</v>
      </c>
      <c r="F11" s="261"/>
      <c r="G11" s="265">
        <f ca="1">DATA!$D$11/1000000</f>
        <v>0.74391406017000006</v>
      </c>
      <c r="H11" s="265">
        <f>C11*DATA!$D$5/1000000</f>
        <v>10.511676444916318</v>
      </c>
      <c r="I11" s="265">
        <f>(C11*DATA!$D$5*DATA!$D$7)/1000000</f>
        <v>0.23651272001061716</v>
      </c>
      <c r="J11" s="263">
        <f t="shared" ca="1" si="1"/>
        <v>11.492103225096937</v>
      </c>
      <c r="K11" s="261"/>
      <c r="L11" s="263">
        <f>((D11*DATA!$D$23)/1000000)+((E11*DATA!$D$24)/1000000)</f>
        <v>14.007811199999999</v>
      </c>
      <c r="M11" s="263">
        <f t="shared" si="2"/>
        <v>14.007811199999999</v>
      </c>
      <c r="N11" s="263">
        <f t="shared" ca="1" si="6"/>
        <v>2.5157079749030622</v>
      </c>
      <c r="O11" s="262">
        <f>1/(1+'[92]Asumsi I'!$C$3)^(KKF!A11)</f>
        <v>0.63551807840483121</v>
      </c>
      <c r="P11" s="263">
        <f t="shared" ca="1" si="7"/>
        <v>1.5987778980381033</v>
      </c>
      <c r="Q11" s="263">
        <f t="shared" ca="1" si="9"/>
        <v>-9.6381924164376596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9696</v>
      </c>
      <c r="D12" s="263">
        <f t="shared" si="5"/>
        <v>1616</v>
      </c>
      <c r="E12" s="263">
        <f t="shared" si="0"/>
        <v>8080</v>
      </c>
      <c r="F12" s="261"/>
      <c r="G12" s="265">
        <f ca="1">DATA!$D$11/1000000</f>
        <v>0.74391406017000006</v>
      </c>
      <c r="H12" s="265">
        <f>C12*DATA!$D$5/1000000</f>
        <v>10.511676444916318</v>
      </c>
      <c r="I12" s="265">
        <f>(C12*DATA!$D$5*DATA!$D$7)/1000000</f>
        <v>0.23651272001061716</v>
      </c>
      <c r="J12" s="263">
        <f t="shared" ca="1" si="1"/>
        <v>11.492103225096937</v>
      </c>
      <c r="K12" s="261"/>
      <c r="L12" s="263">
        <f>((D12*DATA!$D$23)/1000000)+((E12*DATA!$D$24)/1000000)</f>
        <v>14.007811199999999</v>
      </c>
      <c r="M12" s="263">
        <f t="shared" si="2"/>
        <v>14.007811199999999</v>
      </c>
      <c r="N12" s="263">
        <f t="shared" ca="1" si="6"/>
        <v>2.5157079749030622</v>
      </c>
      <c r="O12" s="262">
        <f>1/(1+'[92]Asumsi I'!$C$3)^(KKF!A12)</f>
        <v>0.56742685571859919</v>
      </c>
      <c r="P12" s="263">
        <f t="shared" ca="1" si="7"/>
        <v>1.4274802661054493</v>
      </c>
      <c r="Q12" s="263">
        <f t="shared" ca="1" si="9"/>
        <v>-8.2107121503322098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9696</v>
      </c>
      <c r="D13" s="263">
        <f t="shared" si="5"/>
        <v>1616</v>
      </c>
      <c r="E13" s="263">
        <f t="shared" si="0"/>
        <v>8080</v>
      </c>
      <c r="F13" s="261"/>
      <c r="G13" s="265">
        <f ca="1">DATA!$D$11/1000000</f>
        <v>0.74391406017000006</v>
      </c>
      <c r="H13" s="265">
        <f>C13*DATA!$D$5/1000000</f>
        <v>10.511676444916318</v>
      </c>
      <c r="I13" s="265">
        <f>(C13*DATA!$D$5*DATA!$D$7)/1000000</f>
        <v>0.23651272001061716</v>
      </c>
      <c r="J13" s="263">
        <f t="shared" ca="1" si="1"/>
        <v>11.492103225096937</v>
      </c>
      <c r="K13" s="261"/>
      <c r="L13" s="263">
        <f>((D13*DATA!$D$23)/1000000)+((E13*DATA!$D$24)/1000000)</f>
        <v>14.007811199999999</v>
      </c>
      <c r="M13" s="263">
        <f t="shared" si="2"/>
        <v>14.007811199999999</v>
      </c>
      <c r="N13" s="263">
        <f t="shared" ca="1" si="6"/>
        <v>2.5157079749030622</v>
      </c>
      <c r="O13" s="262">
        <f>1/(1+'[92]Asumsi I'!$C$3)^(KKF!A13)</f>
        <v>0.50663112117732068</v>
      </c>
      <c r="P13" s="263">
        <f t="shared" ca="1" si="7"/>
        <v>1.2745359518798653</v>
      </c>
      <c r="Q13" s="263">
        <f t="shared" ca="1" si="9"/>
        <v>-6.936176198452344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9696</v>
      </c>
      <c r="D14" s="263">
        <f t="shared" si="5"/>
        <v>1616</v>
      </c>
      <c r="E14" s="263">
        <f t="shared" si="0"/>
        <v>8080</v>
      </c>
      <c r="F14" s="261"/>
      <c r="G14" s="265">
        <f ca="1">DATA!$D$11/1000000</f>
        <v>0.74391406017000006</v>
      </c>
      <c r="H14" s="265">
        <f>C14*DATA!$D$5/1000000</f>
        <v>10.511676444916318</v>
      </c>
      <c r="I14" s="265">
        <f>(C14*DATA!$D$5*DATA!$D$7)/1000000</f>
        <v>0.23651272001061716</v>
      </c>
      <c r="J14" s="263">
        <f t="shared" ca="1" si="1"/>
        <v>11.492103225096937</v>
      </c>
      <c r="K14" s="261"/>
      <c r="L14" s="263">
        <f>((D14*DATA!$D$23)/1000000)+((E14*DATA!$D$24)/1000000)</f>
        <v>14.007811199999999</v>
      </c>
      <c r="M14" s="263">
        <f t="shared" si="2"/>
        <v>14.007811199999999</v>
      </c>
      <c r="N14" s="263">
        <f t="shared" ca="1" si="6"/>
        <v>2.5157079749030622</v>
      </c>
      <c r="O14" s="262">
        <f>1/(1+'[92]Asumsi I'!$C$3)^(KKF!A14)</f>
        <v>0.45234921533689343</v>
      </c>
      <c r="P14" s="263">
        <f t="shared" ca="1" si="7"/>
        <v>1.1379785284641655</v>
      </c>
      <c r="Q14" s="263">
        <f t="shared" ca="1" si="9"/>
        <v>-5.7981976699881788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9696</v>
      </c>
      <c r="D15" s="263">
        <f t="shared" si="5"/>
        <v>1616</v>
      </c>
      <c r="E15" s="263">
        <f t="shared" si="0"/>
        <v>8080</v>
      </c>
      <c r="F15" s="261"/>
      <c r="G15" s="265">
        <f ca="1">DATA!$D$11/1000000</f>
        <v>0.74391406017000006</v>
      </c>
      <c r="H15" s="265">
        <f>C15*DATA!$D$5/1000000</f>
        <v>10.511676444916318</v>
      </c>
      <c r="I15" s="265">
        <f>(C15*DATA!$D$5*DATA!$D$7)/1000000</f>
        <v>0.23651272001061716</v>
      </c>
      <c r="J15" s="263">
        <f t="shared" ca="1" si="1"/>
        <v>11.492103225096937</v>
      </c>
      <c r="K15" s="261"/>
      <c r="L15" s="263">
        <f>((D15*DATA!$D$23)/1000000)+((E15*DATA!$D$24)/1000000)</f>
        <v>14.007811199999999</v>
      </c>
      <c r="M15" s="263">
        <f t="shared" si="2"/>
        <v>14.007811199999999</v>
      </c>
      <c r="N15" s="263">
        <f t="shared" ca="1" si="6"/>
        <v>2.5157079749030622</v>
      </c>
      <c r="O15" s="262">
        <f>1/(1+'[92]Asumsi I'!$C$3)^(KKF!A15)</f>
        <v>0.4038832279793691</v>
      </c>
      <c r="P15" s="263">
        <f t="shared" ca="1" si="7"/>
        <v>1.0160522575572903</v>
      </c>
      <c r="Q15" s="263">
        <f t="shared" ca="1" si="9"/>
        <v>-4.7821454124308884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9696</v>
      </c>
      <c r="D16" s="263">
        <f t="shared" si="5"/>
        <v>1616</v>
      </c>
      <c r="E16" s="263">
        <f t="shared" si="0"/>
        <v>8080</v>
      </c>
      <c r="F16" s="261"/>
      <c r="G16" s="265">
        <f ca="1">DATA!$D$11/1000000</f>
        <v>0.74391406017000006</v>
      </c>
      <c r="H16" s="265">
        <f>C16*DATA!$D$5/1000000</f>
        <v>10.511676444916318</v>
      </c>
      <c r="I16" s="265">
        <f>(C16*DATA!$D$5*DATA!$D$7)/1000000</f>
        <v>0.23651272001061716</v>
      </c>
      <c r="J16" s="263">
        <f t="shared" ca="1" si="1"/>
        <v>11.492103225096937</v>
      </c>
      <c r="K16" s="261"/>
      <c r="L16" s="263">
        <f>((D16*DATA!$D$23)/1000000)+((E16*DATA!$D$24)/1000000)</f>
        <v>14.007811199999999</v>
      </c>
      <c r="M16" s="263">
        <f t="shared" si="2"/>
        <v>14.007811199999999</v>
      </c>
      <c r="N16" s="263">
        <f t="shared" ca="1" si="6"/>
        <v>2.5157079749030622</v>
      </c>
      <c r="O16" s="262">
        <f>1/(1+'[92]Asumsi I'!$C$3)^(KKF!A16)</f>
        <v>0.36061002498157957</v>
      </c>
      <c r="P16" s="263">
        <f t="shared" ca="1" si="7"/>
        <v>0.90718951567615225</v>
      </c>
      <c r="Q16" s="263">
        <f t="shared" ca="1" si="9"/>
        <v>-3.8749558967547362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9696</v>
      </c>
      <c r="D17" s="263">
        <f t="shared" si="5"/>
        <v>1616</v>
      </c>
      <c r="E17" s="263">
        <f t="shared" si="0"/>
        <v>8080</v>
      </c>
      <c r="F17" s="261"/>
      <c r="G17" s="265">
        <f ca="1">DATA!$D$11/1000000</f>
        <v>0.74391406017000006</v>
      </c>
      <c r="H17" s="265">
        <f>C17*DATA!$D$5/1000000</f>
        <v>10.511676444916318</v>
      </c>
      <c r="I17" s="265">
        <f>(C17*DATA!$D$5*DATA!$D$7)/1000000</f>
        <v>0.23651272001061716</v>
      </c>
      <c r="J17" s="263">
        <f t="shared" ca="1" si="1"/>
        <v>11.492103225096937</v>
      </c>
      <c r="K17" s="261"/>
      <c r="L17" s="263">
        <f>((D17*DATA!$D$23)/1000000)+((E17*DATA!$D$24)/1000000)</f>
        <v>14.007811199999999</v>
      </c>
      <c r="M17" s="263">
        <f t="shared" si="2"/>
        <v>14.007811199999999</v>
      </c>
      <c r="N17" s="263">
        <f t="shared" ca="1" si="6"/>
        <v>2.5157079749030622</v>
      </c>
      <c r="O17" s="262">
        <f>1/(1+'[92]Asumsi I'!$C$3)^(KKF!A17)</f>
        <v>0.32197323659069599</v>
      </c>
      <c r="P17" s="263">
        <f t="shared" ca="1" si="7"/>
        <v>0.80999063899656432</v>
      </c>
      <c r="Q17" s="263">
        <f t="shared" ca="1" si="9"/>
        <v>-3.0649652577581721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9696</v>
      </c>
      <c r="D18" s="263">
        <f t="shared" si="5"/>
        <v>1616</v>
      </c>
      <c r="E18" s="263">
        <f t="shared" si="0"/>
        <v>8080</v>
      </c>
      <c r="F18" s="261"/>
      <c r="G18" s="265">
        <f ca="1">DATA!$D$11/1000000</f>
        <v>0.74391406017000006</v>
      </c>
      <c r="H18" s="265">
        <f>C18*DATA!$D$5/1000000</f>
        <v>10.511676444916318</v>
      </c>
      <c r="I18" s="265">
        <f>(C18*DATA!$D$5*DATA!$D$7)/1000000</f>
        <v>0.23651272001061716</v>
      </c>
      <c r="J18" s="263">
        <f t="shared" ca="1" si="1"/>
        <v>11.492103225096937</v>
      </c>
      <c r="K18" s="261"/>
      <c r="L18" s="263">
        <f>((D18*DATA!$D$23)/1000000)+((E18*DATA!$D$24)/1000000)</f>
        <v>14.007811199999999</v>
      </c>
      <c r="M18" s="263">
        <f t="shared" si="2"/>
        <v>14.007811199999999</v>
      </c>
      <c r="N18" s="263">
        <f t="shared" ca="1" si="6"/>
        <v>2.5157079749030622</v>
      </c>
      <c r="O18" s="262">
        <f>1/(1+'[92]Asumsi I'!$C$3)^(KKF!A18)</f>
        <v>0.28747610409883567</v>
      </c>
      <c r="P18" s="263">
        <f t="shared" ca="1" si="7"/>
        <v>0.72320592767550373</v>
      </c>
      <c r="Q18" s="263">
        <f t="shared" ca="1" si="9"/>
        <v>-2.3417593300826685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9696</v>
      </c>
      <c r="D19" s="263">
        <f t="shared" si="5"/>
        <v>1616</v>
      </c>
      <c r="E19" s="263">
        <f t="shared" si="0"/>
        <v>8080</v>
      </c>
      <c r="F19" s="261"/>
      <c r="G19" s="265">
        <f ca="1">DATA!$D$11/1000000</f>
        <v>0.74391406017000006</v>
      </c>
      <c r="H19" s="265">
        <f>C19*DATA!$D$5/1000000</f>
        <v>10.511676444916318</v>
      </c>
      <c r="I19" s="265">
        <f>(C19*DATA!$D$5*DATA!$D$7)/1000000</f>
        <v>0.23651272001061716</v>
      </c>
      <c r="J19" s="263">
        <f t="shared" ca="1" si="1"/>
        <v>11.492103225096937</v>
      </c>
      <c r="K19" s="261"/>
      <c r="L19" s="263">
        <f>((D19*DATA!$D$23)/1000000)+((E19*DATA!$D$24)/1000000)</f>
        <v>14.007811199999999</v>
      </c>
      <c r="M19" s="263">
        <f t="shared" si="2"/>
        <v>14.007811199999999</v>
      </c>
      <c r="N19" s="263">
        <f t="shared" ca="1" si="6"/>
        <v>2.5157079749030622</v>
      </c>
      <c r="O19" s="262">
        <f>1/(1+'[92]Asumsi I'!$C$3)^(KKF!A19)</f>
        <v>0.25667509294538904</v>
      </c>
      <c r="P19" s="263">
        <f t="shared" ca="1" si="7"/>
        <v>0.6457195782816999</v>
      </c>
      <c r="Q19" s="263">
        <f t="shared" ca="1" si="9"/>
        <v>-1.6960397518009684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9696</v>
      </c>
      <c r="D20" s="263">
        <f t="shared" si="5"/>
        <v>1616</v>
      </c>
      <c r="E20" s="263">
        <f t="shared" si="0"/>
        <v>8080</v>
      </c>
      <c r="F20" s="261"/>
      <c r="G20" s="265">
        <f ca="1">DATA!$D$11/1000000</f>
        <v>0.74391406017000006</v>
      </c>
      <c r="H20" s="265">
        <f>C20*DATA!$D$5/1000000</f>
        <v>10.511676444916318</v>
      </c>
      <c r="I20" s="265">
        <f>(C20*DATA!$D$5*DATA!$D$7)/1000000</f>
        <v>0.23651272001061716</v>
      </c>
      <c r="J20" s="263">
        <f t="shared" ca="1" si="1"/>
        <v>11.492103225096937</v>
      </c>
      <c r="K20" s="261"/>
      <c r="L20" s="263">
        <f>((D20*DATA!$D$23)/1000000)+((E20*DATA!$D$24)/1000000)</f>
        <v>14.007811199999999</v>
      </c>
      <c r="M20" s="263">
        <f t="shared" si="2"/>
        <v>14.007811199999999</v>
      </c>
      <c r="N20" s="263">
        <f t="shared" ca="1" si="6"/>
        <v>2.5157079749030622</v>
      </c>
      <c r="O20" s="262">
        <f>1/(1+'[92]Asumsi I'!$C$3)^(KKF!A20)</f>
        <v>0.22917419012981158</v>
      </c>
      <c r="P20" s="263">
        <f t="shared" ca="1" si="7"/>
        <v>0.57653533775151766</v>
      </c>
      <c r="Q20" s="263">
        <f t="shared" ca="1" si="9"/>
        <v>-1.1195044140494508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9696</v>
      </c>
      <c r="D21" s="263">
        <f t="shared" si="5"/>
        <v>1616</v>
      </c>
      <c r="E21" s="263">
        <f t="shared" si="0"/>
        <v>8080</v>
      </c>
      <c r="F21" s="261"/>
      <c r="G21" s="265">
        <f ca="1">DATA!$D$11/1000000</f>
        <v>0.74391406017000006</v>
      </c>
      <c r="H21" s="265">
        <f>C21*DATA!$D$5/1000000</f>
        <v>10.511676444916318</v>
      </c>
      <c r="I21" s="265">
        <f>(C21*DATA!$D$5*DATA!$D$7)/1000000</f>
        <v>0.23651272001061716</v>
      </c>
      <c r="J21" s="263">
        <f t="shared" ca="1" si="1"/>
        <v>11.492103225096937</v>
      </c>
      <c r="K21" s="261"/>
      <c r="L21" s="263">
        <f>((D21*DATA!$D$23)/1000000)+((E21*DATA!$D$24)/1000000)</f>
        <v>14.007811199999999</v>
      </c>
      <c r="M21" s="263">
        <f t="shared" si="2"/>
        <v>14.007811199999999</v>
      </c>
      <c r="N21" s="263">
        <f t="shared" ca="1" si="6"/>
        <v>2.5157079749030622</v>
      </c>
      <c r="O21" s="262">
        <f>1/(1+'[92]Asumsi I'!$C$3)^(KKF!A21)</f>
        <v>0.20461981261590317</v>
      </c>
      <c r="P21" s="263">
        <f t="shared" ca="1" si="7"/>
        <v>0.51476369442099779</v>
      </c>
      <c r="Q21" s="263">
        <f t="shared" ca="1" si="9"/>
        <v>-0.60474071962845299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9696</v>
      </c>
      <c r="D22" s="263">
        <f t="shared" si="5"/>
        <v>1616</v>
      </c>
      <c r="E22" s="263">
        <f t="shared" si="0"/>
        <v>8080</v>
      </c>
      <c r="F22" s="261"/>
      <c r="G22" s="265">
        <f ca="1">DATA!$D$11/1000000</f>
        <v>0.74391406017000006</v>
      </c>
      <c r="H22" s="265">
        <f>C22*DATA!$D$5/1000000</f>
        <v>10.511676444916318</v>
      </c>
      <c r="I22" s="265">
        <f>(C22*DATA!$D$5*DATA!$D$7)/1000000</f>
        <v>0.23651272001061716</v>
      </c>
      <c r="J22" s="263">
        <f t="shared" ca="1" si="1"/>
        <v>11.492103225096937</v>
      </c>
      <c r="K22" s="261"/>
      <c r="L22" s="263">
        <f>((D22*DATA!$D$23)/1000000)+((E22*DATA!$D$24)/1000000)</f>
        <v>14.007811199999999</v>
      </c>
      <c r="M22" s="263">
        <f t="shared" si="2"/>
        <v>14.007811199999999</v>
      </c>
      <c r="N22" s="263">
        <f t="shared" ca="1" si="6"/>
        <v>2.5157079749030622</v>
      </c>
      <c r="O22" s="262">
        <f>1/(1+'[92]Asumsi I'!$C$3)^(KKF!A22)</f>
        <v>0.18269626126419927</v>
      </c>
      <c r="P22" s="263">
        <f t="shared" ca="1" si="7"/>
        <v>0.4596104414473195</v>
      </c>
      <c r="Q22" s="263">
        <f t="shared" ca="1" si="9"/>
        <v>-0.1451302781811335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9696</v>
      </c>
      <c r="D23" s="263">
        <f t="shared" si="5"/>
        <v>1616</v>
      </c>
      <c r="E23" s="263">
        <f t="shared" si="0"/>
        <v>8080</v>
      </c>
      <c r="F23" s="261"/>
      <c r="G23" s="265">
        <f ca="1">DATA!$D$11/1000000</f>
        <v>0.74391406017000006</v>
      </c>
      <c r="H23" s="265">
        <f>C23*DATA!$D$5/1000000</f>
        <v>10.511676444916318</v>
      </c>
      <c r="I23" s="265">
        <f>(C23*DATA!$D$5*DATA!$D$7)/1000000</f>
        <v>0.23651272001061716</v>
      </c>
      <c r="J23" s="263">
        <f t="shared" ca="1" si="1"/>
        <v>11.492103225096937</v>
      </c>
      <c r="K23" s="261"/>
      <c r="L23" s="263">
        <f>((D23*DATA!$D$23)/1000000)+((E23*DATA!$D$24)/1000000)</f>
        <v>14.007811199999999</v>
      </c>
      <c r="M23" s="263">
        <f t="shared" si="2"/>
        <v>14.007811199999999</v>
      </c>
      <c r="N23" s="263">
        <f t="shared" ca="1" si="6"/>
        <v>2.5157079749030622</v>
      </c>
      <c r="O23" s="262">
        <f>1/(1+'[92]Asumsi I'!$C$3)^(KKF!A23)</f>
        <v>0.16312166184303503</v>
      </c>
      <c r="P23" s="263">
        <f t="shared" ca="1" si="7"/>
        <v>0.41036646557796375</v>
      </c>
      <c r="Q23" s="263">
        <f t="shared" ca="1" si="9"/>
        <v>0.26523618739683025</v>
      </c>
      <c r="S23" s="251" t="str">
        <f t="shared" ca="1" si="3"/>
        <v/>
      </c>
      <c r="T23" s="267">
        <f t="shared" ca="1" si="10"/>
        <v>15.894567974485572</v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9696</v>
      </c>
      <c r="D24" s="263">
        <f t="shared" si="5"/>
        <v>1616</v>
      </c>
      <c r="E24" s="263">
        <f t="shared" si="0"/>
        <v>8080</v>
      </c>
      <c r="F24" s="261"/>
      <c r="G24" s="265">
        <f ca="1">DATA!$D$11/1000000</f>
        <v>0.74391406017000006</v>
      </c>
      <c r="H24" s="265">
        <f>C24*DATA!$D$5/1000000</f>
        <v>10.511676444916318</v>
      </c>
      <c r="I24" s="265">
        <f>(C24*DATA!$D$5*DATA!$D$7)/1000000</f>
        <v>0.23651272001061716</v>
      </c>
      <c r="J24" s="263">
        <f t="shared" ca="1" si="1"/>
        <v>11.492103225096937</v>
      </c>
      <c r="K24" s="261"/>
      <c r="L24" s="263">
        <f>((D24*DATA!$D$23)/1000000)+((E24*DATA!$D$24)/1000000)</f>
        <v>14.007811199999999</v>
      </c>
      <c r="M24" s="263">
        <f t="shared" si="2"/>
        <v>14.007811199999999</v>
      </c>
      <c r="N24" s="263">
        <f t="shared" ca="1" si="6"/>
        <v>2.5157079749030622</v>
      </c>
      <c r="O24" s="262">
        <f>1/(1+'[92]Asumsi I'!$C$3)^(KKF!A24)</f>
        <v>0.14564434093128129</v>
      </c>
      <c r="P24" s="263">
        <f t="shared" ca="1" si="7"/>
        <v>0.3663986299803248</v>
      </c>
      <c r="Q24" s="263">
        <f t="shared" ca="1" si="9"/>
        <v>0.6316348173771551</v>
      </c>
      <c r="S24" s="251" t="str">
        <f t="shared" ca="1" si="3"/>
        <v/>
      </c>
      <c r="T24" s="267">
        <f t="shared" ca="1" si="10"/>
        <v>16.748923633554291</v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9696</v>
      </c>
      <c r="D25" s="263">
        <f t="shared" si="5"/>
        <v>1616</v>
      </c>
      <c r="E25" s="263">
        <f t="shared" si="0"/>
        <v>8080</v>
      </c>
      <c r="F25" s="261"/>
      <c r="G25" s="265">
        <f ca="1">DATA!$D$11/1000000</f>
        <v>0.74391406017000006</v>
      </c>
      <c r="H25" s="265">
        <f>C25*DATA!$D$5/1000000</f>
        <v>10.511676444916318</v>
      </c>
      <c r="I25" s="265">
        <f>(C25*DATA!$D$5*DATA!$D$7)/1000000</f>
        <v>0.23651272001061716</v>
      </c>
      <c r="J25" s="263">
        <f t="shared" ca="1" si="1"/>
        <v>11.492103225096937</v>
      </c>
      <c r="K25" s="261"/>
      <c r="L25" s="263">
        <f>((D25*DATA!$D$23)/1000000)+((E25*DATA!$D$24)/1000000)</f>
        <v>14.007811199999999</v>
      </c>
      <c r="M25" s="263">
        <f t="shared" si="2"/>
        <v>14.007811199999999</v>
      </c>
      <c r="N25" s="263">
        <f t="shared" ca="1" si="6"/>
        <v>2.5157079749030622</v>
      </c>
      <c r="O25" s="262">
        <f>1/(1+'[92]Asumsi I'!$C$3)^(KKF!A25)</f>
        <v>0.13003959011721541</v>
      </c>
      <c r="P25" s="263">
        <f t="shared" ca="1" si="7"/>
        <v>0.32714163391100426</v>
      </c>
      <c r="Q25" s="263">
        <f t="shared" ca="1" si="9"/>
        <v>0.95877645128815936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9696</v>
      </c>
      <c r="D26" s="263">
        <f t="shared" si="5"/>
        <v>1616</v>
      </c>
      <c r="E26" s="263">
        <f t="shared" si="0"/>
        <v>8080</v>
      </c>
      <c r="F26" s="261"/>
      <c r="G26" s="265">
        <f ca="1">DATA!$D$11/1000000</f>
        <v>0.74391406017000006</v>
      </c>
      <c r="H26" s="265">
        <f>C26*DATA!$D$5/1000000</f>
        <v>10.511676444916318</v>
      </c>
      <c r="I26" s="265">
        <f>(C26*DATA!$D$5*DATA!$D$7)/1000000</f>
        <v>0.23651272001061716</v>
      </c>
      <c r="J26" s="263">
        <f t="shared" ca="1" si="1"/>
        <v>11.492103225096937</v>
      </c>
      <c r="K26" s="261"/>
      <c r="L26" s="263">
        <f>((D26*DATA!$D$23)/1000000)+((E26*DATA!$D$24)/1000000)</f>
        <v>14.007811199999999</v>
      </c>
      <c r="M26" s="263">
        <f t="shared" si="2"/>
        <v>14.007811199999999</v>
      </c>
      <c r="N26" s="263">
        <f t="shared" ca="1" si="6"/>
        <v>2.5157079749030622</v>
      </c>
      <c r="O26" s="262">
        <f>1/(1+'[92]Asumsi I'!$C$3)^(KKF!A26)</f>
        <v>0.1161067768903709</v>
      </c>
      <c r="P26" s="263">
        <f t="shared" ca="1" si="7"/>
        <v>0.29209074456339662</v>
      </c>
      <c r="Q26" s="263">
        <f t="shared" ca="1" si="9"/>
        <v>1.250867195851556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9696</v>
      </c>
      <c r="D27" s="263">
        <f t="shared" si="5"/>
        <v>1616</v>
      </c>
      <c r="E27" s="263">
        <f t="shared" si="0"/>
        <v>8080</v>
      </c>
      <c r="F27" s="261"/>
      <c r="G27" s="265">
        <f ca="1">DATA!$D$11/1000000</f>
        <v>0.74391406017000006</v>
      </c>
      <c r="H27" s="265">
        <f>C27*DATA!$D$5/1000000</f>
        <v>10.511676444916318</v>
      </c>
      <c r="I27" s="265">
        <f>(C27*DATA!$D$5*DATA!$D$7)/1000000</f>
        <v>0.23651272001061716</v>
      </c>
      <c r="J27" s="263">
        <f t="shared" ca="1" si="1"/>
        <v>11.492103225096937</v>
      </c>
      <c r="K27" s="261"/>
      <c r="L27" s="263">
        <f>((D27*DATA!$D$23)/1000000)+((E27*DATA!$D$24)/1000000)</f>
        <v>14.007811199999999</v>
      </c>
      <c r="M27" s="263">
        <f t="shared" si="2"/>
        <v>14.007811199999999</v>
      </c>
      <c r="N27" s="263">
        <f t="shared" ca="1" si="6"/>
        <v>2.5157079749030622</v>
      </c>
      <c r="O27" s="262">
        <f>1/(1+'[92]Asumsi I'!$C$3)^(KKF!A27)</f>
        <v>0.1036667650806883</v>
      </c>
      <c r="P27" s="263">
        <f t="shared" ca="1" si="7"/>
        <v>0.26079530764588982</v>
      </c>
      <c r="Q27" s="263">
        <f t="shared" ca="1" si="9"/>
        <v>1.5116625034974458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9696</v>
      </c>
      <c r="D28" s="263">
        <f t="shared" si="5"/>
        <v>1616</v>
      </c>
      <c r="E28" s="263">
        <f t="shared" si="0"/>
        <v>8080</v>
      </c>
      <c r="F28" s="261"/>
      <c r="G28" s="265">
        <f ca="1">DATA!$D$11/1000000</f>
        <v>0.74391406017000006</v>
      </c>
      <c r="H28" s="265">
        <f>C28*DATA!$D$5/1000000</f>
        <v>10.511676444916318</v>
      </c>
      <c r="I28" s="265">
        <f>(C28*DATA!$D$5*DATA!$D$7)/1000000</f>
        <v>0.23651272001061716</v>
      </c>
      <c r="J28" s="263">
        <f t="shared" ca="1" si="1"/>
        <v>11.492103225096937</v>
      </c>
      <c r="K28" s="261"/>
      <c r="L28" s="263">
        <f>((D28*DATA!$D$23)/1000000)+((E28*DATA!$D$24)/1000000)</f>
        <v>14.007811199999999</v>
      </c>
      <c r="M28" s="263">
        <f t="shared" si="2"/>
        <v>14.007811199999999</v>
      </c>
      <c r="N28" s="263">
        <f t="shared" ca="1" si="6"/>
        <v>2.5157079749030622</v>
      </c>
      <c r="O28" s="262">
        <f>1/(1+'[92]Asumsi I'!$C$3)^(KKF!A28)</f>
        <v>9.2559611679185971E-2</v>
      </c>
      <c r="P28" s="263">
        <f t="shared" ca="1" si="7"/>
        <v>0.23285295325525876</v>
      </c>
      <c r="Q28" s="263">
        <f t="shared" ca="1" si="9"/>
        <v>1.7445154567527046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9696</v>
      </c>
      <c r="D29" s="263">
        <f t="shared" si="5"/>
        <v>1616</v>
      </c>
      <c r="E29" s="263">
        <f t="shared" si="0"/>
        <v>8080</v>
      </c>
      <c r="F29" s="261"/>
      <c r="G29" s="265">
        <f ca="1">DATA!$D$11/1000000</f>
        <v>0.74391406017000006</v>
      </c>
      <c r="H29" s="265">
        <f>C29*DATA!$D$5/1000000</f>
        <v>10.511676444916318</v>
      </c>
      <c r="I29" s="265">
        <f>(C29*DATA!$D$5*DATA!$D$7)/1000000</f>
        <v>0.23651272001061716</v>
      </c>
      <c r="J29" s="263">
        <f t="shared" ca="1" si="1"/>
        <v>11.492103225096937</v>
      </c>
      <c r="K29" s="261"/>
      <c r="L29" s="263">
        <f>((D29*DATA!$D$23)/1000000)+((E29*DATA!$D$24)/1000000)</f>
        <v>14.007811199999999</v>
      </c>
      <c r="M29" s="263">
        <f t="shared" si="2"/>
        <v>14.007811199999999</v>
      </c>
      <c r="N29" s="263">
        <f t="shared" ca="1" si="6"/>
        <v>2.5157079749030622</v>
      </c>
      <c r="O29" s="262">
        <f>1/(1+'[92]Asumsi I'!$C$3)^(KKF!A29)</f>
        <v>8.2642510427844609E-2</v>
      </c>
      <c r="P29" s="263">
        <f t="shared" ca="1" si="7"/>
        <v>0.20790442254933816</v>
      </c>
      <c r="Q29" s="263">
        <f t="shared" ca="1" si="9"/>
        <v>1.9524198793020426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9696</v>
      </c>
      <c r="D30" s="263">
        <f t="shared" si="5"/>
        <v>1616</v>
      </c>
      <c r="E30" s="263">
        <f t="shared" si="0"/>
        <v>8080</v>
      </c>
      <c r="F30" s="261"/>
      <c r="G30" s="265">
        <f ca="1">DATA!$D$11/1000000</f>
        <v>0.74391406017000006</v>
      </c>
      <c r="H30" s="265">
        <f>C30*DATA!$D$5/1000000</f>
        <v>10.511676444916318</v>
      </c>
      <c r="I30" s="265">
        <f>(C30*DATA!$D$5*DATA!$D$7)/1000000</f>
        <v>0.23651272001061716</v>
      </c>
      <c r="J30" s="263">
        <f t="shared" ca="1" si="1"/>
        <v>11.492103225096937</v>
      </c>
      <c r="K30" s="261"/>
      <c r="L30" s="263">
        <f>((D30*DATA!$D$23)/1000000)+((E30*DATA!$D$24)/1000000)</f>
        <v>14.007811199999999</v>
      </c>
      <c r="M30" s="263">
        <f t="shared" si="2"/>
        <v>14.007811199999999</v>
      </c>
      <c r="N30" s="263">
        <f t="shared" ca="1" si="6"/>
        <v>2.5157079749030622</v>
      </c>
      <c r="O30" s="262">
        <f>1/(1+'[92]Asumsi I'!$C$3)^(KKF!A30)</f>
        <v>7.3787955739146982E-2</v>
      </c>
      <c r="P30" s="263">
        <f t="shared" ca="1" si="7"/>
        <v>0.18562894870476623</v>
      </c>
      <c r="Q30" s="263">
        <f t="shared" ca="1" si="9"/>
        <v>2.1380488280068088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9696</v>
      </c>
      <c r="D31" s="263">
        <f t="shared" si="5"/>
        <v>1616</v>
      </c>
      <c r="E31" s="263">
        <f t="shared" si="0"/>
        <v>8080</v>
      </c>
      <c r="F31" s="261"/>
      <c r="G31" s="265">
        <f ca="1">DATA!$D$11/1000000</f>
        <v>0.74391406017000006</v>
      </c>
      <c r="H31" s="265">
        <f>C31*DATA!$D$5/1000000</f>
        <v>10.511676444916318</v>
      </c>
      <c r="I31" s="265">
        <f>(C31*DATA!$D$5*DATA!$D$7)/1000000</f>
        <v>0.23651272001061716</v>
      </c>
      <c r="J31" s="263">
        <f t="shared" ca="1" si="1"/>
        <v>11.492103225096937</v>
      </c>
      <c r="K31" s="261"/>
      <c r="L31" s="263">
        <f>((D31*DATA!$D$23)/1000000)+((E31*DATA!$D$24)/1000000)</f>
        <v>14.007811199999999</v>
      </c>
      <c r="M31" s="263">
        <f t="shared" si="2"/>
        <v>14.007811199999999</v>
      </c>
      <c r="N31" s="263">
        <f t="shared" ca="1" si="6"/>
        <v>2.5157079749030622</v>
      </c>
      <c r="O31" s="262">
        <f>1/(1+'[92]Asumsi I'!$C$3)^(KKF!A31)</f>
        <v>6.5882103338524081E-2</v>
      </c>
      <c r="P31" s="263">
        <f t="shared" ca="1" si="7"/>
        <v>0.16574013277211269</v>
      </c>
      <c r="Q31" s="263">
        <f ca="1">Q30+P31</f>
        <v>2.3037889607789217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9696</v>
      </c>
      <c r="D32" s="263">
        <f t="shared" si="5"/>
        <v>1616</v>
      </c>
      <c r="E32" s="263">
        <f t="shared" si="0"/>
        <v>8080</v>
      </c>
      <c r="F32" s="261"/>
      <c r="G32" s="265">
        <f ca="1">DATA!$D$11/1000000</f>
        <v>0.74391406017000006</v>
      </c>
      <c r="H32" s="265">
        <f>C32*DATA!$D$5/1000000</f>
        <v>10.511676444916318</v>
      </c>
      <c r="I32" s="265">
        <f>(C32*DATA!$D$5*DATA!$D$7)/1000000</f>
        <v>0.23651272001061716</v>
      </c>
      <c r="J32" s="263">
        <f t="shared" ca="1" si="1"/>
        <v>11.492103225096937</v>
      </c>
      <c r="K32" s="261"/>
      <c r="L32" s="263">
        <f>((D32*DATA!$D$23)/1000000)+((E32*DATA!$D$24)/1000000)</f>
        <v>14.007811199999999</v>
      </c>
      <c r="M32" s="263">
        <f t="shared" si="2"/>
        <v>14.007811199999999</v>
      </c>
      <c r="N32" s="263">
        <f t="shared" ca="1" si="6"/>
        <v>2.5157079749030622</v>
      </c>
      <c r="O32" s="262">
        <f>1/(1+'[92]Asumsi I'!$C$3)^(KKF!A32)</f>
        <v>5.8823306552253637E-2</v>
      </c>
      <c r="P32" s="263">
        <f t="shared" ca="1" si="7"/>
        <v>0.14798226140367202</v>
      </c>
      <c r="Q32" s="263">
        <f ca="1">Q31+P32</f>
        <v>2.4517712221825936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7" t="s">
        <v>1373</v>
      </c>
      <c r="G33" s="617"/>
      <c r="H33" s="617"/>
      <c r="I33" s="271"/>
      <c r="J33" s="272">
        <f ca="1">SUM(J7:J32)</f>
        <v>328.82492741773564</v>
      </c>
      <c r="K33" s="617" t="s">
        <v>1374</v>
      </c>
      <c r="L33" s="617"/>
      <c r="M33" s="272">
        <f>SUM(M7:M32)</f>
        <v>374.43835039999982</v>
      </c>
      <c r="N33" s="270"/>
      <c r="O33" s="270"/>
      <c r="P33" s="273"/>
      <c r="Q33" s="273"/>
      <c r="S33" s="251">
        <f ca="1">COUNTIF(S7:S32,"a")</f>
        <v>16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16.505233200571418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16.321745804019933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1.1387164389891811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2.1890814483773124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0.14010135506505383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44" activePane="bottomLeft" state="frozen"/>
      <selection activeCell="H1093" sqref="H1093"/>
      <selection pane="bottomLeft" activeCell="F66" sqref="F6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0" t="s">
        <v>1036</v>
      </c>
      <c r="P3" s="620"/>
      <c r="Q3" s="293"/>
      <c r="T3" s="291"/>
      <c r="U3" s="292" t="s">
        <v>1041</v>
      </c>
      <c r="V3" s="291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7" t="s">
        <v>1635</v>
      </c>
      <c r="H6" s="638"/>
      <c r="I6" s="638"/>
      <c r="J6" s="638"/>
      <c r="K6" s="63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1636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3" t="s">
        <v>0</v>
      </c>
      <c r="C11" s="625" t="s">
        <v>1</v>
      </c>
      <c r="D11" s="628" t="s">
        <v>42</v>
      </c>
      <c r="E11" s="628" t="s">
        <v>43</v>
      </c>
      <c r="F11" s="628" t="s">
        <v>2</v>
      </c>
      <c r="G11" s="630" t="s">
        <v>41</v>
      </c>
      <c r="H11" s="628" t="s">
        <v>3</v>
      </c>
      <c r="I11" s="628"/>
      <c r="J11" s="628"/>
      <c r="K11" s="64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4"/>
      <c r="C12" s="626"/>
      <c r="D12" s="629"/>
      <c r="E12" s="629"/>
      <c r="F12" s="629"/>
      <c r="G12" s="631"/>
      <c r="H12" s="633" t="s">
        <v>46</v>
      </c>
      <c r="I12" s="633" t="s">
        <v>5</v>
      </c>
      <c r="J12" s="629" t="s">
        <v>47</v>
      </c>
      <c r="K12" s="64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4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10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10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1634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21">
        <v>2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23">
        <v>1</v>
      </c>
      <c r="C72" s="109" t="s">
        <v>482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21">
        <f>F71*1</f>
        <v>2</v>
      </c>
      <c r="G72" s="307">
        <f ca="1">IF(ISERROR(OFFSET('HARGA SATUAN'!$I$6,MATCH(RAB!C72,'HARGA SATUAN'!$C$7:$C$1495,0),0)),0,OFFSET('HARGA SATUAN'!$I$6,MATCH(RAB!C72,'HARGA SATUAN'!$C$7:$C$1495,0),0))</f>
        <v>327600</v>
      </c>
      <c r="H72" s="308">
        <f t="shared" ca="1" si="27"/>
        <v>655200</v>
      </c>
      <c r="I72" s="308">
        <f t="shared" ca="1" si="28"/>
        <v>0</v>
      </c>
      <c r="J72" s="308">
        <f t="shared" ca="1" si="29"/>
        <v>0</v>
      </c>
      <c r="K72" s="309">
        <f t="shared" ca="1" si="30"/>
        <v>655200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23">
        <v>2</v>
      </c>
      <c r="C73" s="724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21">
        <f>F71*1</f>
        <v>2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78000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78000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23">
        <v>3</v>
      </c>
      <c r="C74" s="724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21">
        <v>90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594000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594000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23">
        <v>4</v>
      </c>
      <c r="C75" s="724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21">
        <f>F71*1</f>
        <v>2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108800</v>
      </c>
      <c r="K75" s="309">
        <f t="shared" ca="1" si="30"/>
        <v>108800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9"/>
      <c r="C76" s="520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21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>
        <v>1</v>
      </c>
      <c r="C78" s="109" t="s">
        <v>981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515">
        <v>2</v>
      </c>
      <c r="G78" s="307">
        <f ca="1">IF(ISERROR(OFFSET('HARGA SATUAN'!$I$6,MATCH(RAB!C78,'HARGA SATUAN'!$C$7:$C$1495,0),0)),0,OFFSET('HARGA SATUAN'!$I$6,MATCH(RAB!C78,'HARGA SATUAN'!$C$7:$C$1495,0),0))</f>
        <v>32640</v>
      </c>
      <c r="H78" s="308">
        <f t="shared" ca="1" si="31"/>
        <v>0</v>
      </c>
      <c r="I78" s="308">
        <f t="shared" ca="1" si="32"/>
        <v>0</v>
      </c>
      <c r="J78" s="308">
        <f t="shared" ca="1" si="33"/>
        <v>65280</v>
      </c>
      <c r="K78" s="309">
        <f t="shared" ca="1" si="34"/>
        <v>65280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732690</v>
      </c>
      <c r="I81" s="331">
        <f ca="1">SUM(I14:I80)*G81</f>
        <v>68336.350000000006</v>
      </c>
      <c r="J81" s="331">
        <f ca="1">SUM(J14:J80)*G81</f>
        <v>16282</v>
      </c>
      <c r="K81" s="331">
        <f ca="1">SUM(K14:K80)*G81</f>
        <v>817308.35000000009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22" t="s">
        <v>1008</v>
      </c>
      <c r="D84" s="622"/>
      <c r="E84" s="622"/>
      <c r="F84" s="622"/>
      <c r="G84" s="341" t="s">
        <v>9</v>
      </c>
      <c r="H84" s="342">
        <f ca="1">SUM(H14:H82)</f>
        <v>30040290</v>
      </c>
      <c r="I84" s="342">
        <f ca="1">SUM(I14:I82)</f>
        <v>2801790.35</v>
      </c>
      <c r="J84" s="342">
        <f ca="1">SUM(J14:J82)</f>
        <v>667562</v>
      </c>
      <c r="K84" s="342">
        <f ca="1">SUM(K14:K82)</f>
        <v>33509642.350000001</v>
      </c>
    </row>
    <row r="85" spans="2:13">
      <c r="B85" s="343"/>
      <c r="C85" s="639" t="s">
        <v>1455</v>
      </c>
      <c r="D85" s="639"/>
      <c r="E85" s="639"/>
      <c r="F85" s="639"/>
      <c r="G85" s="344" t="s">
        <v>9</v>
      </c>
      <c r="H85" s="345">
        <f ca="1">H84*0.11</f>
        <v>3304431.9</v>
      </c>
      <c r="I85" s="345">
        <f ca="1">I84*0.11</f>
        <v>308196.93849999999</v>
      </c>
      <c r="J85" s="345">
        <f ca="1">J84*0.11</f>
        <v>73431.820000000007</v>
      </c>
      <c r="K85" s="345">
        <f ca="1">K84*0.11</f>
        <v>3686060.6585000004</v>
      </c>
    </row>
    <row r="86" spans="2:13" ht="15.75" thickBot="1">
      <c r="B86" s="343"/>
      <c r="C86" s="636" t="s">
        <v>463</v>
      </c>
      <c r="D86" s="636"/>
      <c r="E86" s="636"/>
      <c r="F86" s="636"/>
      <c r="G86" s="346" t="s">
        <v>9</v>
      </c>
      <c r="H86" s="347">
        <f ca="1">SUM(H84:H85)</f>
        <v>33344721.899999999</v>
      </c>
      <c r="I86" s="347">
        <f ca="1">SUM(I84:I85)</f>
        <v>3109987.2885000003</v>
      </c>
      <c r="J86" s="346">
        <f ca="1">SUM(J84:J85)</f>
        <v>740993.82000000007</v>
      </c>
      <c r="K86" s="346">
        <f ca="1">SUM(K84:K85)</f>
        <v>37195703.008500002</v>
      </c>
      <c r="M86" s="411">
        <v>201265205.30690998</v>
      </c>
    </row>
    <row r="87" spans="2:13">
      <c r="B87" s="640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Seratus Sembilan Puluh Lima Ribu Tujuh Ratus Tiga Rupiah</v>
      </c>
      <c r="C87" s="641"/>
      <c r="D87" s="641"/>
      <c r="E87" s="641"/>
      <c r="F87" s="641"/>
      <c r="G87" s="641"/>
      <c r="H87" s="641"/>
      <c r="I87" s="641"/>
      <c r="J87" s="641"/>
      <c r="K87" s="642"/>
    </row>
    <row r="88" spans="2:13">
      <c r="B88" s="643"/>
      <c r="C88" s="644"/>
      <c r="D88" s="644"/>
      <c r="E88" s="644"/>
      <c r="F88" s="644"/>
      <c r="G88" s="644"/>
      <c r="H88" s="644"/>
      <c r="I88" s="644"/>
      <c r="J88" s="644"/>
      <c r="K88" s="645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46"/>
      <c r="I91" s="646"/>
      <c r="J91" s="647"/>
      <c r="K91" s="647"/>
    </row>
    <row r="92" spans="2:13">
      <c r="C92" s="284"/>
      <c r="E92" s="355"/>
      <c r="F92" s="355"/>
      <c r="G92" s="355"/>
      <c r="H92" s="356"/>
      <c r="I92" s="635" t="s">
        <v>1620</v>
      </c>
      <c r="J92" s="635"/>
      <c r="K92" s="635"/>
    </row>
    <row r="93" spans="2:13">
      <c r="C93" s="284"/>
      <c r="E93" s="355"/>
      <c r="F93" s="355"/>
      <c r="G93" s="355"/>
      <c r="H93" s="356"/>
      <c r="I93" s="635" t="s">
        <v>1611</v>
      </c>
      <c r="J93" s="635"/>
      <c r="K93" s="635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35" t="s">
        <v>1612</v>
      </c>
      <c r="J98" s="635"/>
      <c r="K98" s="635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9" name="Range1_6_1_10"/>
    <protectedRange sqref="B71:C71 B78 B73:C74 B72 B76:C77 B75" name="Range1_6_1_11"/>
    <protectedRange sqref="C72" name="Range1_1_3_3"/>
    <protectedRange sqref="C67" name="Range1_1_3_4"/>
    <protectedRange sqref="C68" name="Range1_1_3_5"/>
    <protectedRange sqref="C75" name="Range1_1_3_6"/>
    <protectedRange sqref="C78" name="Range1_1_3_7"/>
  </protectedRanges>
  <mergeCells count="22"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C15">
    <cfRule type="cellIs" dxfId="10" priority="66" operator="equal">
      <formula>0</formula>
    </cfRule>
  </conditionalFormatting>
  <conditionalFormatting sqref="C17:C18">
    <cfRule type="cellIs" dxfId="9" priority="27" operator="equal">
      <formula>0</formula>
    </cfRule>
  </conditionalFormatting>
  <conditionalFormatting sqref="C67:C68">
    <cfRule type="cellIs" dxfId="8" priority="8" operator="equal">
      <formula>0</formula>
    </cfRule>
  </conditionalFormatting>
  <conditionalFormatting sqref="E1:E3 E5:E13 H12:I12 O13 S14:V78 E81:G81 H81:K83 E82:H82 E83:F83">
    <cfRule type="cellIs" dxfId="5" priority="1110" stopIfTrue="1" operator="equal">
      <formula>0</formula>
    </cfRule>
  </conditionalFormatting>
  <conditionalFormatting sqref="E14:K80">
    <cfRule type="cellIs" dxfId="4" priority="3" stopIfTrue="1" operator="equal">
      <formula>0</formula>
    </cfRule>
  </conditionalFormatting>
  <conditionalFormatting sqref="G1:G13">
    <cfRule type="cellIs" dxfId="3" priority="35" stopIfTrue="1" operator="equal">
      <formula>0</formula>
    </cfRule>
  </conditionalFormatting>
  <conditionalFormatting sqref="G82:G65548 E87:E65548">
    <cfRule type="cellIs" dxfId="2" priority="244" stopIfTrue="1" operator="equal">
      <formula>0</formula>
    </cfRule>
  </conditionalFormatting>
  <conditionalFormatting sqref="C72">
    <cfRule type="cellIs" dxfId="1" priority="2" operator="equal">
      <formula>0</formula>
    </cfRule>
  </conditionalFormatting>
  <conditionalFormatting sqref="C7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13" zoomScaleNormal="100" zoomScaleSheetLayoutView="100" workbookViewId="0">
      <selection activeCell="U48" sqref="U48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68"/>
      <c r="W3" s="653"/>
      <c r="X3" s="654"/>
      <c r="Y3" s="654"/>
      <c r="Z3" s="654"/>
      <c r="AA3" s="654"/>
      <c r="AB3" s="654"/>
      <c r="AC3" s="654"/>
      <c r="AD3" s="655"/>
    </row>
    <row r="4" spans="3:30">
      <c r="C4" s="468"/>
      <c r="F4" s="469" t="s">
        <v>1630</v>
      </c>
      <c r="G4" s="469"/>
      <c r="W4" s="470" t="s">
        <v>987</v>
      </c>
      <c r="AD4" s="471"/>
    </row>
    <row r="5" spans="3:30">
      <c r="C5" s="468"/>
      <c r="W5" s="472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68"/>
      <c r="W6" s="472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68"/>
      <c r="W7" s="472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68"/>
      <c r="W8" s="472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68"/>
      <c r="W9" s="472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68"/>
      <c r="W10" s="472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68"/>
      <c r="W11" s="472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68"/>
      <c r="W12" s="472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68"/>
      <c r="W13" s="472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68"/>
      <c r="W14" s="472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68"/>
      <c r="W15" s="472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68"/>
      <c r="W16" s="472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68"/>
      <c r="S17" s="474"/>
      <c r="W17" s="472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5"/>
      <c r="D18" s="476"/>
      <c r="E18" s="476"/>
      <c r="W18" s="472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68"/>
      <c r="W19" s="477"/>
      <c r="X19" s="666"/>
      <c r="Y19" s="666"/>
      <c r="Z19" s="666"/>
      <c r="AA19" s="666"/>
      <c r="AB19" s="666"/>
      <c r="AC19" s="666"/>
      <c r="AD19" s="667"/>
    </row>
    <row r="20" spans="3:30">
      <c r="C20" s="468"/>
      <c r="Q20" s="478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68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68"/>
      <c r="S22" s="479"/>
      <c r="W22" s="658" t="s">
        <v>1613</v>
      </c>
      <c r="X22" s="659"/>
      <c r="Y22" s="480" t="s">
        <v>1621</v>
      </c>
      <c r="Z22" s="481">
        <v>2</v>
      </c>
      <c r="AA22" s="660" t="s">
        <v>1632</v>
      </c>
      <c r="AB22" s="661"/>
      <c r="AC22" s="482" t="s">
        <v>1621</v>
      </c>
      <c r="AD22" s="483">
        <v>2</v>
      </c>
    </row>
    <row r="23" spans="3:30">
      <c r="C23" s="468"/>
      <c r="W23" s="658" t="s">
        <v>1626</v>
      </c>
      <c r="X23" s="659"/>
      <c r="Y23" s="480" t="s">
        <v>1621</v>
      </c>
      <c r="Z23" s="481">
        <v>1</v>
      </c>
      <c r="AA23" s="662"/>
      <c r="AB23" s="663"/>
      <c r="AC23" s="482"/>
      <c r="AD23" s="483"/>
    </row>
    <row r="24" spans="3:30">
      <c r="C24" s="468"/>
      <c r="N24" s="479"/>
      <c r="W24" s="658" t="s">
        <v>1631</v>
      </c>
      <c r="X24" s="659"/>
      <c r="Y24" s="480" t="s">
        <v>1621</v>
      </c>
      <c r="Z24" s="481">
        <v>2</v>
      </c>
      <c r="AA24" s="664"/>
      <c r="AB24" s="665"/>
      <c r="AC24" s="482"/>
      <c r="AD24" s="483"/>
    </row>
    <row r="25" spans="3:30">
      <c r="C25" s="468"/>
      <c r="W25" s="658"/>
      <c r="X25" s="659"/>
      <c r="Y25" s="480"/>
      <c r="Z25" s="481"/>
      <c r="AA25" s="662"/>
      <c r="AB25" s="663"/>
      <c r="AC25" s="482"/>
      <c r="AD25" s="483"/>
    </row>
    <row r="26" spans="3:30">
      <c r="C26" s="468"/>
      <c r="W26" s="679"/>
      <c r="X26" s="680"/>
      <c r="Y26" s="480"/>
      <c r="Z26" s="481"/>
      <c r="AA26" s="662"/>
      <c r="AB26" s="663"/>
      <c r="AC26" s="482"/>
      <c r="AD26" s="483"/>
    </row>
    <row r="27" spans="3:30">
      <c r="C27" s="468"/>
      <c r="W27" s="679"/>
      <c r="X27" s="680"/>
      <c r="Y27" s="480"/>
      <c r="Z27" s="481"/>
      <c r="AA27" s="662"/>
      <c r="AB27" s="663"/>
      <c r="AC27" s="482"/>
      <c r="AD27" s="483"/>
    </row>
    <row r="28" spans="3:30">
      <c r="C28" s="468"/>
      <c r="W28" s="677"/>
      <c r="X28" s="678"/>
      <c r="Y28" s="480"/>
      <c r="Z28" s="481"/>
      <c r="AA28" s="662"/>
      <c r="AB28" s="663"/>
      <c r="AC28" s="482"/>
      <c r="AD28" s="483"/>
    </row>
    <row r="29" spans="3:30">
      <c r="C29" s="468"/>
      <c r="W29" s="679"/>
      <c r="X29" s="680"/>
      <c r="Y29" s="480"/>
      <c r="Z29" s="481"/>
      <c r="AA29" s="662"/>
      <c r="AB29" s="663"/>
      <c r="AC29" s="482"/>
      <c r="AD29" s="483"/>
    </row>
    <row r="30" spans="3:30" ht="11.25" customHeight="1">
      <c r="C30" s="468"/>
      <c r="W30" s="677"/>
      <c r="X30" s="678"/>
      <c r="Y30" s="480"/>
      <c r="Z30" s="481"/>
      <c r="AA30" s="662"/>
      <c r="AB30" s="663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62"/>
      <c r="AB31" s="663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62"/>
      <c r="AB32" s="663"/>
      <c r="AC32" s="482"/>
      <c r="AD32" s="483"/>
    </row>
    <row r="33" spans="3:30">
      <c r="C33" s="468"/>
      <c r="W33" s="677"/>
      <c r="X33" s="678"/>
      <c r="Y33" s="480"/>
      <c r="Z33" s="481"/>
      <c r="AA33" s="662"/>
      <c r="AB33" s="663"/>
      <c r="AC33" s="482"/>
      <c r="AD33" s="483"/>
    </row>
    <row r="34" spans="3:30">
      <c r="C34" s="468"/>
      <c r="Q34" s="465" t="s">
        <v>1607</v>
      </c>
      <c r="W34" s="677"/>
      <c r="X34" s="678"/>
      <c r="Y34" s="480"/>
      <c r="Z34" s="481"/>
      <c r="AA34" s="662"/>
      <c r="AB34" s="663"/>
      <c r="AC34" s="482"/>
      <c r="AD34" s="483"/>
    </row>
    <row r="35" spans="3:30">
      <c r="C35" s="468"/>
      <c r="W35" s="677"/>
      <c r="X35" s="678"/>
      <c r="Y35" s="480"/>
      <c r="Z35" s="481"/>
      <c r="AA35" s="662"/>
      <c r="AB35" s="663"/>
      <c r="AC35" s="482"/>
      <c r="AD35" s="483"/>
    </row>
    <row r="36" spans="3:30">
      <c r="C36" s="468"/>
      <c r="W36" s="677"/>
      <c r="X36" s="678"/>
      <c r="Y36" s="480"/>
      <c r="Z36" s="481"/>
      <c r="AA36" s="662"/>
      <c r="AB36" s="663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1"/>
      <c r="AB37" s="682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3"/>
      <c r="AB38" s="684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88"/>
      <c r="AB39" s="689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90"/>
      <c r="X41" s="691"/>
      <c r="Y41" s="501"/>
      <c r="Z41" s="502"/>
      <c r="AA41" s="692"/>
      <c r="AB41" s="693"/>
      <c r="AC41" s="499"/>
      <c r="AD41" s="500"/>
    </row>
    <row r="42" spans="3:30" ht="12" customHeight="1">
      <c r="C42" s="468"/>
      <c r="W42" s="694" t="s">
        <v>1627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68"/>
      <c r="V43" s="503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707" t="s">
        <v>1633</v>
      </c>
      <c r="X48" s="707"/>
      <c r="Y48" s="707"/>
      <c r="Z48" s="707"/>
      <c r="AA48" s="707"/>
      <c r="AB48" s="707"/>
      <c r="AC48" s="707"/>
      <c r="AD48" s="708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700" t="s">
        <v>18</v>
      </c>
      <c r="X52" s="686"/>
      <c r="Y52" s="656" t="s">
        <v>1625</v>
      </c>
      <c r="Z52" s="656"/>
      <c r="AA52" s="656"/>
      <c r="AB52" s="656"/>
      <c r="AC52" s="656"/>
      <c r="AD52" s="657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700" t="s">
        <v>19</v>
      </c>
      <c r="X53" s="686"/>
      <c r="Y53" s="656" t="s">
        <v>1624</v>
      </c>
      <c r="Z53" s="656"/>
      <c r="AA53" s="656"/>
      <c r="AB53" s="656"/>
      <c r="AC53" s="656"/>
      <c r="AD53" s="657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700" t="s">
        <v>20</v>
      </c>
      <c r="X54" s="686"/>
      <c r="Y54" s="656" t="s">
        <v>1624</v>
      </c>
      <c r="Z54" s="656"/>
      <c r="AA54" s="656"/>
      <c r="AB54" s="656"/>
      <c r="AC54" s="656"/>
      <c r="AD54" s="657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701" t="s">
        <v>21</v>
      </c>
      <c r="X55" s="702"/>
      <c r="Y55" s="703" t="s">
        <v>1623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topLeftCell="A2" zoomScale="47" zoomScaleNormal="40" zoomScaleSheetLayoutView="103" workbookViewId="0">
      <selection activeCell="AC36" sqref="AC3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Z61" sqref="Z6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2024-06-13T08:07:38Z</dcterms:modified>
</cp:coreProperties>
</file>