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52553 PBPD RAB\"/>
    </mc:Choice>
  </mc:AlternateContent>
  <xr:revisionPtr revIDLastSave="0" documentId="13_ncr:1_{42DA7712-86EA-47D3-9393-0AFF8DC283FC}" xr6:coauthVersionLast="47" xr6:coauthVersionMax="47" xr10:uidLastSave="{00000000-0000-0000-0000-000000000000}"/>
  <bookViews>
    <workbookView xWindow="-110" yWindow="-110" windowWidth="19420" windowHeight="1030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RAB!$A$1:$L$41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59" l="1"/>
  <c r="F20" i="59"/>
  <c r="D19" i="59"/>
  <c r="D18" i="59"/>
  <c r="J20" i="11"/>
  <c r="J17" i="11"/>
  <c r="H20" i="11" l="1"/>
  <c r="I20" i="11"/>
  <c r="H17" i="11"/>
  <c r="I17" i="11"/>
  <c r="K20" i="11" l="1"/>
  <c r="K17" i="11"/>
  <c r="G16" i="11" l="1"/>
  <c r="E16" i="11"/>
  <c r="D16" i="11"/>
  <c r="G15" i="11"/>
  <c r="E15" i="11"/>
  <c r="D15" i="11"/>
  <c r="J15" i="11" s="1"/>
  <c r="J16" i="11" l="1"/>
  <c r="H15" i="11"/>
  <c r="H16" i="11"/>
  <c r="I15" i="11"/>
  <c r="I16" i="11"/>
  <c r="K16" i="11" l="1"/>
  <c r="K15" i="11"/>
  <c r="O1046" i="10" l="1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46" i="10" l="1"/>
  <c r="N1045" i="10"/>
  <c r="N1043" i="10"/>
  <c r="N1044" i="10"/>
  <c r="O304" i="10" l="1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O218" i="10"/>
  <c r="P218" i="10" s="1"/>
  <c r="K218" i="10"/>
  <c r="M218" i="10" s="1"/>
  <c r="J218" i="10"/>
  <c r="I218" i="10"/>
  <c r="D14" i="59" l="1"/>
  <c r="C3" i="75"/>
  <c r="W50" i="74"/>
  <c r="D22" i="59"/>
  <c r="D21" i="59" l="1"/>
  <c r="D21" i="11" l="1"/>
  <c r="J21" i="11" s="1"/>
  <c r="E21" i="11"/>
  <c r="G21" i="11"/>
  <c r="D22" i="11"/>
  <c r="J22" i="11" s="1"/>
  <c r="E22" i="11"/>
  <c r="G22" i="11"/>
  <c r="I21" i="11" l="1"/>
  <c r="H21" i="11"/>
  <c r="H22" i="11"/>
  <c r="I22" i="11"/>
  <c r="D14" i="11"/>
  <c r="J14" i="11" s="1"/>
  <c r="E14" i="11"/>
  <c r="G14" i="11"/>
  <c r="K19" i="60"/>
  <c r="D19" i="60"/>
  <c r="K22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3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3" i="11"/>
  <c r="D24" i="11"/>
  <c r="E24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N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N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N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N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N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N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N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N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N920" i="10" s="1"/>
  <c r="K920" i="10"/>
  <c r="M920" i="10" s="1"/>
  <c r="O920" i="10"/>
  <c r="P920" i="10" s="1"/>
  <c r="J921" i="10"/>
  <c r="L921" i="10" s="1"/>
  <c r="N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N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N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N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N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N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N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N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N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N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32" i="10"/>
  <c r="N653" i="10"/>
  <c r="N90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I592" i="10"/>
  <c r="I591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24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I140" i="10"/>
  <c r="I157" i="10"/>
  <c r="I176" i="10"/>
  <c r="I195" i="10"/>
  <c r="I198" i="10"/>
  <c r="I217" i="10"/>
  <c r="I236" i="10"/>
  <c r="I253" i="10"/>
  <c r="I275" i="10"/>
  <c r="I299" i="10"/>
  <c r="I321" i="10"/>
  <c r="I345" i="10"/>
  <c r="I365" i="10"/>
  <c r="I385" i="10"/>
  <c r="I410" i="10"/>
  <c r="I430" i="10"/>
  <c r="I450" i="10"/>
  <c r="I474" i="10"/>
  <c r="I494" i="10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I32" i="10"/>
  <c r="I130" i="10"/>
  <c r="I181" i="10"/>
  <c r="I214" i="10"/>
  <c r="I264" i="10"/>
  <c r="I328" i="10"/>
  <c r="I382" i="10"/>
  <c r="I441" i="10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I238" i="10"/>
  <c r="I469" i="10"/>
  <c r="I578" i="10"/>
  <c r="I734" i="10"/>
  <c r="I865" i="10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I436" i="10"/>
  <c r="I489" i="10"/>
  <c r="I549" i="10"/>
  <c r="I647" i="10"/>
  <c r="I699" i="10"/>
  <c r="I758" i="10"/>
  <c r="I830" i="10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I353" i="10"/>
  <c r="I398" i="10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23" i="11" s="1"/>
  <c r="I86" i="10"/>
  <c r="I149" i="10"/>
  <c r="I234" i="10"/>
  <c r="I283" i="10"/>
  <c r="I347" i="10"/>
  <c r="I412" i="10"/>
  <c r="I110" i="10"/>
  <c r="I168" i="10"/>
  <c r="I199" i="10"/>
  <c r="I249" i="10"/>
  <c r="I312" i="10"/>
  <c r="I364" i="10"/>
  <c r="I424" i="10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31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G8" i="29"/>
  <c r="P203" i="10"/>
  <c r="L86" i="10"/>
  <c r="N980" i="10"/>
  <c r="N1060" i="10"/>
  <c r="N872" i="10"/>
  <c r="N702" i="10"/>
  <c r="N928" i="10"/>
  <c r="N912" i="10"/>
  <c r="N844" i="10"/>
  <c r="N840" i="10"/>
  <c r="N829" i="10"/>
  <c r="N824" i="10"/>
  <c r="N776" i="10"/>
  <c r="N768" i="10"/>
  <c r="N760" i="10"/>
  <c r="N752" i="10"/>
  <c r="N744" i="10"/>
  <c r="N728" i="10"/>
  <c r="N713" i="10"/>
  <c r="N680" i="10"/>
  <c r="N664" i="10"/>
  <c r="N656" i="10"/>
  <c r="N1308" i="10"/>
  <c r="N1180" i="10"/>
  <c r="L209" i="10"/>
  <c r="L261" i="10"/>
  <c r="L260" i="10"/>
  <c r="L244" i="10"/>
  <c r="L237" i="10"/>
  <c r="N1284" i="10"/>
  <c r="N1121" i="10"/>
  <c r="N1228" i="10"/>
  <c r="N1314" i="10"/>
  <c r="N1186" i="10"/>
  <c r="P199" i="10"/>
  <c r="P202" i="10"/>
  <c r="M98" i="10"/>
  <c r="M614" i="10"/>
  <c r="M99" i="10"/>
  <c r="M606" i="10"/>
  <c r="M106" i="10"/>
  <c r="M264" i="10"/>
  <c r="M102" i="10"/>
  <c r="M323" i="10"/>
  <c r="M105" i="10"/>
  <c r="M100" i="10"/>
  <c r="M188" i="10"/>
  <c r="M103" i="10"/>
  <c r="M605" i="10"/>
  <c r="M108" i="10"/>
  <c r="M368" i="10"/>
  <c r="N368" i="10" s="1"/>
  <c r="M104" i="10"/>
  <c r="M97" i="10"/>
  <c r="M147" i="10"/>
  <c r="M249" i="10"/>
  <c r="M1463" i="10"/>
  <c r="M101" i="10"/>
  <c r="M107" i="10"/>
  <c r="N107" i="10" s="1"/>
  <c r="M565" i="10"/>
  <c r="M1447" i="10"/>
  <c r="M248" i="10"/>
  <c r="N931" i="10" l="1"/>
  <c r="N1330" i="10"/>
  <c r="N1250" i="10"/>
  <c r="N998" i="10"/>
  <c r="N982" i="10"/>
  <c r="N726" i="10"/>
  <c r="N1306" i="10"/>
  <c r="N1266" i="10"/>
  <c r="N806" i="10"/>
  <c r="N897" i="10"/>
  <c r="N881" i="10"/>
  <c r="N873" i="10"/>
  <c r="N865" i="10"/>
  <c r="N857" i="10"/>
  <c r="N849" i="10"/>
  <c r="N825" i="10"/>
  <c r="N801" i="10"/>
  <c r="N793" i="10"/>
  <c r="N657" i="10"/>
  <c r="N641" i="10"/>
  <c r="N369" i="10"/>
  <c r="N979" i="10"/>
  <c r="N1338" i="10"/>
  <c r="N1274" i="10"/>
  <c r="N1170" i="10"/>
  <c r="N926" i="10"/>
  <c r="N894" i="10"/>
  <c r="N870" i="10"/>
  <c r="N782" i="10"/>
  <c r="N678" i="10"/>
  <c r="N654" i="10"/>
  <c r="N106" i="10"/>
  <c r="N1108" i="10"/>
  <c r="N1223" i="10"/>
  <c r="N1183" i="10"/>
  <c r="N1175" i="10"/>
  <c r="N1167" i="10"/>
  <c r="N1127" i="10"/>
  <c r="N1111" i="10"/>
  <c r="N1071" i="10"/>
  <c r="N1063" i="10"/>
  <c r="N1019" i="10"/>
  <c r="N971" i="10"/>
  <c r="N923" i="10"/>
  <c r="N891" i="10"/>
  <c r="N875" i="10"/>
  <c r="N859" i="10"/>
  <c r="N835" i="10"/>
  <c r="N827" i="10"/>
  <c r="N819" i="10"/>
  <c r="N755" i="10"/>
  <c r="N723" i="10"/>
  <c r="N715" i="10"/>
  <c r="N707" i="10"/>
  <c r="N675" i="10"/>
  <c r="N659" i="10"/>
  <c r="N614" i="10"/>
  <c r="N1120" i="10"/>
  <c r="N1104" i="10"/>
  <c r="N1096" i="10"/>
  <c r="N1072" i="10"/>
  <c r="N964" i="10"/>
  <c r="N606" i="10"/>
  <c r="N727" i="10"/>
  <c r="N703" i="10"/>
  <c r="N695" i="10"/>
  <c r="N647" i="10"/>
  <c r="N86" i="10"/>
  <c r="N105" i="10"/>
  <c r="N1261" i="10"/>
  <c r="N1197" i="10"/>
  <c r="N1157" i="10"/>
  <c r="N1149" i="10"/>
  <c r="N1141" i="10"/>
  <c r="N1109" i="10"/>
  <c r="N1093" i="10"/>
  <c r="N1085" i="10"/>
  <c r="N1061" i="10"/>
  <c r="N1053" i="10"/>
  <c r="N1009" i="10"/>
  <c r="N985" i="10"/>
  <c r="N977" i="10"/>
  <c r="N969" i="10"/>
  <c r="N953" i="10"/>
  <c r="N937" i="10"/>
  <c r="N929" i="10"/>
  <c r="N913" i="10"/>
  <c r="N905" i="10"/>
  <c r="N841" i="10"/>
  <c r="N777" i="10"/>
  <c r="N277" i="10"/>
  <c r="N1463" i="10"/>
  <c r="N323" i="10"/>
  <c r="N1222" i="10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89" i="10" s="1"/>
  <c r="N198" i="10"/>
  <c r="N665" i="10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L250" i="10"/>
  <c r="L227" i="10"/>
  <c r="N227" i="10" s="1"/>
  <c r="L219" i="10"/>
  <c r="N219" i="10" s="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N1324" i="10"/>
  <c r="N991" i="10"/>
  <c r="N1247" i="10"/>
  <c r="N1131" i="10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N1411" i="10"/>
  <c r="N1372" i="10"/>
  <c r="N1289" i="10"/>
  <c r="N1246" i="10"/>
  <c r="N1241" i="10"/>
  <c r="N908" i="10"/>
  <c r="N644" i="10"/>
  <c r="L186" i="10"/>
  <c r="N186" i="10" s="1"/>
  <c r="N1346" i="10"/>
  <c r="N1291" i="10"/>
  <c r="N1279" i="10"/>
  <c r="N1114" i="10"/>
  <c r="L146" i="10"/>
  <c r="N146" i="10" s="1"/>
  <c r="L90" i="10"/>
  <c r="N90" i="10" s="1"/>
  <c r="L127" i="10"/>
  <c r="N108" i="10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24" i="11"/>
  <c r="J24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N188" i="10" s="1"/>
  <c r="L183" i="10"/>
  <c r="N183" i="10" s="1"/>
  <c r="B31" i="54"/>
  <c r="B32" i="54"/>
  <c r="D8" i="54"/>
  <c r="C9" i="54"/>
  <c r="J36" i="39"/>
  <c r="I36" i="39"/>
  <c r="H36" i="39"/>
  <c r="I24" i="11"/>
  <c r="C239" i="29" l="1"/>
  <c r="D239" i="29" s="1"/>
  <c r="E239" i="29" s="1"/>
  <c r="C227" i="29"/>
  <c r="D227" i="29" s="1"/>
  <c r="F227" i="29" s="1"/>
  <c r="N7" i="10"/>
  <c r="C75" i="39"/>
  <c r="D75" i="39" s="1"/>
  <c r="E75" i="3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1" i="10" s="1"/>
  <c r="N51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24" i="11"/>
  <c r="E227" i="29" l="1"/>
  <c r="F253" i="29"/>
  <c r="H26" i="11"/>
  <c r="H27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66" i="29"/>
  <c r="F279" i="29"/>
  <c r="F244" i="29"/>
  <c r="E300" i="29"/>
  <c r="F224" i="29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50" i="29" l="1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21" i="29" l="1"/>
  <c r="F22" i="29"/>
  <c r="F21" i="29"/>
  <c r="F19" i="29"/>
  <c r="B21" i="29"/>
  <c r="E21" i="29" s="1"/>
  <c r="G21" i="29"/>
  <c r="D21" i="29"/>
  <c r="C19" i="29"/>
  <c r="C20" i="29"/>
  <c r="C22" i="29"/>
  <c r="C18" i="29"/>
  <c r="F23" i="29"/>
  <c r="C23" i="29"/>
  <c r="F18" i="29"/>
  <c r="C17" i="29"/>
  <c r="F17" i="29"/>
  <c r="F20" i="29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F54" i="29"/>
  <c r="C86" i="29"/>
  <c r="C66" i="29"/>
  <c r="F67" i="29"/>
  <c r="C133" i="29"/>
  <c r="C49" i="29"/>
  <c r="C25" i="29"/>
  <c r="C158" i="29"/>
  <c r="F84" i="29"/>
  <c r="C89" i="29"/>
  <c r="F92" i="29"/>
  <c r="F151" i="29"/>
  <c r="C146" i="29"/>
  <c r="F104" i="29"/>
  <c r="F133" i="29"/>
  <c r="F41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B17" i="29"/>
  <c r="E17" i="29" s="1"/>
  <c r="D17" i="29"/>
  <c r="G17" i="29"/>
  <c r="B23" i="29"/>
  <c r="E23" i="29" s="1"/>
  <c r="G23" i="29"/>
  <c r="D23" i="29"/>
  <c r="D18" i="29"/>
  <c r="G18" i="29"/>
  <c r="B18" i="29"/>
  <c r="E18" i="29" s="1"/>
  <c r="G22" i="29"/>
  <c r="B22" i="29"/>
  <c r="E22" i="29" s="1"/>
  <c r="D22" i="29"/>
  <c r="B20" i="29"/>
  <c r="E20" i="29" s="1"/>
  <c r="D20" i="29"/>
  <c r="G20" i="29"/>
  <c r="G19" i="29"/>
  <c r="D19" i="29"/>
  <c r="B19" i="29"/>
  <c r="E19" i="29" s="1"/>
  <c r="J21" i="29"/>
  <c r="H21" i="29"/>
  <c r="I21" i="29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H22" i="29" l="1"/>
  <c r="I22" i="29"/>
  <c r="J22" i="29"/>
  <c r="H20" i="29"/>
  <c r="I20" i="29"/>
  <c r="J20" i="29"/>
  <c r="K21" i="29"/>
  <c r="J23" i="29"/>
  <c r="H23" i="29"/>
  <c r="I23" i="29"/>
  <c r="H18" i="29"/>
  <c r="I18" i="29"/>
  <c r="J18" i="29"/>
  <c r="H19" i="29"/>
  <c r="I19" i="29"/>
  <c r="J19" i="29"/>
  <c r="H17" i="29"/>
  <c r="J17" i="29"/>
  <c r="I17" i="29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20" i="29" l="1"/>
  <c r="K19" i="29"/>
  <c r="K22" i="29"/>
  <c r="K18" i="29"/>
  <c r="K23" i="29"/>
  <c r="K17" i="29"/>
  <c r="K17" i="39"/>
  <c r="O15" i="54"/>
  <c r="A16" i="54"/>
  <c r="K28" i="39"/>
  <c r="K24" i="39"/>
  <c r="F12" i="41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C19" i="41"/>
  <c r="L19" i="41" s="1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26" i="11" l="1"/>
  <c r="I27" i="11" s="1"/>
  <c r="I28" i="11" s="1"/>
  <c r="J23" i="11"/>
  <c r="K23" i="11" l="1"/>
  <c r="K26" i="11" s="1"/>
  <c r="J26" i="11"/>
  <c r="K27" i="11" l="1"/>
  <c r="K28" i="11" s="1"/>
  <c r="D10" i="59" s="1"/>
  <c r="J27" i="11"/>
  <c r="J28" i="11" s="1"/>
  <c r="B29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<sst xmlns="http://schemas.openxmlformats.org/spreadsheetml/2006/main" count="4734" uniqueCount="1638">
  <si>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</si>
  <si>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</si>
  <si>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</si>
  <si>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</si>
  <si>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</si>
  <si>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</si>
  <si>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</si>
  <si>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</si>
  <si>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</si>
  <si>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</si>
  <si>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</si>
  <si>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</si>
  <si>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</si>
  <si>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</si>
  <si>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</si>
  <si>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</si>
  <si>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</si>
  <si>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</si>
  <si>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</si>
  <si>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</si>
  <si>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</si>
  <si>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</si>
  <si>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</si>
  <si>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</si>
  <si>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</si>
  <si>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</si>
  <si>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</si>
  <si>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</si>
  <si>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</si>
  <si>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</si>
  <si>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</si>
  <si>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</si>
  <si>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</si>
  <si>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</si>
  <si>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</si>
  <si>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</si>
  <si>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</si>
  <si>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</si>
  <si>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</si>
  <si>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</si>
  <si>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</si>
  <si>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</si>
  <si>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</si>
  <si>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</si>
  <si>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</si>
  <si>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</si>
  <si>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</si>
  <si>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</si>
  <si>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</si>
  <si>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</si>
  <si>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</si>
  <si>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</si>
  <si>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</si>
  <si>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</si>
  <si>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</si>
  <si>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</si>
  <si>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</si>
  <si>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</si>
  <si>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</si>
  <si>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</si>
  <si>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</si>
  <si>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</si>
  <si>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</si>
  <si>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</si>
  <si>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</si>
  <si>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</si>
  <si>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</si>
  <si>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</si>
  <si>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</si>
  <si>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</si>
  <si>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</si>
  <si>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</si>
  <si>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</si>
  <si>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</si>
  <si>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</si>
  <si>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</si>
  <si>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</si>
  <si>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</si>
  <si>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</si>
  <si>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</si>
  <si>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</si>
  <si>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</si>
  <si>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</si>
  <si>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</si>
  <si>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</si>
  <si>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</si>
  <si>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</si>
  <si>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</si>
  <si>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</si>
  <si>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</si>
  <si>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</si>
  <si>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</si>
  <si>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</si>
  <si>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</si>
  <si>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</si>
  <si>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</si>
  <si>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</si>
  <si>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</si>
  <si>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</si>
  <si>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</si>
  <si>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</si>
  <si>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</si>
  <si>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</si>
  <si>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</si>
  <si>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</si>
  <si>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</si>
  <si>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</si>
  <si>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</si>
  <si>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</si>
  <si>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</si>
  <si>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</si>
  <si>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</si>
  <si>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</si>
  <si>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</si>
  <si>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</si>
  <si>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</si>
  <si>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</si>
  <si>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</si>
  <si>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</si>
  <si>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</si>
  <si>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</si>
  <si>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</si>
  <si>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</si>
  <si>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</si>
  <si>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</si>
  <si>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</si>
  <si>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</si>
  <si>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</si>
  <si>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</si>
  <si>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</si>
  <si>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</si>
  <si>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</si>
  <si>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</si>
  <si>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</si>
  <si>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</si>
  <si>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</si>
  <si>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</si>
  <si>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</si>
  <si>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</si>
  <si>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</si>
  <si>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</si>
  <si>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</si>
  <si>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</si>
  <si>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</si>
  <si>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</si>
  <si>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</si>
  <si>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</si>
  <si>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</si>
  <si>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</si>
  <si>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</si>
  <si>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</si>
  <si>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</si>
  <si>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</si>
  <si>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</si>
  <si>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</si>
  <si>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</si>
  <si>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</si>
  <si>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</si>
  <si>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</si>
  <si>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</si>
  <si>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</si>
  <si>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</si>
  <si>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</si>
  <si>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</si>
  <si>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</si>
  <si>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</si>
  <si>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</si>
  <si>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</si>
  <si>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</si>
  <si>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</si>
  <si>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</si>
  <si>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</si>
  <si>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</si>
  <si>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</si>
  <si>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</si>
  <si>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</si>
  <si>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</si>
  <si>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</si>
  <si>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</si>
  <si>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</si>
  <si>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</si>
  <si>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</si>
  <si>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</si>
  <si>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</si>
  <si>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</si>
  <si>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</si>
  <si>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</si>
  <si>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</si>
  <si>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</si>
  <si>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</si>
  <si>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</si>
  <si>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</si>
  <si>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</si>
  <si>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</si>
  <si>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</si>
  <si>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</si>
  <si>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</si>
  <si>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</si>
  <si>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</si>
  <si>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</si>
  <si>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</si>
  <si>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</si>
  <si>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</si>
  <si>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</si>
  <si>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</si>
  <si>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</si>
  <si>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</si>
  <si>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</si>
  <si>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</si>
  <si>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</si>
  <si>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</si>
  <si>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</si>
  <si>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</si>
  <si>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</si>
  <si>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</si>
  <si>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</si>
  <si>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</si>
  <si>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</si>
  <si>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</si>
  <si>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</si>
  <si>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</si>
  <si>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</si>
  <si>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</si>
  <si>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</si>
  <si>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</si>
  <si>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</si>
  <si>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</si>
  <si>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</si>
  <si>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</si>
  <si>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</si>
  <si>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</si>
  <si>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</si>
  <si>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</si>
  <si>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</si>
  <si>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</si>
  <si>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</si>
  <si>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</si>
  <si>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</si>
  <si>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</si>
  <si>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</si>
  <si>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</si>
  <si>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</si>
  <si>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</si>
  <si>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</si>
  <si>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</si>
  <si>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</si>
  <si>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</si>
  <si>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</si>
  <si>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</si>
  <si>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</si>
  <si>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</si>
  <si>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</si>
  <si>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</si>
  <si>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</si>
  <si>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</si>
  <si>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</si>
  <si>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</si>
  <si>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</si>
  <si>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</si>
  <si>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</si>
  <si>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</si>
  <si>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</si>
  <si>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</si>
  <si>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</si>
  <si>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</si>
  <si>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</si>
  <si>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</si>
  <si>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</si>
  <si>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</si>
  <si>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</si>
  <si>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</si>
  <si>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</si>
  <si>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</si>
  <si>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</si>
  <si>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</si>
  <si>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</si>
  <si>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</si>
  <si>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</si>
  <si>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</si>
  <si>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</si>
  <si>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</si>
  <si>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</si>
  <si>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</si>
  <si>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</si>
  <si>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</si>
  <si>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</si>
  <si>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</si>
  <si>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</si>
  <si>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</si>
  <si>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</si>
  <si>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</si>
  <si>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</si>
  <si>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</si>
  <si>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</si>
  <si>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</si>
  <si>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</si>
  <si>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</si>
  <si>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</si>
  <si>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</si>
  <si>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</si>
  <si>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</si>
  <si>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</si>
  <si>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</si>
  <si>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</si>
  <si>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</si>
  <si>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</si>
  <si>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</si>
  <si>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</si>
  <si>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</si>
  <si>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</si>
  <si>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</si>
  <si>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</si>
  <si>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</si>
  <si>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</si>
  <si>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</si>
  <si>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</si>
  <si>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</si>
  <si>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</si>
  <si>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</si>
  <si>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</si>
  <si>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</si>
  <si>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</si>
  <si>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</si>
  <si>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</si>
  <si>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</si>
  <si>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</si>
  <si>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</si>
  <si>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</si>
  <si>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</si>
  <si>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</si>
  <si>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</si>
  <si>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</si>
  <si>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</si>
  <si>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</si>
  <si>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</si>
  <si>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</si>
  <si>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</si>
  <si>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</si>
  <si>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</si>
  <si>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</si>
  <si>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</si>
  <si>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</si>
  <si>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</si>
  <si>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</si>
  <si>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</si>
  <si>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</si>
  <si>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</si>
  <si>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</si>
  <si>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</si>
  <si>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</si>
  <si>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</si>
  <si>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</si>
  <si>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</si>
  <si>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</si>
  <si>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</si>
  <si>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</si>
  <si>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</si>
  <si>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</si>
  <si>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</si>
  <si>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</si>
  <si>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</si>
  <si>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</si>
  <si>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</si>
  <si>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</si>
  <si>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</si>
  <si>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</si>
  <si>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</si>
  <si>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</si>
  <si>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</si>
  <si>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</si>
  <si>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</si>
  <si>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</si>
  <si>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</si>
  <si>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</si>
  <si>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</si>
  <si>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</si>
  <si>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</si>
  <si>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</si>
  <si>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</si>
  <si>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</si>
  <si>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</si>
  <si>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</si>
  <si>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</si>
  <si>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</si>
  <si>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</si>
  <si>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</si>
  <si>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</si>
  <si>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</si>
  <si>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</si>
  <si>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</si>
  <si>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</si>
  <si>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</si>
  <si>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</si>
  <si>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</si>
  <si>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</si>
  <si>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</si>
  <si>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</si>
  <si>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</si>
  <si>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</si>
  <si>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</si>
  <si>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</si>
  <si>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</si>
  <si>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</si>
  <si>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</si>
  <si>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</si>
  <si>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</si>
  <si>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</si>
  <si>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</si>
  <si>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</si>
  <si>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</si>
  <si>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</si>
  <si>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</si>
  <si>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</si>
  <si>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</si>
  <si>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</si>
  <si>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</si>
  <si>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</si>
  <si>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</si>
  <si>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</si>
  <si>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</si>
  <si>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</si>
  <si>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</si>
  <si>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</si>
  <si>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</si>
  <si>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</si>
  <si>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</si>
  <si>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</si>
  <si>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</si>
  <si>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</si>
  <si>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</si>
  <si>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</si>
  <si>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</si>
  <si>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</si>
  <si>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</si>
  <si>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</si>
  <si>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</si>
  <si>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</si>
  <si>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</si>
  <si>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</si>
  <si>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</si>
  <si>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</si>
  <si>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</si>
  <si>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</si>
  <si>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</si>
  <si>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</si>
  <si>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</si>
  <si>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</si>
  <si>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</si>
  <si>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</si>
  <si>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</si>
  <si>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</si>
  <si>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</si>
  <si>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</si>
  <si>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</si>
  <si>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</si>
  <si>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</si>
  <si>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</si>
  <si>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</si>
  <si>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</si>
  <si>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</si>
  <si>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</si>
  <si>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</si>
  <si>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</si>
  <si>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</si>
  <si>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</si>
  <si>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</si>
  <si>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</si>
  <si>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</si>
  <si>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</si>
  <si>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</si>
  <si>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</si>
  <si>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</si>
  <si>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</si>
  <si>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</si>
  <si>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</si>
  <si>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</si>
  <si>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</si>
  <si>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</si>
  <si>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</si>
  <si>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</si>
  <si>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</si>
  <si>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</si>
  <si>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</si>
  <si>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</si>
  <si>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</si>
  <si>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</si>
  <si>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</si>
  <si>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</si>
  <si>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</si>
  <si>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</si>
  <si>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</si>
  <si>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</si>
  <si>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</si>
  <si>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</si>
  <si>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</si>
  <si>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</si>
  <si>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</si>
  <si>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</si>
  <si>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</si>
  <si>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</si>
  <si>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</si>
  <si>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</si>
  <si>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</si>
  <si>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</si>
  <si>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</si>
  <si>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</si>
  <si>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</si>
  <si>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</si>
  <si>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</si>
  <si>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</si>
  <si>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</si>
  <si>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</si>
  <si>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</si>
  <si>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</si>
  <si>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</si>
  <si>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</si>
  <si>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</si>
  <si>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</si>
  <si>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</si>
  <si>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</si>
  <si>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</si>
  <si>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</si>
  <si>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</si>
  <si>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</si>
  <si>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</si>
  <si>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</si>
  <si>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</si>
  <si>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</si>
  <si>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</si>
  <si>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</si>
  <si>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</si>
  <si>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</si>
  <si>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</si>
  <si>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</si>
  <si>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</si>
  <si>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</si>
  <si>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</si>
  <si>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</si>
  <si>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</si>
  <si>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</si>
  <si>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</si>
  <si>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</si>
  <si>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</si>
  <si>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</si>
  <si>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</si>
  <si>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</si>
  <si>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</si>
  <si>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</si>
  <si>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</si>
  <si>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</si>
  <si>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</si>
  <si>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</si>
  <si>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</si>
  <si>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</si>
  <si>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</si>
  <si>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</si>
  <si>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</si>
  <si>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</si>
  <si>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</si>
  <si>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</si>
  <si>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</si>
  <si>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</si>
  <si>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</si>
  <si>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</si>
  <si>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</si>
  <si>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</si>
  <si>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</si>
  <si>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</si>
  <si>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</si>
  <si>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</si>
  <si>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</si>
  <si>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</si>
  <si>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</si>
  <si>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</si>
  <si>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</si>
  <si>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</si>
  <si>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</si>
  <si>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</si>
  <si>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</si>
  <si>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</si>
  <si>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</si>
  <si>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</si>
  <si>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</si>
  <si>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</si>
  <si>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</si>
  <si>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</si>
  <si>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</si>
  <si>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</si>
  <si>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</si>
  <si>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</si>
  <si>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</si>
  <si>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</si>
  <si>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</si>
  <si>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</si>
  <si>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</si>
  <si>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</si>
  <si>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</si>
  <si>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</si>
  <si>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</si>
  <si>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</si>
  <si>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</si>
  <si>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</si>
  <si>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</si>
  <si>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</si>
  <si>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</si>
  <si>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</si>
  <si>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</si>
  <si>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</si>
  <si>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</si>
  <si>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</si>
  <si>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</si>
  <si>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</si>
  <si>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</si>
  <si>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</si>
  <si>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</si>
  <si>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</si>
  <si>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</si>
  <si>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</si>
  <si>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</si>
  <si>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</si>
  <si>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</si>
  <si>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</si>
  <si>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</si>
  <si>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</si>
  <si>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</si>
  <si>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</si>
  <si>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</si>
  <si>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</si>
  <si>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</si>
  <si>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</si>
  <si>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</si>
  <si>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</si>
  <si>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</si>
  <si>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</si>
  <si>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</si>
  <si>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</si>
  <si>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</si>
  <si>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</si>
  <si>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</si>
  <si>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</si>
  <si>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</si>
  <si>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</si>
  <si>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</si>
  <si>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</si>
  <si>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</si>
  <si>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</si>
  <si>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</si>
  <si>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</si>
  <si>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</si>
  <si>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</si>
  <si>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</si>
  <si>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</si>
  <si>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</si>
  <si>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</si>
  <si>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</si>
  <si>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</si>
  <si>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</si>
  <si>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</si>
  <si>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</si>
  <si>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</si>
  <si>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</si>
  <si>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</si>
  <si>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</si>
  <si>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</si>
  <si>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</si>
  <si>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</si>
  <si>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</si>
  <si>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</si>
  <si>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</si>
  <si>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</si>
  <si>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</si>
  <si>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</si>
  <si>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</si>
  <si>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</si>
  <si>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</si>
  <si>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</si>
  <si>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</si>
  <si>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</si>
  <si>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</si>
  <si>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</si>
  <si>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</si>
  <si>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</si>
  <si>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</si>
  <si>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</si>
  <si>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</si>
  <si>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</si>
  <si>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</si>
  <si>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</si>
  <si>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</si>
  <si>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</si>
  <si>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</si>
  <si>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</si>
  <si>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</si>
  <si>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</si>
  <si>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</si>
  <si>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</si>
  <si>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</si>
  <si>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</si>
  <si>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</si>
  <si>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</si>
  <si>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</si>
  <si>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</si>
  <si>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</si>
  <si>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</si>
  <si>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</si>
  <si>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</si>
  <si>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</si>
  <si>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</si>
  <si>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</si>
  <si>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</si>
  <si>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</si>
  <si>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</si>
  <si>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</si>
  <si>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</si>
  <si>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</si>
  <si>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</si>
  <si>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</si>
  <si>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</si>
  <si>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</si>
  <si>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</si>
  <si>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</si>
  <si>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</si>
  <si>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</si>
  <si>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</si>
  <si>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</si>
  <si>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</si>
  <si>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</si>
  <si>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</si>
  <si>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</si>
  <si>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</si>
  <si>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</si>
  <si>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</si>
  <si>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</si>
  <si>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</si>
  <si>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</si>
  <si>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</si>
  <si>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</si>
  <si>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</si>
  <si>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</si>
  <si>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</si>
  <si>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</si>
  <si>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</si>
  <si>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</si>
  <si>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</si>
  <si>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</si>
  <si>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</si>
  <si>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</si>
  <si>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</si>
  <si>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</si>
  <si>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</si>
  <si>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</si>
  <si>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</si>
  <si>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</si>
  <si>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</si>
  <si>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</si>
  <si>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</si>
  <si>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</si>
  <si>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</si>
  <si>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</si>
  <si>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</si>
  <si>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</si>
  <si>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</si>
  <si>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</si>
  <si>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</si>
  <si>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</si>
  <si>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</si>
  <si>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</si>
  <si>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</si>
  <si>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</si>
  <si>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</si>
  <si>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</si>
  <si>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</si>
  <si>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</si>
  <si>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</si>
  <si>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</si>
  <si>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</si>
  <si>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</si>
  <si>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</si>
  <si>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</si>
  <si>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</si>
  <si>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</si>
  <si>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</si>
  <si>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</si>
  <si>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</si>
  <si>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</si>
  <si>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</si>
  <si>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</si>
  <si>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</si>
  <si>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</si>
  <si>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</si>
  <si>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</si>
  <si>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</si>
  <si>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</si>
  <si>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</si>
  <si>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</si>
  <si>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</si>
  <si>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</si>
  <si>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</si>
  <si>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</si>
  <si>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</si>
  <si>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</si>
  <si>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</si>
  <si>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</si>
  <si>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</si>
  <si>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</si>
  <si>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</si>
  <si>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</si>
  <si>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</si>
  <si>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</si>
  <si>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</si>
  <si>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</si>
  <si>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</si>
  <si>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</si>
  <si>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</si>
  <si>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</si>
  <si>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</si>
  <si>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</si>
  <si>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</si>
  <si>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</si>
  <si>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</si>
  <si>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</si>
  <si>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</si>
  <si>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</si>
  <si>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</si>
  <si>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</si>
  <si>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</si>
  <si>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</si>
  <si>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</si>
  <si>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</si>
  <si>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</si>
  <si>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</si>
  <si>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</si>
  <si>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</si>
  <si>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</si>
  <si>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</si>
  <si>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</si>
  <si>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</si>
  <si>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</si>
  <si>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</si>
  <si>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</si>
  <si>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</si>
  <si>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</si>
  <si>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</si>
  <si>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</si>
  <si>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</si>
  <si>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</si>
  <si>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</si>
  <si>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</si>
  <si>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</si>
  <si>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</si>
  <si>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</si>
  <si>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</si>
  <si>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</si>
  <si>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</si>
  <si>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</si>
  <si>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</si>
  <si>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</si>
  <si>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</si>
  <si>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</si>
  <si>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</si>
  <si>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</si>
  <si>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</si>
  <si>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</si>
  <si>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</si>
  <si>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</si>
  <si>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</si>
  <si>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</si>
  <si>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</si>
  <si>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</si>
  <si>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</si>
  <si>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</si>
  <si>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</si>
  <si>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</si>
  <si>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</si>
  <si>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</si>
  <si>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</si>
  <si>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</si>
  <si>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</si>
  <si>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</si>
  <si>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</si>
  <si>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</si>
  <si>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</si>
  <si>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</si>
  <si>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</si>
  <si>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</si>
  <si>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</si>
  <si>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</si>
  <si>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</si>
  <si>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</si>
  <si>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</si>
  <si>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</si>
  <si>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</si>
  <si>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</si>
  <si>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</si>
  <si>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</si>
  <si>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</si>
  <si>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</si>
  <si>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</si>
  <si>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</si>
  <si>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</si>
  <si>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</si>
  <si>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</si>
  <si>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</si>
  <si>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</si>
  <si>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</si>
  <si>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</si>
  <si>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</si>
  <si>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</si>
  <si>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</si>
  <si>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</si>
  <si>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</si>
  <si>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</si>
  <si>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</si>
  <si>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</si>
  <si>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</si>
  <si>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</si>
  <si>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</si>
  <si>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</si>
  <si>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</si>
  <si>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</si>
  <si>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</si>
  <si>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</si>
  <si>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</si>
  <si>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</si>
  <si>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</si>
  <si>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</si>
  <si>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</si>
  <si>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</si>
  <si>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</si>
  <si>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</si>
  <si>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</si>
  <si>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</si>
  <si>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</si>
  <si>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</si>
  <si>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</si>
  <si>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</si>
  <si>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</si>
  <si>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</si>
  <si>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</si>
  <si>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</si>
  <si>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</si>
  <si>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</si>
  <si>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</si>
  <si>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</si>
  <si>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</si>
  <si>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</si>
  <si>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</si>
  <si>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</si>
  <si>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</si>
  <si>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</si>
  <si>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</si>
  <si>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</si>
  <si>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</si>
  <si>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</si>
  <si>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</si>
  <si>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</si>
  <si>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</si>
  <si>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</si>
  <si>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</si>
  <si>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</si>
  <si>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</si>
  <si>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</si>
  <si>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</si>
  <si>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</si>
  <si>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</si>
  <si>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</si>
  <si>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</si>
  <si>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</si>
  <si>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</si>
  <si>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</si>
  <si>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</si>
  <si>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</si>
  <si>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</si>
  <si>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</si>
  <si>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</si>
  <si>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</si>
  <si>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</si>
  <si>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</si>
  <si>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</si>
  <si>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</si>
  <si>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</si>
  <si>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</si>
  <si>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</si>
  <si>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</si>
  <si>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</si>
  <si>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</si>
  <si>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</si>
  <si>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</si>
  <si>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</si>
  <si>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</si>
  <si>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</si>
  <si>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</si>
  <si>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</si>
  <si>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</si>
  <si>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</si>
  <si>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</si>
  <si>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</si>
  <si>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</si>
  <si>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</si>
  <si>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</si>
  <si>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</si>
  <si>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</si>
  <si>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</si>
  <si>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</si>
  <si>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</si>
  <si>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</si>
  <si>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</si>
  <si>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</si>
  <si>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</si>
  <si>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</si>
  <si>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</si>
  <si>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</si>
  <si>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</si>
  <si>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</si>
  <si>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</si>
  <si>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</si>
  <si>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</si>
  <si>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</si>
  <si>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</si>
  <si>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</si>
  <si>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</si>
  <si>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</si>
  <si>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</si>
  <si>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</si>
  <si>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</si>
  <si>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</si>
  <si>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</si>
  <si>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</si>
  <si>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</si>
  <si>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</si>
  <si>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</si>
  <si>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</si>
  <si>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</si>
  <si>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</si>
  <si>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</si>
  <si>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</si>
  <si>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</si>
  <si>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</si>
  <si>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</si>
  <si>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</si>
  <si>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</si>
  <si>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</si>
  <si>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</si>
  <si>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</si>
  <si>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</si>
  <si>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</si>
  <si>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</si>
  <si>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</si>
  <si>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</si>
  <si>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</si>
  <si>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</si>
  <si>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</si>
  <si>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</si>
  <si>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</si>
  <si>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</si>
  <si>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</si>
  <si>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</si>
  <si>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</si>
  <si>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</si>
  <si>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</si>
  <si>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</si>
  <si>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</si>
  <si>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</si>
  <si>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</si>
  <si>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</si>
  <si>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</si>
  <si>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</si>
  <si>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</si>
  <si>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</si>
  <si>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</si>
  <si>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</si>
  <si>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</si>
  <si>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</si>
  <si>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</si>
  <si>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</si>
  <si>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</si>
  <si>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</si>
  <si>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</si>
  <si>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</si>
  <si>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</si>
  <si>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</si>
  <si>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</si>
  <si>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</si>
  <si>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</si>
  <si>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</si>
  <si>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</si>
  <si>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</si>
  <si>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</si>
  <si>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</si>
  <si>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</si>
  <si>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</si>
  <si>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</si>
  <si>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</si>
  <si>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</si>
  <si>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</si>
  <si>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</si>
  <si>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</si>
  <si>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</si>
  <si>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</si>
  <si>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</si>
  <si>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</si>
  <si>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</si>
  <si>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</si>
  <si>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</si>
  <si>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</si>
  <si>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</si>
  <si>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</si>
  <si>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</si>
  <si>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</si>
  <si>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</si>
  <si>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</si>
  <si>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</si>
  <si>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</si>
  <si>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</si>
  <si>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</si>
  <si>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</si>
  <si>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</si>
  <si>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</si>
  <si>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</si>
  <si>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</si>
  <si>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</si>
  <si>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</si>
  <si>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</si>
  <si>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</si>
  <si>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</si>
  <si>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</si>
  <si>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</si>
  <si>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</si>
  <si>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</si>
  <si>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</si>
  <si>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</si>
  <si>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</si>
  <si>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</si>
  <si>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</si>
  <si>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</si>
  <si>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</si>
  <si>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</si>
  <si>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</si>
  <si>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</si>
  <si>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</si>
  <si>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</si>
  <si>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</si>
  <si>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</si>
  <si>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</si>
  <si>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</si>
  <si>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</si>
  <si>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</si>
  <si>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</si>
  <si>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</si>
  <si>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</si>
  <si>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</si>
  <si>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</si>
  <si>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</si>
  <si>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</si>
  <si>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</si>
  <si>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</si>
  <si>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</si>
  <si>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</si>
  <si>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</si>
  <si>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</si>
  <si>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</si>
  <si>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</si>
  <si>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</si>
  <si>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</si>
  <si>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</si>
  <si>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</si>
  <si>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</si>
  <si>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</si>
  <si>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</si>
  <si>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</si>
  <si>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</si>
  <si>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</si>
  <si>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</si>
  <si>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</si>
  <si>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</si>
  <si>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</si>
  <si>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</si>
  <si>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</si>
  <si>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</si>
  <si>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</si>
  <si>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</si>
  <si>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</si>
  <si>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</si>
  <si>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</si>
  <si>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</si>
  <si>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</si>
  <si>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</si>
  <si>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</si>
  <si>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</si>
  <si>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</si>
  <si>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</si>
  <si>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</si>
  <si>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</si>
  <si>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</si>
  <si>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</si>
  <si>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</si>
  <si>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</si>
  <si>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</si>
  <si>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</si>
  <si>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</si>
  <si>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</si>
  <si>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</si>
  <si>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</si>
  <si>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</si>
  <si>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</si>
  <si>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</si>
  <si>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</si>
  <si>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</si>
  <si>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</si>
  <si>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</si>
  <si>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</si>
  <si>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</si>
  <si>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</si>
  <si>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</si>
  <si>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</si>
  <si>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</si>
  <si>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</si>
  <si>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</si>
  <si>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</si>
  <si>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</si>
  <si>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</si>
  <si>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</si>
  <si>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</si>
  <si>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</si>
  <si>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</si>
  <si>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</si>
  <si>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</si>
  <si>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</si>
  <si>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</si>
  <si>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</si>
  <si>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</si>
  <si>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</si>
  <si>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</si>
  <si>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</si>
  <si>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</si>
  <si>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</si>
  <si>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</si>
  <si>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</si>
  <si>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</si>
  <si>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</si>
  <si>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</si>
  <si>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</si>
  <si>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</si>
  <si>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</si>
  <si>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</si>
  <si>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</si>
  <si>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</si>
  <si>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</si>
  <si>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</si>
  <si>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</si>
  <si>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</si>
  <si>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</si>
  <si>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</si>
  <si>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</si>
  <si>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</si>
  <si>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</si>
  <si>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</si>
  <si>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</si>
  <si>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</si>
  <si>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</si>
  <si>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</si>
  <si>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</si>
  <si>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</si>
  <si>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</si>
  <si>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</si>
  <si>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</si>
  <si>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</si>
  <si>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</si>
  <si>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</si>
  <si>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</si>
  <si>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</si>
  <si>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</si>
  <si>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</si>
  <si>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</si>
  <si>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</si>
  <si>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</si>
  <si>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</si>
  <si>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</si>
  <si>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</si>
  <si>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</si>
  <si>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</si>
  <si>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</si>
  <si>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</si>
  <si>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</si>
  <si>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</si>
  <si>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</si>
  <si>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</si>
  <si>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</si>
  <si>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</si>
  <si>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</si>
  <si>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</si>
  <si>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</si>
  <si>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</si>
  <si>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</si>
  <si>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</si>
  <si>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</si>
  <si>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</si>
  <si>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</si>
  <si>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</si>
  <si>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</si>
  <si>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</si>
  <si>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</si>
  <si>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</si>
  <si>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</si>
  <si>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</si>
  <si>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</si>
  <si>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</si>
  <si>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</si>
  <si>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</si>
  <si>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</si>
  <si>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</si>
  <si>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</si>
  <si>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</si>
  <si>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</si>
  <si>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</si>
  <si>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</si>
  <si>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</si>
  <si>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</si>
  <si>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</si>
  <si>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</si>
  <si>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</si>
  <si>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</si>
  <si>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</si>
  <si>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</si>
  <si>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</si>
  <si>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</si>
  <si>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</si>
  <si>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</si>
  <si>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</si>
  <si>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</si>
  <si>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</si>
  <si>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</si>
  <si>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</si>
  <si>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</si>
  <si>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</si>
  <si>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</si>
  <si>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</si>
  <si>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</si>
  <si>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</si>
  <si>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</si>
  <si>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</si>
  <si>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</si>
  <si>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</si>
  <si>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</si>
  <si>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</si>
  <si>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</si>
  <si>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</si>
  <si>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</si>
  <si>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</si>
  <si>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</si>
  <si>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</si>
  <si>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</si>
  <si>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</si>
  <si>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</si>
  <si>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</si>
  <si>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</si>
  <si>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</si>
  <si>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</si>
  <si>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</si>
  <si>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</si>
  <si>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</si>
  <si>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</si>
  <si>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</si>
  <si>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</si>
  <si>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</si>
  <si>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</si>
  <si>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</si>
  <si>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</si>
  <si>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</si>
  <si>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</si>
  <si>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</si>
  <si>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</si>
  <si>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</si>
  <si>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</si>
  <si>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</si>
  <si>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</si>
  <si>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</si>
  <si>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</si>
  <si>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</si>
  <si>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</si>
  <si>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</si>
  <si>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</si>
  <si>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</si>
  <si>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</si>
  <si>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</si>
  <si>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</si>
  <si>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</si>
  <si>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</si>
  <si>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</si>
  <si>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</si>
  <si>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</si>
  <si>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</si>
  <si>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</si>
  <si>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</si>
  <si>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</si>
  <si>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</si>
  <si>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</si>
  <si>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</si>
  <si>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</si>
  <si>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</si>
  <si>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</si>
  <si>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</si>
  <si>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</si>
  <si>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</si>
  <si>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</si>
  <si>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</si>
  <si>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</si>
  <si>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</si>
  <si>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</si>
  <si>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</si>
  <si>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</si>
  <si>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</si>
  <si>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</si>
  <si>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</si>
  <si>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</si>
  <si>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</si>
  <si>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</si>
  <si>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</si>
  <si>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</si>
  <si>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</si>
  <si>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</si>
  <si>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</si>
  <si>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</si>
  <si>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</si>
  <si>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</si>
  <si>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</si>
  <si>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</si>
  <si>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</si>
  <si>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</si>
  <si>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</si>
  <si>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</si>
  <si>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</si>
  <si>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</si>
  <si>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</si>
  <si>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</si>
  <si>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</si>
  <si>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</si>
  <si>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</si>
  <si>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</si>
  <si>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</si>
  <si>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</si>
  <si>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</si>
  <si>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</si>
  <si>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</si>
  <si>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</si>
  <si>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</si>
  <si>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</si>
  <si>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</si>
  <si>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</si>
  <si>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</si>
  <si>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</si>
  <si>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</si>
  <si>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</si>
  <si>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</si>
  <si>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</si>
  <si>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</si>
  <si>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</si>
  <si>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</si>
  <si>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</si>
  <si>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</si>
  <si>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</si>
  <si>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</si>
  <si>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</si>
  <si>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</si>
  <si>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</si>
  <si>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</si>
  <si>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</si>
  <si>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</si>
  <si>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</si>
  <si>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</si>
  <si>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</si>
  <si>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</si>
  <si>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</si>
  <si>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</si>
  <si>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</si>
  <si>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</si>
  <si>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</si>
  <si>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</si>
  <si>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</si>
  <si>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</si>
  <si>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</si>
  <si>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</si>
  <si>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</si>
  <si>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</si>
  <si>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</si>
  <si>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</si>
  <si>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</si>
  <si>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</si>
  <si>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</si>
  <si>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</si>
  <si>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</si>
  <si>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</si>
  <si>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</si>
  <si>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</si>
  <si>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</si>
  <si>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</si>
  <si>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</si>
  <si>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</si>
  <si>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</si>
  <si>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</si>
  <si>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</si>
  <si>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</si>
  <si>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</si>
  <si>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</si>
  <si>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</si>
  <si>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</si>
  <si>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</si>
  <si>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</si>
  <si>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</si>
  <si>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</si>
  <si>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</si>
  <si>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</si>
  <si>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</si>
  <si>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</si>
  <si>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</si>
  <si>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</si>
  <si>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</si>
  <si>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</si>
  <si>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</si>
  <si>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</si>
  <si>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</si>
  <si>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</si>
  <si>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</si>
  <si>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</si>
  <si>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</si>
  <si>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</si>
  <si>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</si>
  <si>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</si>
  <si>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</si>
  <si>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</si>
  <si>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</si>
  <si>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</si>
  <si>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</si>
  <si>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</si>
  <si>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</si>
  <si>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</si>
  <si>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</si>
  <si>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</si>
  <si>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</si>
  <si>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</si>
  <si>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</si>
  <si>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</si>
  <si>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</si>
  <si>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</si>
  <si>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</si>
  <si>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</si>
  <si>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</si>
  <si>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</si>
  <si>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</si>
  <si>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</si>
  <si>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</si>
  <si>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</si>
  <si>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</si>
  <si>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</si>
  <si>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</si>
  <si>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</si>
  <si>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</si>
  <si>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</si>
  <si>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</si>
  <si>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</si>
  <si>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</si>
  <si>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</si>
  <si>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</si>
  <si>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</si>
  <si>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</si>
  <si>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</si>
  <si>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</si>
  <si>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</si>
  <si>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</si>
  <si>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</si>
  <si>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</si>
  <si>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</si>
  <si>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</si>
  <si>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</si>
  <si>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</si>
  <si>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</si>
  <si>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</si>
  <si>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</si>
  <si>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</si>
  <si>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</si>
  <si>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</si>
  <si>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</si>
  <si>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</si>
  <si>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</si>
  <si>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</si>
  <si>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</si>
  <si>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</si>
  <si>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</si>
  <si>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</si>
  <si>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</si>
  <si>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</si>
  <si>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</si>
  <si>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</si>
  <si>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</si>
  <si>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</si>
  <si>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</si>
  <si>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</si>
  <si>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</si>
  <si>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</si>
  <si>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</si>
  <si>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</si>
  <si>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</si>
  <si>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</si>
  <si>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</si>
  <si>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</si>
  <si>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</si>
  <si>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</si>
  <si>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</si>
  <si>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</si>
  <si>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</si>
  <si>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</si>
  <si>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</si>
  <si>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</si>
  <si>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</si>
  <si>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</si>
  <si>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</si>
  <si>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I3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</si>
  <si>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</si>
  <si>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</si>
  <si>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</si>
  <si>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</si>
  <si>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</si>
  <si>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</si>
  <si>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</si>
  <si>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</si>
  <si>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</si>
  <si>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</si>
  <si>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Bongkar Pasang</t>
  </si>
  <si>
    <t>PEKERJAAN BONGKAR</t>
  </si>
  <si>
    <t>Demak, 15 Mei 2024</t>
  </si>
  <si>
    <t>-7.029826557409412, 110.72031286613957</t>
  </si>
  <si>
    <t>Jl. Semarang - Purwodadi, Kec. Godong, Kab. Grobogan</t>
  </si>
  <si>
    <t>CT 50/5-5A</t>
  </si>
  <si>
    <t>CT 40/5-5A</t>
  </si>
  <si>
    <t>PEKERJAAN PASANG</t>
  </si>
  <si>
    <t>Upah Bongkar CT TM ID/OD</t>
  </si>
  <si>
    <t>Upah Pasang CT TM ID/OD</t>
  </si>
  <si>
    <t>SAI APPAREL (525530130931)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</si>
</sst>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  <font>
      <b/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687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88" fillId="33" borderId="69" xfId="0" applyFont="1" applyFill="1" applyBorder="1" applyAlignment="1">
      <alignment horizontal="left" vertic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6" fillId="0" borderId="21" xfId="1614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49" fontId="88" fillId="33" borderId="59" xfId="0" applyNumberFormat="1" applyFont="1" applyFill="1" applyBorder="1" applyAlignment="1">
      <alignment horizontal="left" vertical="center"/>
    </xf>
    <xf numFmtId="49" fontId="88" fillId="33" borderId="60" xfId="0" applyNumberFormat="1" applyFont="1" applyFill="1" applyBorder="1" applyAlignment="1">
      <alignment horizontal="left" vertical="center"/>
    </xf>
    <xf numFmtId="0" fontId="169" fillId="33" borderId="26" xfId="0" quotePrefix="1" applyFont="1" applyFill="1" applyBorder="1" applyAlignment="1">
      <alignment horizontal="left" vertical="top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3" fillId="0" borderId="39" xfId="1614" applyNumberFormat="1" applyFont="1" applyBorder="1" applyAlignment="1">
      <alignment horizontal="center" vertical="center"/>
    </xf>
    <xf numFmtId="0" fontId="170" fillId="0" borderId="0" xfId="0" quotePrefix="1" applyFont="1"/>
    <xf numFmtId="43" fontId="5" fillId="0" borderId="0" xfId="2670" applyNumberFormat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4" fillId="0" borderId="0" xfId="1614" quotePrefix="1" applyFont="1" applyAlignment="1">
      <alignment horizontal="left" vertical="top" wrapText="1"/>
    </xf>
    <xf numFmtId="0" fontId="144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49" fontId="111" fillId="33" borderId="50" xfId="0" applyNumberFormat="1" applyFont="1" applyFill="1" applyBorder="1" applyAlignment="1">
      <alignment horizontal="left" vertical="top" wrapText="1"/>
    </xf>
    <xf numFmtId="49" fontId="111" fillId="33" borderId="41" xfId="0" applyNumberFormat="1" applyFont="1" applyFill="1" applyBorder="1" applyAlignment="1">
      <alignment horizontal="left" vertical="top" wrapText="1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71" fillId="33" borderId="50" xfId="0" applyFont="1" applyFill="1" applyBorder="1" applyAlignment="1">
      <alignment horizontal="center" vertical="center"/>
    </xf>
    <xf numFmtId="0" fontId="171" fillId="33" borderId="7" xfId="0" applyFont="1" applyFill="1" applyBorder="1" applyAlignment="1">
      <alignment horizontal="center" vertical="center"/>
    </xf>
    <xf numFmtId="0" fontId="171" fillId="33" borderId="41" xfId="0" applyFont="1" applyFill="1" applyBorder="1" applyAlignment="1">
      <alignment horizontal="center" vertical="center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1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center"/>
    </xf>
    <xf numFmtId="15" fontId="111" fillId="33" borderId="3" xfId="0" applyNumberFormat="1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10.8125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08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08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4144507" y="14342854"/>
          <a:ext cx="6961173" cy="4502359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20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35858</xdr:colOff>
      <xdr:row>6</xdr:row>
      <xdr:rowOff>44824</xdr:rowOff>
    </xdr:from>
    <xdr:to>
      <xdr:col>21</xdr:col>
      <xdr:colOff>332691</xdr:colOff>
      <xdr:row>47</xdr:row>
      <xdr:rowOff>125506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E4497E9-23E6-294D-C7D9-84518446E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33082" y="1075765"/>
          <a:ext cx="7746503" cy="6338047"/>
        </a:xfrm>
        <a:prstGeom prst="rect">
          <a:avLst/>
        </a:prstGeom>
      </xdr:spPr>
    </xdr:pic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220122" y="929340"/>
          <a:ext cx="37732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947864" y="932172"/>
          <a:ext cx="89167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151730" y="2164710"/>
          <a:ext cx="146545" cy="122363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902965" y="2165293"/>
          <a:ext cx="207505" cy="122362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086800" y="2334939"/>
          <a:ext cx="270560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833717" y="2334939"/>
          <a:ext cx="331520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205349" y="2026060"/>
          <a:ext cx="66804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937740" y="2026766"/>
          <a:ext cx="127764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110359</xdr:colOff>
      <xdr:row>30</xdr:row>
      <xdr:rowOff>29559</xdr:rowOff>
    </xdr:from>
    <xdr:to>
      <xdr:col>9</xdr:col>
      <xdr:colOff>383118</xdr:colOff>
      <xdr:row>41</xdr:row>
      <xdr:rowOff>84083</xdr:rowOff>
    </xdr:to>
    <xdr:sp macro="" textlink="">
      <xdr:nvSpPr>
        <xdr:cNvPr id="226" name="TextBox 157">
          <a:extLst>
            <a:ext uri="{FF2B5EF4-FFF2-40B4-BE49-F238E27FC236}">
              <a16:creationId xmlns:a16="http://schemas.microsoft.com/office/drawing/2014/main" id="{835AE195-77C9-4129-A932-859481FA4CD9}"/>
            </a:ext>
          </a:extLst>
        </xdr:cNvPr>
        <xdr:cNvSpPr txBox="1"/>
      </xdr:nvSpPr>
      <xdr:spPr>
        <a:xfrm>
          <a:off x="2375338" y="4706662"/>
          <a:ext cx="1050525" cy="17414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K2-621/374D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KUBIKEL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CT TM Indoor Tipe Blok 40/5-5A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CT TM Indoor Tipe Blok 50/5-5A</a:t>
          </a:r>
        </a:p>
      </xdr:txBody>
    </xdr:sp>
    <xdr:clientData/>
  </xdr:twoCellAnchor>
  <xdr:twoCellAnchor>
    <xdr:from>
      <xdr:col>10</xdr:col>
      <xdr:colOff>170006</xdr:colOff>
      <xdr:row>31</xdr:row>
      <xdr:rowOff>140152</xdr:rowOff>
    </xdr:from>
    <xdr:to>
      <xdr:col>11</xdr:col>
      <xdr:colOff>2252</xdr:colOff>
      <xdr:row>33</xdr:row>
      <xdr:rowOff>124051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8794CBC5-E02A-4676-9590-656DFC93A28E}"/>
            </a:ext>
          </a:extLst>
        </xdr:cNvPr>
        <xdr:cNvSpPr/>
      </xdr:nvSpPr>
      <xdr:spPr>
        <a:xfrm rot="479164">
          <a:off x="3599006" y="4971232"/>
          <a:ext cx="220866" cy="28869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182837</xdr:colOff>
      <xdr:row>30</xdr:row>
      <xdr:rowOff>87874</xdr:rowOff>
    </xdr:from>
    <xdr:to>
      <xdr:col>10</xdr:col>
      <xdr:colOff>338263</xdr:colOff>
      <xdr:row>31</xdr:row>
      <xdr:rowOff>83442</xdr:rowOff>
    </xdr:to>
    <xdr:grpSp>
      <xdr:nvGrpSpPr>
        <xdr:cNvPr id="111" name="Group 13">
          <a:extLst>
            <a:ext uri="{FF2B5EF4-FFF2-40B4-BE49-F238E27FC236}">
              <a16:creationId xmlns:a16="http://schemas.microsoft.com/office/drawing/2014/main" id="{D031CF1B-3129-4365-BA9F-1E829FB28E6E}"/>
            </a:ext>
          </a:extLst>
        </xdr:cNvPr>
        <xdr:cNvGrpSpPr/>
      </xdr:nvGrpSpPr>
      <xdr:grpSpPr>
        <a:xfrm rot="17857270">
          <a:off x="3632802" y="4820338"/>
          <a:ext cx="149782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4" name="Oval 1">
            <a:extLst>
              <a:ext uri="{FF2B5EF4-FFF2-40B4-BE49-F238E27FC236}">
                <a16:creationId xmlns:a16="http://schemas.microsoft.com/office/drawing/2014/main" id="{CDEB3D11-366D-ECB8-37B4-240F3E5D56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3">
            <a:extLst>
              <a:ext uri="{FF2B5EF4-FFF2-40B4-BE49-F238E27FC236}">
                <a16:creationId xmlns:a16="http://schemas.microsoft.com/office/drawing/2014/main" id="{F005E3B1-E831-793B-2C6F-6CEEF3D2B3C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7">
            <a:extLst>
              <a:ext uri="{FF2B5EF4-FFF2-40B4-BE49-F238E27FC236}">
                <a16:creationId xmlns:a16="http://schemas.microsoft.com/office/drawing/2014/main" id="{44A225C2-C065-F320-36FA-A2D17C67BEC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229552</xdr:colOff>
      <xdr:row>26</xdr:row>
      <xdr:rowOff>142539</xdr:rowOff>
    </xdr:from>
    <xdr:to>
      <xdr:col>10</xdr:col>
      <xdr:colOff>387297</xdr:colOff>
      <xdr:row>27</xdr:row>
      <xdr:rowOff>138107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40246057-82E7-4329-B234-3572EEAC584E}"/>
            </a:ext>
          </a:extLst>
        </xdr:cNvPr>
        <xdr:cNvGrpSpPr/>
      </xdr:nvGrpSpPr>
      <xdr:grpSpPr>
        <a:xfrm rot="17857270">
          <a:off x="3680676" y="4275129"/>
          <a:ext cx="149783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2C0B6141-B277-554B-E06D-947C38E272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C45FAFC-4FE2-7D97-819B-AC4107A93C0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7">
            <a:extLst>
              <a:ext uri="{FF2B5EF4-FFF2-40B4-BE49-F238E27FC236}">
                <a16:creationId xmlns:a16="http://schemas.microsoft.com/office/drawing/2014/main" id="{5E9323D8-60F8-AE4B-550B-5069025BD7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361742</xdr:colOff>
      <xdr:row>31</xdr:row>
      <xdr:rowOff>103445</xdr:rowOff>
    </xdr:from>
    <xdr:to>
      <xdr:col>15</xdr:col>
      <xdr:colOff>130867</xdr:colOff>
      <xdr:row>32</xdr:row>
      <xdr:rowOff>99013</xdr:rowOff>
    </xdr:to>
    <xdr:grpSp>
      <xdr:nvGrpSpPr>
        <xdr:cNvPr id="77" name="Group 13">
          <a:extLst>
            <a:ext uri="{FF2B5EF4-FFF2-40B4-BE49-F238E27FC236}">
              <a16:creationId xmlns:a16="http://schemas.microsoft.com/office/drawing/2014/main" id="{A981DE1D-B6D2-4F59-B2CB-3FB03A5B5C52}"/>
            </a:ext>
          </a:extLst>
        </xdr:cNvPr>
        <xdr:cNvGrpSpPr/>
      </xdr:nvGrpSpPr>
      <xdr:grpSpPr>
        <a:xfrm rot="17857270">
          <a:off x="5373878" y="4988238"/>
          <a:ext cx="149782" cy="15919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9" name="Oval 1">
            <a:extLst>
              <a:ext uri="{FF2B5EF4-FFF2-40B4-BE49-F238E27FC236}">
                <a16:creationId xmlns:a16="http://schemas.microsoft.com/office/drawing/2014/main" id="{E1FDDC88-16D5-0BA9-1B40-51F3B2F9CBF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3">
            <a:extLst>
              <a:ext uri="{FF2B5EF4-FFF2-40B4-BE49-F238E27FC236}">
                <a16:creationId xmlns:a16="http://schemas.microsoft.com/office/drawing/2014/main" id="{8F7F99CF-75BE-86FE-25E0-5FF588D52F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7">
            <a:extLst>
              <a:ext uri="{FF2B5EF4-FFF2-40B4-BE49-F238E27FC236}">
                <a16:creationId xmlns:a16="http://schemas.microsoft.com/office/drawing/2014/main" id="{6B577AE4-8265-E9F3-A3AF-DFBDF6BDDC7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215152</xdr:colOff>
      <xdr:row>11</xdr:row>
      <xdr:rowOff>107577</xdr:rowOff>
    </xdr:from>
    <xdr:to>
      <xdr:col>21</xdr:col>
      <xdr:colOff>242047</xdr:colOff>
      <xdr:row>31</xdr:row>
      <xdr:rowOff>98612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6EDC17C-CBF0-69E9-9491-768FEC51BBD0}"/>
            </a:ext>
          </a:extLst>
        </xdr:cNvPr>
        <xdr:cNvCxnSpPr/>
      </xdr:nvCxnSpPr>
      <xdr:spPr>
        <a:xfrm>
          <a:off x="412376" y="1900518"/>
          <a:ext cx="7476565" cy="303007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87865</xdr:colOff>
      <xdr:row>26</xdr:row>
      <xdr:rowOff>32271</xdr:rowOff>
    </xdr:from>
    <xdr:to>
      <xdr:col>15</xdr:col>
      <xdr:colOff>330202</xdr:colOff>
      <xdr:row>31</xdr:row>
      <xdr:rowOff>111877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4C864DDF-DF3D-421C-9328-22645220F534}"/>
            </a:ext>
          </a:extLst>
        </xdr:cNvPr>
        <xdr:cNvCxnSpPr>
          <a:stCxn id="83" idx="2"/>
          <a:endCxn id="79" idx="6"/>
        </xdr:cNvCxnSpPr>
      </xdr:nvCxnSpPr>
      <xdr:spPr>
        <a:xfrm flipH="1">
          <a:off x="5421865" y="4120177"/>
          <a:ext cx="242337" cy="8236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236116</xdr:colOff>
      <xdr:row>27</xdr:row>
      <xdr:rowOff>129675</xdr:rowOff>
    </xdr:from>
    <xdr:to>
      <xdr:col>10</xdr:col>
      <xdr:colOff>274125</xdr:colOff>
      <xdr:row>30</xdr:row>
      <xdr:rowOff>90029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F1A1FD7-535F-4DD6-AE88-C61FCEA75C15}"/>
            </a:ext>
          </a:extLst>
        </xdr:cNvPr>
        <xdr:cNvCxnSpPr>
          <a:stCxn id="5" idx="2"/>
          <a:endCxn id="114" idx="7"/>
        </xdr:cNvCxnSpPr>
      </xdr:nvCxnSpPr>
      <xdr:spPr>
        <a:xfrm flipH="1">
          <a:off x="3679404" y="4373063"/>
          <a:ext cx="38009" cy="4032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284984</xdr:colOff>
      <xdr:row>31</xdr:row>
      <xdr:rowOff>81287</xdr:rowOff>
    </xdr:from>
    <xdr:to>
      <xdr:col>10</xdr:col>
      <xdr:colOff>301447</xdr:colOff>
      <xdr:row>31</xdr:row>
      <xdr:rowOff>141552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89CE3C4D-F0B1-4E28-86D6-95E28B147F73}"/>
            </a:ext>
          </a:extLst>
        </xdr:cNvPr>
        <xdr:cNvCxnSpPr>
          <a:stCxn id="114" idx="3"/>
          <a:endCxn id="75" idx="0"/>
        </xdr:cNvCxnSpPr>
      </xdr:nvCxnSpPr>
      <xdr:spPr>
        <a:xfrm>
          <a:off x="3728272" y="4919987"/>
          <a:ext cx="16463" cy="6026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378309</xdr:colOff>
      <xdr:row>27</xdr:row>
      <xdr:rowOff>100690</xdr:rowOff>
    </xdr:from>
    <xdr:to>
      <xdr:col>14</xdr:col>
      <xdr:colOff>370839</xdr:colOff>
      <xdr:row>31</xdr:row>
      <xdr:rowOff>140420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13429BBD-0DCF-4CF1-8EF9-CEC13D6C6D96}"/>
            </a:ext>
          </a:extLst>
        </xdr:cNvPr>
        <xdr:cNvCxnSpPr>
          <a:stCxn id="5" idx="4"/>
          <a:endCxn id="79" idx="0"/>
        </xdr:cNvCxnSpPr>
      </xdr:nvCxnSpPr>
      <xdr:spPr>
        <a:xfrm>
          <a:off x="3821597" y="4344078"/>
          <a:ext cx="1554630" cy="63504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43856</xdr:colOff>
      <xdr:row>29</xdr:row>
      <xdr:rowOff>83401</xdr:rowOff>
    </xdr:from>
    <xdr:to>
      <xdr:col>13</xdr:col>
      <xdr:colOff>199282</xdr:colOff>
      <xdr:row>30</xdr:row>
      <xdr:rowOff>94209</xdr:rowOff>
    </xdr:to>
    <xdr:grpSp>
      <xdr:nvGrpSpPr>
        <xdr:cNvPr id="70" name="Group 13">
          <a:extLst>
            <a:ext uri="{FF2B5EF4-FFF2-40B4-BE49-F238E27FC236}">
              <a16:creationId xmlns:a16="http://schemas.microsoft.com/office/drawing/2014/main" id="{FAD2E727-B5C3-4DE4-AADD-1D9EFA2BCE83}"/>
            </a:ext>
          </a:extLst>
        </xdr:cNvPr>
        <xdr:cNvGrpSpPr/>
      </xdr:nvGrpSpPr>
      <xdr:grpSpPr>
        <a:xfrm rot="17857270">
          <a:off x="4665486" y="4678342"/>
          <a:ext cx="146880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1" name="Oval 1">
            <a:extLst>
              <a:ext uri="{FF2B5EF4-FFF2-40B4-BE49-F238E27FC236}">
                <a16:creationId xmlns:a16="http://schemas.microsoft.com/office/drawing/2014/main" id="{F4E690A7-8D12-D67E-F01C-641D57FBBE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2" name="Straight Connector 3">
            <a:extLst>
              <a:ext uri="{FF2B5EF4-FFF2-40B4-BE49-F238E27FC236}">
                <a16:creationId xmlns:a16="http://schemas.microsoft.com/office/drawing/2014/main" id="{83A15841-AF09-A3B4-8E68-CF34498E7DA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">
            <a:extLst>
              <a:ext uri="{FF2B5EF4-FFF2-40B4-BE49-F238E27FC236}">
                <a16:creationId xmlns:a16="http://schemas.microsoft.com/office/drawing/2014/main" id="{C8B44A90-E5D7-8C1D-D0A8-37B0833AB1B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287198</xdr:colOff>
      <xdr:row>25</xdr:row>
      <xdr:rowOff>45135</xdr:rowOff>
    </xdr:from>
    <xdr:to>
      <xdr:col>16</xdr:col>
      <xdr:colOff>56323</xdr:colOff>
      <xdr:row>26</xdr:row>
      <xdr:rowOff>40703</xdr:rowOff>
    </xdr:to>
    <xdr:grpSp>
      <xdr:nvGrpSpPr>
        <xdr:cNvPr id="82" name="Group 13">
          <a:extLst>
            <a:ext uri="{FF2B5EF4-FFF2-40B4-BE49-F238E27FC236}">
              <a16:creationId xmlns:a16="http://schemas.microsoft.com/office/drawing/2014/main" id="{CD0069D8-11E0-4849-8D08-6B3BDD154021}"/>
            </a:ext>
          </a:extLst>
        </xdr:cNvPr>
        <xdr:cNvGrpSpPr/>
      </xdr:nvGrpSpPr>
      <xdr:grpSpPr>
        <a:xfrm rot="17857270">
          <a:off x="5689405" y="4022785"/>
          <a:ext cx="149782" cy="15919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3" name="Oval 1">
            <a:extLst>
              <a:ext uri="{FF2B5EF4-FFF2-40B4-BE49-F238E27FC236}">
                <a16:creationId xmlns:a16="http://schemas.microsoft.com/office/drawing/2014/main" id="{46CFB486-C536-70D5-A705-7ACBAB06AFF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3">
            <a:extLst>
              <a:ext uri="{FF2B5EF4-FFF2-40B4-BE49-F238E27FC236}">
                <a16:creationId xmlns:a16="http://schemas.microsoft.com/office/drawing/2014/main" id="{CC92A87E-7A19-BEFC-80AE-01CBE1736AD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7">
            <a:extLst>
              <a:ext uri="{FF2B5EF4-FFF2-40B4-BE49-F238E27FC236}">
                <a16:creationId xmlns:a16="http://schemas.microsoft.com/office/drawing/2014/main" id="{A498BC3F-87F9-840D-0D96-726B42E3386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9748</xdr:colOff>
      <xdr:row>20</xdr:row>
      <xdr:rowOff>56595</xdr:rowOff>
    </xdr:from>
    <xdr:to>
      <xdr:col>11</xdr:col>
      <xdr:colOff>167493</xdr:colOff>
      <xdr:row>21</xdr:row>
      <xdr:rowOff>52163</xdr:rowOff>
    </xdr:to>
    <xdr:grpSp>
      <xdr:nvGrpSpPr>
        <xdr:cNvPr id="88" name="Group 13">
          <a:extLst>
            <a:ext uri="{FF2B5EF4-FFF2-40B4-BE49-F238E27FC236}">
              <a16:creationId xmlns:a16="http://schemas.microsoft.com/office/drawing/2014/main" id="{7969A3B2-CAEC-4D49-AF67-BE0FC1F7A340}"/>
            </a:ext>
          </a:extLst>
        </xdr:cNvPr>
        <xdr:cNvGrpSpPr/>
      </xdr:nvGrpSpPr>
      <xdr:grpSpPr>
        <a:xfrm rot="17857270">
          <a:off x="3850944" y="3263899"/>
          <a:ext cx="149782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9" name="Oval 1">
            <a:extLst>
              <a:ext uri="{FF2B5EF4-FFF2-40B4-BE49-F238E27FC236}">
                <a16:creationId xmlns:a16="http://schemas.microsoft.com/office/drawing/2014/main" id="{2E8E9610-9FA1-DB03-626E-D5A529CD61B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" name="Straight Connector 3">
            <a:extLst>
              <a:ext uri="{FF2B5EF4-FFF2-40B4-BE49-F238E27FC236}">
                <a16:creationId xmlns:a16="http://schemas.microsoft.com/office/drawing/2014/main" id="{9435E127-FAD7-3344-2B2B-0EFF384967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7">
            <a:extLst>
              <a:ext uri="{FF2B5EF4-FFF2-40B4-BE49-F238E27FC236}">
                <a16:creationId xmlns:a16="http://schemas.microsoft.com/office/drawing/2014/main" id="{556527AF-A37D-74CF-8EE3-7AF10122402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261731</xdr:colOff>
      <xdr:row>15</xdr:row>
      <xdr:rowOff>131744</xdr:rowOff>
    </xdr:from>
    <xdr:to>
      <xdr:col>7</xdr:col>
      <xdr:colOff>30856</xdr:colOff>
      <xdr:row>16</xdr:row>
      <xdr:rowOff>127312</xdr:rowOff>
    </xdr:to>
    <xdr:grpSp>
      <xdr:nvGrpSpPr>
        <xdr:cNvPr id="95" name="Group 13">
          <a:extLst>
            <a:ext uri="{FF2B5EF4-FFF2-40B4-BE49-F238E27FC236}">
              <a16:creationId xmlns:a16="http://schemas.microsoft.com/office/drawing/2014/main" id="{6A1C12FB-C0B0-49D7-BC0C-4CA826A2545D}"/>
            </a:ext>
          </a:extLst>
        </xdr:cNvPr>
        <xdr:cNvGrpSpPr/>
      </xdr:nvGrpSpPr>
      <xdr:grpSpPr>
        <a:xfrm rot="17857270">
          <a:off x="2153295" y="2567251"/>
          <a:ext cx="149783" cy="15919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9" name="Oval 1">
            <a:extLst>
              <a:ext uri="{FF2B5EF4-FFF2-40B4-BE49-F238E27FC236}">
                <a16:creationId xmlns:a16="http://schemas.microsoft.com/office/drawing/2014/main" id="{D082E3D0-6664-DF58-062A-0DB90E3C8CA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3">
            <a:extLst>
              <a:ext uri="{FF2B5EF4-FFF2-40B4-BE49-F238E27FC236}">
                <a16:creationId xmlns:a16="http://schemas.microsoft.com/office/drawing/2014/main" id="{092D933A-07C5-72F6-5A1C-5625DD13C8A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7">
            <a:extLst>
              <a:ext uri="{FF2B5EF4-FFF2-40B4-BE49-F238E27FC236}">
                <a16:creationId xmlns:a16="http://schemas.microsoft.com/office/drawing/2014/main" id="{003E8F3B-E071-A96D-640E-B1B396F9F4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184334</xdr:colOff>
      <xdr:row>22</xdr:row>
      <xdr:rowOff>52552</xdr:rowOff>
    </xdr:from>
    <xdr:to>
      <xdr:col>17</xdr:col>
      <xdr:colOff>230717</xdr:colOff>
      <xdr:row>24</xdr:row>
      <xdr:rowOff>110359</xdr:rowOff>
    </xdr:to>
    <xdr:sp macro="" textlink="">
      <xdr:nvSpPr>
        <xdr:cNvPr id="122" name="TextBox 157">
          <a:extLst>
            <a:ext uri="{FF2B5EF4-FFF2-40B4-BE49-F238E27FC236}">
              <a16:creationId xmlns:a16="http://schemas.microsoft.com/office/drawing/2014/main" id="{5121199D-F346-44EE-9109-831EAAD73E3C}"/>
            </a:ext>
          </a:extLst>
        </xdr:cNvPr>
        <xdr:cNvSpPr txBox="1"/>
      </xdr:nvSpPr>
      <xdr:spPr>
        <a:xfrm>
          <a:off x="5560375" y="3526221"/>
          <a:ext cx="824149" cy="36260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K2-621/374</a:t>
          </a:r>
        </a:p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(PWI 10)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139148</xdr:colOff>
      <xdr:row>32</xdr:row>
      <xdr:rowOff>53009</xdr:rowOff>
    </xdr:from>
    <xdr:to>
      <xdr:col>15</xdr:col>
      <xdr:colOff>218661</xdr:colOff>
      <xdr:row>33</xdr:row>
      <xdr:rowOff>6626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24B1DBFB-B7AD-42B8-BE97-B429798F678E}"/>
            </a:ext>
          </a:extLst>
        </xdr:cNvPr>
        <xdr:cNvCxnSpPr/>
      </xdr:nvCxnSpPr>
      <xdr:spPr>
        <a:xfrm>
          <a:off x="5539409" y="5035826"/>
          <a:ext cx="79513" cy="10601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178905</xdr:colOff>
      <xdr:row>26</xdr:row>
      <xdr:rowOff>53008</xdr:rowOff>
    </xdr:from>
    <xdr:to>
      <xdr:col>10</xdr:col>
      <xdr:colOff>238541</xdr:colOff>
      <xdr:row>27</xdr:row>
      <xdr:rowOff>27555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7D437F1D-B495-4B94-B67C-8F94A9B3E8E9}"/>
            </a:ext>
          </a:extLst>
        </xdr:cNvPr>
        <xdr:cNvCxnSpPr>
          <a:stCxn id="5" idx="0"/>
        </xdr:cNvCxnSpPr>
      </xdr:nvCxnSpPr>
      <xdr:spPr>
        <a:xfrm flipH="1" flipV="1">
          <a:off x="3624470" y="4134678"/>
          <a:ext cx="59636" cy="12694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99392</xdr:colOff>
      <xdr:row>31</xdr:row>
      <xdr:rowOff>75010</xdr:rowOff>
    </xdr:from>
    <xdr:to>
      <xdr:col>10</xdr:col>
      <xdr:colOff>226249</xdr:colOff>
      <xdr:row>31</xdr:row>
      <xdr:rowOff>125896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DF9EAF8B-3A10-45F5-8A51-6DBE0DB2E7F6}"/>
            </a:ext>
          </a:extLst>
        </xdr:cNvPr>
        <xdr:cNvCxnSpPr>
          <a:stCxn id="114" idx="2"/>
        </xdr:cNvCxnSpPr>
      </xdr:nvCxnSpPr>
      <xdr:spPr>
        <a:xfrm flipH="1">
          <a:off x="3544957" y="4905427"/>
          <a:ext cx="126857" cy="5088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98612</xdr:colOff>
      <xdr:row>4</xdr:row>
      <xdr:rowOff>116543</xdr:rowOff>
    </xdr:from>
    <xdr:to>
      <xdr:col>16</xdr:col>
      <xdr:colOff>423895</xdr:colOff>
      <xdr:row>38</xdr:row>
      <xdr:rowOff>69546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1A65FE-41A8-D72C-1E35-B2DC2141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259" y="806825"/>
          <a:ext cx="8779001" cy="5959356"/>
        </a:xfrm>
        <a:prstGeom prst="rect">
          <a:avLst/>
        </a:prstGeom>
      </xdr:spPr>
    </xdr:pic>
    <xdr:clientData/>
  </xdr:twoCellAnchor>
  <xdr:twoCellAnchor editAs="oneCell">
    <xdr:from>
      <xdr:col>16</xdr:col>
      <xdr:colOff>475129</xdr:colOff>
      <xdr:row>4</xdr:row>
      <xdr:rowOff>134471</xdr:rowOff>
    </xdr:from>
    <xdr:to>
      <xdr:col>23</xdr:col>
      <xdr:colOff>571213</xdr:colOff>
      <xdr:row>38</xdr:row>
      <xdr:rowOff>134471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768730-1D4F-18AF-AFE8-9E8482EA4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80494" y="824753"/>
          <a:ext cx="4488790" cy="60063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08984375" defaultRowHeight="14.5"/>
  <cols>
    <col min="1" max="1" width="5.36328125" style="112" customWidth="1"/>
    <col min="2" max="2" width="5.08984375" style="113" customWidth="1"/>
    <col min="3" max="3" width="51.453125" style="139" customWidth="1"/>
    <col min="4" max="4" width="12.453125" style="139" customWidth="1"/>
    <col min="5" max="5" width="8.6328125" style="116" customWidth="1"/>
    <col min="6" max="6" width="12.54296875" style="116" customWidth="1"/>
    <col min="7" max="7" width="12.6328125" style="116" customWidth="1"/>
    <col min="8" max="8" width="20.6328125" style="117" hidden="1" customWidth="1"/>
    <col min="9" max="9" width="24.6328125" style="117" hidden="1" customWidth="1"/>
    <col min="10" max="10" width="45.6328125" style="117" hidden="1" customWidth="1"/>
    <col min="11" max="12" width="18.54296875" style="117" hidden="1" customWidth="1"/>
    <col min="13" max="16384" width="9.08984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5" t="s">
        <v>1133</v>
      </c>
      <c r="C4" s="505"/>
      <c r="D4" s="505"/>
      <c r="E4" s="505"/>
      <c r="F4" s="505"/>
      <c r="G4" s="505"/>
      <c r="H4" s="50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6" t="s">
        <v>0</v>
      </c>
      <c r="C7" s="506" t="s">
        <v>1</v>
      </c>
      <c r="D7" s="507" t="s">
        <v>42</v>
      </c>
      <c r="E7" s="507" t="s">
        <v>43</v>
      </c>
      <c r="F7" s="507" t="s">
        <v>1134</v>
      </c>
      <c r="G7" s="508" t="s">
        <v>41</v>
      </c>
      <c r="H7" s="504" t="s">
        <v>1042</v>
      </c>
      <c r="I7" s="504" t="s">
        <v>1136</v>
      </c>
      <c r="J7" s="504" t="s">
        <v>1026</v>
      </c>
      <c r="K7" s="498" t="s">
        <v>1024</v>
      </c>
      <c r="L7" s="499"/>
    </row>
    <row r="8" spans="1:12" ht="15" customHeight="1">
      <c r="B8" s="506"/>
      <c r="C8" s="506"/>
      <c r="D8" s="507"/>
      <c r="E8" s="507"/>
      <c r="F8" s="507"/>
      <c r="G8" s="508"/>
      <c r="H8" s="504"/>
      <c r="I8" s="504"/>
      <c r="J8" s="504"/>
      <c r="K8" s="500"/>
      <c r="L8" s="501"/>
    </row>
    <row r="9" spans="1:12" ht="15" customHeight="1">
      <c r="B9" s="506"/>
      <c r="C9" s="506"/>
      <c r="D9" s="507"/>
      <c r="E9" s="507"/>
      <c r="F9" s="507"/>
      <c r="G9" s="508"/>
      <c r="H9" s="504"/>
      <c r="I9" s="504"/>
      <c r="J9" s="504"/>
      <c r="K9" s="502"/>
      <c r="L9" s="50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CT TM Indoor Tipe Blok 50/5-5A</v>
      </c>
      <c r="D12" s="101" t="str">
        <f ca="1">IF(ISERROR(OFFSET('HARGA SATUAN'!$D$6,MATCH(C12,'HARGA SATUAN'!$C$7:$C$1504,0),0)),"",OFFSET('HARGA SATUAN'!$D$6,MATCH(C12,'HARGA SATUAN'!$C$7:$C$1504,0),0))</f>
        <v>HDW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3</v>
      </c>
      <c r="G12" s="41">
        <f ca="1">IF(ISERROR(OFFSET('HARGA SATUAN'!$I$6,MATCH(C12,'HARGA SATUAN'!$C$7:$C$1504,0),0)),"",OFFSET('HARGA SATUAN'!$I$6,MATCH(C12,'HARGA SATUAN'!$C$7:$C$1504,0),0))</f>
        <v>4255800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 t="str">
        <f t="shared" ref="B13:B76" ca="1" si="0">IF(C13="","",A13)</f>
        <v/>
      </c>
      <c r="C13" s="109" t="str">
        <f t="shared" ref="C13:C76" ca="1" si="1">IF(ISERROR(OFFSET($C$713,MATCH(A13,$F$714:$F$1320,0),0)),"",OFFSET($C$713,MATCH(A13,$F$714:$F$1320,0),0))</f>
        <v/>
      </c>
      <c r="D13" s="101" t="str">
        <f ca="1">IF(ISERROR(OFFSET('HARGA SATUAN'!$D$6,MATCH(C13,'HARGA SATUAN'!$C$7:$C$1504,0),0)),"",OFFSET('HARGA SATUAN'!$D$6,MATCH(C13,'HARGA SATUAN'!$C$7:$C$1504,0),0))</f>
        <v/>
      </c>
      <c r="E13" s="101">
        <f ca="1">IF(B13="+","Unit",IF(ISERROR(OFFSET('HARGA SATUAN'!$E$6,MATCH(C13,'HARGA SATUAN'!$C$7:$C$1504,0),0)),"",OFFSET('HARGA SATUAN'!$E$6,MATCH(C13,'HARGA SATUAN'!$C$7:$C$1504,0),0)))</f>
        <v>0</v>
      </c>
      <c r="F13" s="138" t="str">
        <f t="shared" ref="F13:F76" ca="1" si="2">IF(ISERROR(OFFSET($D$713,MATCH(A13,$F$714:$F$1320,0),0)),"",OFFSET($D$713,MATCH(A13,$F$714:$F$1320,0),0))</f>
        <v/>
      </c>
      <c r="G13" s="41">
        <f ca="1">IF(ISERROR(OFFSET('HARGA SATUAN'!$I$6,MATCH(C13,'HARGA SATUAN'!$C$7:$C$1504,0),0)),"",OFFSET('HARGA SATUAN'!$I$6,MATCH(C13,'HARGA SATUAN'!$C$7:$C$1504,0),0))</f>
        <v>0</v>
      </c>
      <c r="H13" s="136" t="str">
        <f ca="1">IF(B13="","",#REF!)</f>
        <v/>
      </c>
      <c r="I13" s="136" t="str">
        <f ca="1">IF(B13="","",#REF!)</f>
        <v/>
      </c>
      <c r="J13" s="136" t="str">
        <f ca="1">IF(B13="","",#REF!)</f>
        <v/>
      </c>
      <c r="K13" s="136" t="str">
        <f ca="1">IF(B13="","",#REF!)</f>
        <v/>
      </c>
      <c r="L13" s="136" t="str">
        <f ca="1">IF(C13="","",#REF!)</f>
        <v/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SATUAN'!$C$7:$C$1504,0),0)),"",OFFSET('HARGA SATUAN'!$D$6,MATCH(C14,'HARGA SATUAN'!$C$7:$C$1504,0),0))</f>
        <v/>
      </c>
      <c r="E14" s="101">
        <f ca="1">IF(B14="+","Unit",IF(ISERROR(OFFSET('HARGA SATUAN'!$E$6,MATCH(C14,'HARGA SATUAN'!$C$7:$C$1504,0),0)),"",OFFSET('HARGA SATUAN'!$E$6,MATCH(C14,'HARGA SATUAN'!$C$7:$C$1504,0),0)))</f>
        <v>0</v>
      </c>
      <c r="F14" s="138" t="str">
        <f t="shared" ca="1" si="2"/>
        <v/>
      </c>
      <c r="G14" s="41">
        <f ca="1">IF(ISERROR(OFFSET('HARGA SATUAN'!$I$6,MATCH(C14,'HARGA SATUAN'!$C$7:$C$1504,0),0)),"",OFFSET('HARGA SATUAN'!$I$6,MATCH(C14,'HARGA SATUAN'!$C$7:$C$1504,0),0))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SATUAN'!$C$7:$C$1504,0),0)),"",OFFSET('HARGA SATUAN'!$D$6,MATCH(C15,'HARGA SATUAN'!$C$7:$C$1504,0),0))</f>
        <v/>
      </c>
      <c r="E15" s="101">
        <f ca="1">IF(B15="+","Unit",IF(ISERROR(OFFSET('HARGA SATUAN'!$E$6,MATCH(C15,'HARGA SATUAN'!$C$7:$C$1504,0),0)),"",OFFSET('HARGA SATUAN'!$E$6,MATCH(C15,'HARGA SATUAN'!$C$7:$C$1504,0),0)))</f>
        <v>0</v>
      </c>
      <c r="F15" s="138" t="str">
        <f t="shared" ca="1" si="2"/>
        <v/>
      </c>
      <c r="G15" s="41">
        <f ca="1">IF(ISERROR(OFFSET('HARGA SATUAN'!$I$6,MATCH(C15,'HARGA SATUAN'!$C$7:$C$1504,0),0)),"",OFFSET('HARGA SATUAN'!$I$6,MATCH(C15,'HARGA SATUAN'!$C$7:$C$1504,0),0))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SATUAN'!$C$7:$C$1504,0),0)),"",OFFSET('HARGA SATUAN'!$D$6,MATCH(C16,'HARGA SATUAN'!$C$7:$C$1504,0),0))</f>
        <v/>
      </c>
      <c r="E16" s="101">
        <f ca="1">IF(B16="+","Unit",IF(ISERROR(OFFSET('HARGA SATUAN'!$E$6,MATCH(C16,'HARGA SATUAN'!$C$7:$C$1504,0),0)),"",OFFSET('HARGA SATUAN'!$E$6,MATCH(C16,'HARGA SATUAN'!$C$7:$C$1504,0),0)))</f>
        <v>0</v>
      </c>
      <c r="F16" s="138" t="str">
        <f t="shared" ca="1" si="2"/>
        <v/>
      </c>
      <c r="G16" s="41">
        <f ca="1">IF(ISERROR(OFFSET('HARGA SATUAN'!$I$6,MATCH(C16,'HARGA SATUAN'!$C$7:$C$1504,0),0)),"",OFFSET('HARGA SATUAN'!$I$6,MATCH(C16,'HARGA SATUAN'!$C$7:$C$1504,0),0))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38" t="str">
        <f t="shared" ca="1" si="2"/>
        <v/>
      </c>
      <c r="G17" s="41">
        <f ca="1">IF(ISERROR(OFFSET('HARGA SATUAN'!$I$6,MATCH(C17,'HARGA SATUAN'!$C$7:$C$1504,0),0)),"",OFFSET('HARGA SATUAN'!$I$6,MATCH(C17,'HARGA SATUAN'!$C$7:$C$1504,0),0))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38" t="str">
        <f t="shared" ca="1" si="2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38" t="str">
        <f t="shared" ca="1" si="2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38" t="str">
        <f t="shared" ca="1" si="2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38" t="str">
        <f t="shared" ca="1" si="2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38" t="str">
        <f t="shared" ca="1" si="2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38" t="str">
        <f t="shared" ca="1" si="2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38" t="str">
        <f t="shared" ca="1" si="2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38" t="str">
        <f t="shared" ca="1" si="2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38" t="str">
        <f t="shared" ca="1" si="2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38" t="str">
        <f t="shared" ca="1" si="2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SUMIFS(RAB!$F$14:$F$22,RAB!$C$14:$C$22,C714)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SUMIFS(RAB!$F$14:$F$22,RAB!$C$14:$C$22,C715)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SUMIFS(RAB!$F$14:$F$22,RAB!$C$14:$C$22,C716)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SUMIFS(RAB!$F$14:$F$22,RAB!$C$14:$C$22,C717)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SUMIFS(RAB!$F$14:$F$22,RAB!$C$14:$C$22,C718)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SUMIFS(RAB!$F$14:$F$22,RAB!$C$14:$C$22,C719)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SUMIFS(RAB!$F$14:$F$22,RAB!$C$14:$C$22,C720)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SUMIFS(RAB!$F$14:$F$22,RAB!$C$14:$C$22,C721)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SUMIFS(RAB!$F$14:$F$22,RAB!$C$14:$C$22,C722)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SUMIFS(RAB!$F$14:$F$22,RAB!$C$14:$C$22,C723)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SUMIFS(RAB!$F$14:$F$22,RAB!$C$14:$C$22,C724)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SUMIFS(RAB!$F$14:$F$22,RAB!$C$14:$C$22,C725)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SUMIFS(RAB!$F$14:$F$22,RAB!$C$14:$C$22,C726)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SUMIFS(RAB!$F$14:$F$22,RAB!$C$14:$C$22,C727)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SUMIFS(RAB!$F$14:$F$22,RAB!$C$14:$C$22,C728)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SUMIFS(RAB!$F$14:$F$22,RAB!$C$14:$C$22,C729)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SUMIFS(RAB!$F$14:$F$22,RAB!$C$14:$C$22,C730)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SUMIFS(RAB!$F$14:$F$22,RAB!$C$14:$C$22,C731)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SUMIFS(RAB!$F$14:$F$22,RAB!$C$14:$C$22,C732)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SUMIFS(RAB!$F$14:$F$22,RAB!$C$14:$C$22,C733)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SUMIFS(RAB!$F$14:$F$22,RAB!$C$14:$C$22,C734)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SUMIFS(RAB!$F$14:$F$22,RAB!$C$14:$C$22,C735)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SUMIFS(RAB!$F$14:$F$22,RAB!$C$14:$C$22,C736)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SUMIFS(RAB!$F$14:$F$22,RAB!$C$14:$C$22,C737)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SUMIFS(RAB!$F$14:$F$22,RAB!$C$14:$C$22,C738)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SUMIFS(RAB!$F$14:$F$22,RAB!$C$14:$C$22,C739)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60/5-5A</v>
      </c>
      <c r="D740" s="139">
        <f ca="1">SUMIFS(RAB!$F$14:$F$22,RAB!$C$14:$C$22,C740)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75/5-5A</v>
      </c>
      <c r="D741" s="139">
        <f ca="1">SUMIFS(RAB!$F$14:$F$22,RAB!$C$14:$C$22,C741)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80/5-5A</v>
      </c>
      <c r="D742" s="139">
        <f ca="1">SUMIFS(RAB!$F$14:$F$22,RAB!$C$14:$C$22,C742)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100/5-5A</v>
      </c>
      <c r="D743" s="139">
        <f ca="1">SUMIFS(RAB!$F$14:$F$22,RAB!$C$14:$C$22,C743)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150/5-5A</v>
      </c>
      <c r="D744" s="139">
        <f ca="1">SUMIFS(RAB!$F$14:$F$22,RAB!$C$14:$C$22,C744)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200/5-5A</v>
      </c>
      <c r="D745" s="139">
        <f ca="1">SUMIFS(RAB!$F$14:$F$22,RAB!$C$14:$C$22,C745)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250/5-5A</v>
      </c>
      <c r="D746" s="139">
        <f ca="1">SUMIFS(RAB!$F$14:$F$22,RAB!$C$14:$C$22,C746)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300/5-5A</v>
      </c>
      <c r="D747" s="139">
        <f ca="1">SUMIFS(RAB!$F$14:$F$22,RAB!$C$14:$C$22,C747)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400/5-5A</v>
      </c>
      <c r="D748" s="139">
        <f ca="1">SUMIFS(RAB!$F$14:$F$22,RAB!$C$14:$C$22,C748)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500/5-5A</v>
      </c>
      <c r="D749" s="139">
        <f ca="1">SUMIFS(RAB!$F$14:$F$22,RAB!$C$14:$C$22,C749)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600/5-5A</v>
      </c>
      <c r="D750" s="139">
        <f ca="1">SUMIFS(RAB!$F$14:$F$22,RAB!$C$14:$C$22,C750)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750/5-5A</v>
      </c>
      <c r="D751" s="139">
        <f ca="1">SUMIFS(RAB!$F$14:$F$22,RAB!$C$14:$C$22,C751)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800/5-5A</v>
      </c>
      <c r="D752" s="139">
        <f ca="1">SUMIFS(RAB!$F$14:$F$22,RAB!$C$14:$C$22,C752)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1000/5-5A</v>
      </c>
      <c r="D753" s="139">
        <f ca="1">SUMIFS(RAB!$F$14:$F$22,RAB!$C$14:$C$22,C753)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Ring 50/5-5A</v>
      </c>
      <c r="D754" s="139">
        <f ca="1">SUMIFS(RAB!$F$14:$F$22,RAB!$C$14:$C$22,C754)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100/5-5A</v>
      </c>
      <c r="D755" s="139">
        <f ca="1">SUMIFS(RAB!$F$14:$F$22,RAB!$C$14:$C$22,C755)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Outdoor  10/5</v>
      </c>
      <c r="D756" s="139">
        <f ca="1">SUMIFS(RAB!$F$14:$F$22,RAB!$C$14:$C$22,C756)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15/5</v>
      </c>
      <c r="D757" s="139">
        <f ca="1">SUMIFS(RAB!$F$14:$F$22,RAB!$C$14:$C$22,C757)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20/5</v>
      </c>
      <c r="D758" s="139">
        <f ca="1">SUMIFS(RAB!$F$14:$F$22,RAB!$C$14:$C$22,C758)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25/5</v>
      </c>
      <c r="D759" s="139">
        <f ca="1">SUMIFS(RAB!$F$14:$F$22,RAB!$C$14:$C$22,C759)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30/5</v>
      </c>
      <c r="D760" s="139">
        <f ca="1">SUMIFS(RAB!$F$14:$F$22,RAB!$C$14:$C$22,C760)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40/5</v>
      </c>
      <c r="D761" s="139">
        <f ca="1">SUMIFS(RAB!$F$14:$F$22,RAB!$C$14:$C$22,C761)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50/5</v>
      </c>
      <c r="D762" s="139">
        <f ca="1">SUMIFS(RAB!$F$14:$F$22,RAB!$C$14:$C$22,C762)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60/5</v>
      </c>
      <c r="D763" s="139">
        <f ca="1">SUMIFS(RAB!$F$14:$F$22,RAB!$C$14:$C$22,C763)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75/5</v>
      </c>
      <c r="D764" s="139">
        <f ca="1">SUMIFS(RAB!$F$14:$F$22,RAB!$C$14:$C$22,C764)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80/5</v>
      </c>
      <c r="D765" s="139">
        <f ca="1">SUMIFS(RAB!$F$14:$F$22,RAB!$C$14:$C$22,C765)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100/5</v>
      </c>
      <c r="D766" s="139">
        <f ca="1">SUMIFS(RAB!$F$14:$F$22,RAB!$C$14:$C$22,C766)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150/5</v>
      </c>
      <c r="D767" s="139">
        <f ca="1">SUMIFS(RAB!$F$14:$F$22,RAB!$C$14:$C$22,C767)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200/5</v>
      </c>
      <c r="D768" s="139">
        <f ca="1">SUMIFS(RAB!$F$14:$F$22,RAB!$C$14:$C$22,C768)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250/5</v>
      </c>
      <c r="D769" s="139">
        <f ca="1">SUMIFS(RAB!$F$14:$F$22,RAB!$C$14:$C$22,C769)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300/5</v>
      </c>
      <c r="D770" s="139">
        <f ca="1">SUMIFS(RAB!$F$14:$F$22,RAB!$C$14:$C$22,C770)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400/5</v>
      </c>
      <c r="D771" s="139">
        <f ca="1">SUMIFS(RAB!$F$14:$F$22,RAB!$C$14:$C$22,C771)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PT Indoor (ratio 20.000/v3 : 100/v3) Class 0.2s</v>
      </c>
      <c r="D772" s="139">
        <f ca="1">SUMIFS(RAB!$F$14:$F$22,RAB!$C$14:$C$22,C772)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Outdoor (ratio 20.000/v3 : 100/v3) Class 0.2s</v>
      </c>
      <c r="D773" s="139">
        <f ca="1">SUMIFS(RAB!$F$14:$F$22,RAB!$C$14:$C$22,C773)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Smart Box Langsung Daya 3.9 kVA MCCB 6 A</v>
      </c>
      <c r="D774" s="139">
        <f ca="1">SUMIFS(RAB!$F$14:$F$22,RAB!$C$14:$C$22,C774)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6.6 kVA MCCB 10 A</v>
      </c>
      <c r="D775" s="139">
        <f ca="1">SUMIFS(RAB!$F$14:$F$22,RAB!$C$14:$C$22,C775)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10.6 kVA MCCB 16 A</v>
      </c>
      <c r="D776" s="139">
        <f ca="1">SUMIFS(RAB!$F$14:$F$22,RAB!$C$14:$C$22,C776)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13.2 kVA MCCB 20 A</v>
      </c>
      <c r="D777" s="139">
        <f ca="1">SUMIFS(RAB!$F$14:$F$22,RAB!$C$14:$C$22,C777)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16.5 kVA MCCB 25 A</v>
      </c>
      <c r="D778" s="139">
        <f ca="1">SUMIFS(RAB!$F$14:$F$22,RAB!$C$14:$C$22,C778)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23 kVA MCCB 35 A</v>
      </c>
      <c r="D779" s="139">
        <f ca="1">SUMIFS(RAB!$F$14:$F$22,RAB!$C$14:$C$22,C779)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33 kVA MCCB 50 A</v>
      </c>
      <c r="D780" s="139">
        <f ca="1">SUMIFS(RAB!$F$14:$F$22,RAB!$C$14:$C$22,C780)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41.5 kVA MCCB 63 A</v>
      </c>
      <c r="D781" s="139">
        <f ca="1">SUMIFS(RAB!$F$14:$F$22,RAB!$C$14:$C$22,C781)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Tidak Langsung Daya 53 kVA MCCB 80 A</v>
      </c>
      <c r="D782" s="139">
        <f ca="1">SUMIFS(RAB!$F$14:$F$22,RAB!$C$14:$C$22,C782)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66 kVA MCCB 100 A</v>
      </c>
      <c r="D783" s="139">
        <f ca="1">SUMIFS(RAB!$F$14:$F$22,RAB!$C$14:$C$22,C783)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82.5 kVA MCCB 125 A</v>
      </c>
      <c r="D784" s="139">
        <f ca="1">SUMIFS(RAB!$F$14:$F$22,RAB!$C$14:$C$22,C784)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105 kVA MCCB 160 A</v>
      </c>
      <c r="D785" s="139">
        <f ca="1">SUMIFS(RAB!$F$14:$F$22,RAB!$C$14:$C$22,C785)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131 kVA MCCB 200 A</v>
      </c>
      <c r="D786" s="139">
        <f ca="1">SUMIFS(RAB!$F$14:$F$22,RAB!$C$14:$C$22,C786)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147 kVA MCCB 225 A</v>
      </c>
      <c r="D787" s="139">
        <f ca="1">SUMIFS(RAB!$F$14:$F$22,RAB!$C$14:$C$22,C787)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164 kVA MCCB 250 A</v>
      </c>
      <c r="D788" s="139">
        <f ca="1">SUMIFS(RAB!$F$14:$F$22,RAB!$C$14:$C$22,C788)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197 kVA MCCB 300 A</v>
      </c>
      <c r="D789" s="139">
        <f ca="1">SUMIFS(RAB!$F$14:$F$22,RAB!$C$14:$C$22,C789)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TM</v>
      </c>
      <c r="D790" s="139">
        <f ca="1">SUMIFS(RAB!$F$14:$F$22,RAB!$C$14:$C$22,C790)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Air Insulated LBS Manual;24KV;630A;Min-16KA</v>
      </c>
      <c r="D791" s="139">
        <f ca="1">SUMIFS(RAB!$F$14:$F$22,RAB!$C$14:$C$22,C791)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Motorized;24KV;630A;Min-16KA</v>
      </c>
      <c r="D792" s="139">
        <f ca="1">SUMIFS(RAB!$F$14:$F$22,RAB!$C$14:$C$22,C792)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CBOG Motorized+Metering;20KV;630A;Min-16KA</v>
      </c>
      <c r="D793" s="139">
        <f ca="1">SUMIFS(RAB!$F$14:$F$22,RAB!$C$14:$C$22,C793)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Fully Gas Insulated LBS Motorized;24KV;630A;Min-16KA</v>
      </c>
      <c r="D794" s="139">
        <f ca="1">SUMIFS(RAB!$F$14:$F$22,RAB!$C$14:$C$22,C794)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CBOG Motorized+Metering;20KV;630A;Min-16KA</v>
      </c>
      <c r="D795" s="139">
        <f ca="1">SUMIFS(RAB!$F$14:$F$22,RAB!$C$14:$C$22,C795)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LBS Manual;24KV;630A;Min-16KA</v>
      </c>
      <c r="D796" s="139">
        <f ca="1">SUMIFS(RAB!$F$14:$F$22,RAB!$C$14:$C$22,C796)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Automatic Change Over (ACO) TM</v>
      </c>
      <c r="D797" s="139">
        <f ca="1">SUMIFS(RAB!$F$14:$F$22,RAB!$C$14:$C$22,C797)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TR</v>
      </c>
      <c r="D798" s="139">
        <f ca="1">SUMIFS(RAB!$F$14:$F$22,RAB!$C$14:$C$22,C798)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Metaclad;Outgoing;20kV;630A;25kA - GI</v>
      </c>
      <c r="D799" s="139">
        <f ca="1">SUMIFS(RAB!$F$14:$F$22,RAB!$C$14:$C$22,C799)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Metaclad;Couple;20kV;2000A;25kA - GI</v>
      </c>
      <c r="D800" s="139">
        <f ca="1">SUMIFS(RAB!$F$14:$F$22,RAB!$C$14:$C$22,C800)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Trafo 1 Fasa CSP 50 kVA</v>
      </c>
      <c r="D801" s="139">
        <f ca="1">SUMIFS(RAB!$F$14:$F$22,RAB!$C$14:$C$22,C801)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3 phasa 50 kVA YNyn0</v>
      </c>
      <c r="D802" s="139">
        <f ca="1">SUMIFS(RAB!$F$14:$F$22,RAB!$C$14:$C$22,C802)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100 kVA YNyn0</v>
      </c>
      <c r="D803" s="139">
        <f ca="1">SUMIFS(RAB!$F$14:$F$22,RAB!$C$14:$C$22,C803)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160 kVA YNyn0</v>
      </c>
      <c r="D804" s="139">
        <f ca="1">SUMIFS(RAB!$F$14:$F$22,RAB!$C$14:$C$22,C804)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50 kVA Yzn5</v>
      </c>
      <c r="D805" s="139">
        <f ca="1">SUMIFS(RAB!$F$14:$F$22,RAB!$C$14:$C$22,C805)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100 kVA Yzn5</v>
      </c>
      <c r="D806" s="139">
        <f ca="1">SUMIFS(RAB!$F$14:$F$22,RAB!$C$14:$C$22,C806)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160 kVA Yzn5</v>
      </c>
      <c r="D807" s="139">
        <f ca="1">SUMIFS(RAB!$F$14:$F$22,RAB!$C$14:$C$22,C807)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200 kVA Dyn5</v>
      </c>
      <c r="D808" s="139">
        <f ca="1">SUMIFS(RAB!$F$14:$F$22,RAB!$C$14:$C$22,C808)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250 kVA DYn5</v>
      </c>
      <c r="D809" s="139">
        <f ca="1">SUMIFS(RAB!$F$14:$F$22,RAB!$C$14:$C$22,C809)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400 kVA DYn5 OD</v>
      </c>
      <c r="D810" s="139">
        <f ca="1">SUMIFS(RAB!$F$14:$F$22,RAB!$C$14:$C$22,C810)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LVCB 2 Jurusan 250 A MCCB</v>
      </c>
      <c r="D811" s="139">
        <f ca="1">SUMIFS(RAB!$F$14:$F$22,RAB!$C$14:$C$22,C811)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LBS</v>
      </c>
      <c r="D812" s="139">
        <f ca="1">SUMIFS(RAB!$F$14:$F$22,RAB!$C$14:$C$22,C812)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400 A LBS</v>
      </c>
      <c r="D813" s="139">
        <f ca="1">SUMIFS(RAB!$F$14:$F$22,RAB!$C$14:$C$22,C813)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4 Jurusan 400 A LBS</v>
      </c>
      <c r="D814" s="139">
        <f ca="1">SUMIFS(RAB!$F$14:$F$22,RAB!$C$14:$C$22,C814)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630 A LBS</v>
      </c>
      <c r="D815" s="139">
        <f ca="1">SUMIFS(RAB!$F$14:$F$22,RAB!$C$14:$C$22,C815)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FCO Polymer</v>
      </c>
      <c r="D816" s="139">
        <f ca="1">SUMIFS(RAB!$F$14:$F$22,RAB!$C$14:$C$22,C816)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Load Break Switch</v>
      </c>
      <c r="D817" s="139">
        <f ca="1">SUMIFS(RAB!$F$14:$F$22,RAB!$C$14:$C$22,C817)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Recloser</v>
      </c>
      <c r="D818" s="139">
        <f ca="1">SUMIFS(RAB!$F$14:$F$22,RAB!$C$14:$C$22,C818)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Disconnecting Switch 20 KV - 630 A Porcelein</v>
      </c>
      <c r="D819" s="139">
        <f ca="1">SUMIFS(RAB!$F$14:$F$22,RAB!$C$14:$C$22,C819)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Disconnecting Switch 20 KV</v>
      </c>
      <c r="D820" s="139">
        <f ca="1">SUMIFS(RAB!$F$14:$F$22,RAB!$C$14:$C$22,C820)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Disconnecting Switch 20 KV - 630 A Polymer</v>
      </c>
      <c r="D821" s="139">
        <f ca="1">SUMIFS(RAB!$F$14:$F$22,RAB!$C$14:$C$22,C821)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Lightning Arester (Polymer) 21 KV, 10 KA</v>
      </c>
      <c r="D822" s="139">
        <f ca="1">SUMIFS(RAB!$F$14:$F$22,RAB!$C$14:$C$22,C822)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Lightning Arester (Polymer) 24 KV, 10 KA</v>
      </c>
      <c r="D823" s="139">
        <f ca="1">SUMIFS(RAB!$F$14:$F$22,RAB!$C$14:$C$22,C823)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Isolator Tumpu ( Pin Post ) 20 KV</v>
      </c>
      <c r="D824" s="139">
        <f ca="1">SUMIFS(RAB!$F$14:$F$22,RAB!$C$14:$C$22,C824)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Tumpu ( Line Post ) 20 KV</v>
      </c>
      <c r="D825" s="139">
        <f ca="1">SUMIFS(RAB!$F$14:$F$22,RAB!$C$14:$C$22,C825)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Tarik ( Strainkap Porcelain ) 20 KV</v>
      </c>
      <c r="D826" s="139">
        <f ca="1">SUMIFS(RAB!$F$14:$F$22,RAB!$C$14:$C$22,C826)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Isolator Tarik ( Porcelain ) 20 KV + Primary Dead End Clamp 150-240 mm²</v>
      </c>
      <c r="D827" s="139">
        <f ca="1">SUMIFS(RAB!$F$14:$F$22,RAB!$C$14:$C$22,C827)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Isolator Tarik ( Suspension Polymer ) 20 KV</v>
      </c>
      <c r="D828" s="139">
        <f ca="1">SUMIFS(RAB!$F$14:$F$22,RAB!$C$14:$C$22,C828)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AAAC 70 mm²</v>
      </c>
      <c r="D829" s="139">
        <f ca="1">SUMIFS(RAB!$F$14:$F$22,RAB!$C$14:$C$22,C829)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 150 mm²</v>
      </c>
      <c r="D830" s="139">
        <f ca="1">SUMIFS(RAB!$F$14:$F$22,RAB!$C$14:$C$22,C830)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 240 mm²</v>
      </c>
      <c r="D831" s="139">
        <f ca="1">SUMIFS(RAB!$F$14:$F$22,RAB!$C$14:$C$22,C831)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AAAC/S 70 mm²</v>
      </c>
      <c r="D832" s="139">
        <f ca="1">SUMIFS(RAB!$F$14:$F$22,RAB!$C$14:$C$22,C832)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AAAC/S 150 mm²</v>
      </c>
      <c r="D833" s="139">
        <f ca="1">SUMIFS(RAB!$F$14:$F$22,RAB!$C$14:$C$22,C833)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AAAC/S 240 mm²</v>
      </c>
      <c r="D834" s="139">
        <f ca="1">SUMIFS(RAB!$F$14:$F$22,RAB!$C$14:$C$22,C834)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NFA2X-T 2 x 70 + N 50 mm²</v>
      </c>
      <c r="D835" s="139">
        <f ca="1">SUMIFS(RAB!$F$14:$F$22,RAB!$C$14:$C$22,C835)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2 x 70 + N 70 mm²</v>
      </c>
      <c r="D836" s="139">
        <f ca="1">SUMIFS(RAB!$F$14:$F$22,RAB!$C$14:$C$22,C836)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3x35+1x35</v>
      </c>
      <c r="D837" s="139">
        <f ca="1">SUMIFS(RAB!$F$14:$F$22,RAB!$C$14:$C$22,C837)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NFA2X-T 3 x 70 + N 50 mm²</v>
      </c>
      <c r="D838" s="139">
        <f ca="1">SUMIFS(RAB!$F$14:$F$22,RAB!$C$14:$C$22,C838)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NFA2X-T 3x70+1x70</v>
      </c>
      <c r="D839" s="139">
        <f ca="1">SUMIFS(RAB!$F$14:$F$22,RAB!$C$14:$C$22,C839)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 2 x 10 mm²</v>
      </c>
      <c r="D840" s="139">
        <f ca="1">SUMIFS(RAB!$F$14:$F$22,RAB!$C$14:$C$22,C840)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2 x 16 mm²</v>
      </c>
      <c r="D841" s="139">
        <f ca="1">SUMIFS(RAB!$F$14:$F$22,RAB!$C$14:$C$22,C841)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NFA2X 4 x 16 mm²</v>
      </c>
      <c r="D842" s="139">
        <f ca="1">SUMIFS(RAB!$F$14:$F$22,RAB!$C$14:$C$22,C842)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NFA2X 4 x 70 mm²</v>
      </c>
      <c r="D843" s="139">
        <f ca="1">SUMIFS(RAB!$F$14:$F$22,RAB!$C$14:$C$22,C843)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Kabel NYY 1 x 70 mm²</v>
      </c>
      <c r="D844" s="139">
        <f ca="1">SUMIFS(RAB!$F$14:$F$22,RAB!$C$14:$C$22,C844)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95 mm²</v>
      </c>
      <c r="D845" s="139">
        <f ca="1">SUMIFS(RAB!$F$14:$F$22,RAB!$C$14:$C$22,C845)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1 x 150 mm²</v>
      </c>
      <c r="D846" s="139">
        <f ca="1">SUMIFS(RAB!$F$14:$F$22,RAB!$C$14:$C$22,C846)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NYY 1 x 240 mm²</v>
      </c>
      <c r="D847" s="139">
        <f ca="1">SUMIFS(RAB!$F$14:$F$22,RAB!$C$14:$C$22,C847)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NYY 4 x 70 mm²</v>
      </c>
      <c r="D848" s="139">
        <f ca="1">SUMIFS(RAB!$F$14:$F$22,RAB!$C$14:$C$22,C848)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NA2XSEYBY 20 KV, 3 x 150 mm²</v>
      </c>
      <c r="D849" s="139">
        <f ca="1">SUMIFS(RAB!$F$14:$F$22,RAB!$C$14:$C$22,C849)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Kabel NA2XSEYBY 20 KV, 3 x 240 mm²</v>
      </c>
      <c r="D850" s="139">
        <f ca="1">SUMIFS(RAB!$F$14:$F$22,RAB!$C$14:$C$22,C850)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Kabel NA2XSEYBY 20 KV, 3 x 300 mm²</v>
      </c>
      <c r="D851" s="139">
        <f ca="1">SUMIFS(RAB!$F$14:$F$22,RAB!$C$14:$C$22,C851)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MVTIC 3 x 150 + N 95 mm²</v>
      </c>
      <c r="D852" s="139">
        <f ca="1">SUMIFS(RAB!$F$14:$F$22,RAB!$C$14:$C$22,C852)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MVTIC 3 x 240 + N 95 mm²</v>
      </c>
      <c r="D853" s="139">
        <f ca="1">SUMIFS(RAB!$F$14:$F$22,RAB!$C$14:$C$22,C853)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KWH MPB; 3P; 4W; 230/400 V; 5(80) A; Class 1</v>
      </c>
      <c r="D854" s="139">
        <f ca="1">SUMIFS(RAB!$F$14:$F$22,RAB!$C$14:$C$22,C854)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Modem 3G/4G</v>
      </c>
      <c r="D855" s="139">
        <f ca="1">SUMIFS(RAB!$F$14:$F$22,RAB!$C$14:$C$22,C855)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MCCB 1 Fasa 40 A</v>
      </c>
      <c r="D856" s="139">
        <f ca="1">SUMIFS(RAB!$F$14:$F$22,RAB!$C$14:$C$22,C856)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63 A</v>
      </c>
      <c r="D857" s="139">
        <f ca="1">SUMIFS(RAB!$F$14:$F$22,RAB!$C$14:$C$22,C857)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1 Fasa 80 A</v>
      </c>
      <c r="D858" s="139">
        <f ca="1">SUMIFS(RAB!$F$14:$F$22,RAB!$C$14:$C$22,C858)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1 Fasa 100 A</v>
      </c>
      <c r="D859" s="139">
        <f ca="1">SUMIFS(RAB!$F$14:$F$22,RAB!$C$14:$C$22,C859)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3 Fasa 80 A</v>
      </c>
      <c r="D860" s="139">
        <f ca="1">SUMIFS(RAB!$F$14:$F$22,RAB!$C$14:$C$22,C860)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100 A</v>
      </c>
      <c r="D861" s="139">
        <f ca="1">SUMIFS(RAB!$F$14:$F$22,RAB!$C$14:$C$22,C861)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125 A</v>
      </c>
      <c r="D862" s="139">
        <f ca="1">SUMIFS(RAB!$F$14:$F$22,RAB!$C$14:$C$22,C862)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160 A</v>
      </c>
      <c r="D863" s="139">
        <f ca="1">SUMIFS(RAB!$F$14:$F$22,RAB!$C$14:$C$22,C863)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200 A</v>
      </c>
      <c r="D864" s="139">
        <f ca="1">SUMIFS(RAB!$F$14:$F$22,RAB!$C$14:$C$22,C864)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225 A</v>
      </c>
      <c r="D865" s="139">
        <f ca="1">SUMIFS(RAB!$F$14:$F$22,RAB!$C$14:$C$22,C865)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>MCCB 3 Fasa 250 A</v>
      </c>
      <c r="D866" s="139">
        <f ca="1">SUMIFS(RAB!$F$14:$F$22,RAB!$C$14:$C$22,C866)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>MCCB 3 Fasa 300 A</v>
      </c>
      <c r="D867" s="139">
        <f ca="1">SUMIFS(RAB!$F$14:$F$22,RAB!$C$14:$C$22,C867)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 xml:space="preserve">CT TR ; Burden 5 VA; 50/5 A - 300/5 A Class 0.5s </v>
      </c>
      <c r="D868" s="139">
        <f ca="1">SUMIFS(RAB!$F$14:$F$22,RAB!$C$14:$C$22,C868)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 xml:space="preserve">CT TR ; Burden 5 VA; 100/5 A Class 0.5s </v>
      </c>
      <c r="D869" s="139">
        <f ca="1">SUMIFS(RAB!$F$14:$F$22,RAB!$C$14:$C$22,C869)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>CT TM Indoor Tipe Blok 50/5-5A</v>
      </c>
      <c r="D870" s="139">
        <f ca="1">SUMIFS(RAB!$F$14:$F$22,RAB!$C$14:$C$22,C870)</f>
        <v>3</v>
      </c>
      <c r="E870" s="26">
        <f t="shared" ca="1" si="35"/>
        <v>1</v>
      </c>
      <c r="F870" s="26">
        <f ca="1">IF(D870=0,0,SUM($E$713:E870))</f>
        <v>1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SUMIFS(RAB!$F$14:$F$22,RAB!$C$14:$C$22,C871)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SUMIFS(RAB!$F$14:$F$22,RAB!$C$14:$C$22,C872)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SUMIFS(RAB!$F$14:$F$22,RAB!$C$14:$C$22,C873)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SUMIFS(RAB!$F$14:$F$22,RAB!$C$14:$C$22,C874)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SUMIFS(RAB!$F$14:$F$22,RAB!$C$14:$C$22,C875)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SUMIFS(RAB!$F$14:$F$22,RAB!$C$14:$C$22,C876)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SUMIFS(RAB!$F$14:$F$22,RAB!$C$14:$C$22,C877)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SUMIFS(RAB!$F$14:$F$22,RAB!$C$14:$C$22,C878)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SUMIFS(RAB!$F$14:$F$22,RAB!$C$14:$C$22,C879)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SUMIFS(RAB!$F$14:$F$22,RAB!$C$14:$C$22,C880)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SUMIFS(RAB!$F$14:$F$22,RAB!$C$14:$C$22,C881)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SUMIFS(RAB!$F$14:$F$22,RAB!$C$14:$C$22,C882)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SUMIFS(RAB!$F$14:$F$22,RAB!$C$14:$C$22,C883)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SUMIFS(RAB!$F$14:$F$22,RAB!$C$14:$C$22,C884)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SUMIFS(RAB!$F$14:$F$22,RAB!$C$14:$C$22,C885)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SUMIFS(RAB!$F$14:$F$22,RAB!$C$14:$C$22,C886)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SUMIFS(RAB!$F$14:$F$22,RAB!$C$14:$C$22,C887)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SUMIFS(RAB!$F$14:$F$22,RAB!$C$14:$C$22,C888)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SUMIFS(RAB!$F$14:$F$22,RAB!$C$14:$C$22,C889)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SUMIFS(RAB!$F$14:$F$22,RAB!$C$14:$C$22,C890)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SUMIFS(RAB!$F$14:$F$22,RAB!$C$14:$C$22,C891)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SUMIFS(RAB!$F$14:$F$22,RAB!$C$14:$C$22,C892)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SUMIFS(RAB!$F$14:$F$22,RAB!$C$14:$C$22,C893)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SUMIFS(RAB!$F$14:$F$22,RAB!$C$14:$C$22,C894)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SUMIFS(RAB!$F$14:$F$22,RAB!$C$14:$C$22,C895)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SUMIFS(RAB!$F$14:$F$22,RAB!$C$14:$C$22,C896)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SUMIFS(RAB!$F$14:$F$22,RAB!$C$14:$C$22,C897)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SUMIFS(RAB!$F$14:$F$22,RAB!$C$14:$C$22,C898)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SUMIFS(RAB!$F$14:$F$22,RAB!$C$14:$C$22,C899)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SUMIFS(RAB!$F$14:$F$22,RAB!$C$14:$C$22,C900)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SUMIFS(RAB!$F$14:$F$22,RAB!$C$14:$C$22,C901)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SUMIFS(RAB!$F$14:$F$22,RAB!$C$14:$C$22,C902)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SUMIFS(RAB!$F$14:$F$22,RAB!$C$14:$C$22,C903)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SUMIFS(RAB!$F$14:$F$22,RAB!$C$14:$C$22,C904)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SUMIFS(RAB!$F$14:$F$22,RAB!$C$14:$C$22,C905)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SUMIFS(RAB!$F$14:$F$22,RAB!$C$14:$C$22,C906)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SUMIFS(RAB!$F$14:$F$22,RAB!$C$14:$C$22,C907)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SUMIFS(RAB!$F$14:$F$22,RAB!$C$14:$C$22,C908)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SUMIFS(RAB!$F$14:$F$22,RAB!$C$14:$C$22,C909)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SUMIFS(RAB!$F$14:$F$22,RAB!$C$14:$C$22,C910)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SUMIFS(RAB!$F$14:$F$22,RAB!$C$14:$C$22,C911)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SUMIFS(RAB!$F$14:$F$22,RAB!$C$14:$C$22,C912)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SUMIFS(RAB!$F$14:$F$22,RAB!$C$14:$C$22,C913)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SUMIFS(RAB!$F$14:$F$22,RAB!$C$14:$C$22,C914)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SUMIFS(RAB!$F$14:$F$22,RAB!$C$14:$C$22,C915)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SUMIFS(RAB!$F$14:$F$22,RAB!$C$14:$C$22,C916)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SUMIFS(RAB!$F$14:$F$22,RAB!$C$14:$C$22,C917)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SUMIFS(RAB!$F$14:$F$22,RAB!$C$14:$C$22,C918)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SUMIFS(RAB!$F$14:$F$22,RAB!$C$14:$C$22,C919)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SUMIFS(RAB!$F$14:$F$22,RAB!$C$14:$C$22,C920)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SUMIFS(RAB!$F$14:$F$22,RAB!$C$14:$C$22,C921)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SUMIFS(RAB!$F$14:$F$22,RAB!$C$14:$C$22,C922)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SUMIFS(RAB!$F$14:$F$22,RAB!$C$14:$C$22,C923)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SUMIFS(RAB!$F$14:$F$22,RAB!$C$14:$C$22,C924)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SUMIFS(RAB!$F$14:$F$22,RAB!$C$14:$C$22,C925)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SUMIFS(RAB!$F$14:$F$22,RAB!$C$14:$C$22,C926)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SUMIFS(RAB!$F$14:$F$22,RAB!$C$14:$C$22,C927)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SUMIFS(RAB!$F$14:$F$22,RAB!$C$14:$C$22,C928)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SUMIFS(RAB!$F$14:$F$22,RAB!$C$14:$C$22,C929)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SUMIFS(RAB!$F$14:$F$22,RAB!$C$14:$C$22,C930)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SUMIFS(RAB!$F$14:$F$22,RAB!$C$14:$C$22,C931)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SUMIFS(RAB!$F$14:$F$22,RAB!$C$14:$C$22,C932)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SUMIFS(RAB!$F$14:$F$22,RAB!$C$14:$C$22,C933)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SUMIFS(RAB!$F$14:$F$22,RAB!$C$14:$C$22,C934)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SUMIFS(RAB!$F$14:$F$22,RAB!$C$14:$C$22,C935)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SUMIFS(RAB!$F$14:$F$22,RAB!$C$14:$C$22,C936)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SUMIFS(RAB!$F$14:$F$22,RAB!$C$14:$C$22,C937)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SUMIFS(RAB!$F$14:$F$22,RAB!$C$14:$C$22,C938)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SUMIFS(RAB!$F$14:$F$22,RAB!$C$14:$C$22,C939)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SUMIFS(RAB!$F$14:$F$22,RAB!$C$14:$C$22,C940)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SUMIFS(RAB!$F$14:$F$22,RAB!$C$14:$C$22,C941)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SUMIFS(RAB!$F$14:$F$22,RAB!$C$14:$C$22,C942)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SUMIFS(RAB!$F$14:$F$22,RAB!$C$14:$C$22,C943)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SUMIFS(RAB!$F$14:$F$22,RAB!$C$14:$C$22,C944)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SUMIFS(RAB!$F$14:$F$22,RAB!$C$14:$C$22,C945)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SUMIFS(RAB!$F$14:$F$22,RAB!$C$14:$C$22,C946)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SUMIFS(RAB!$F$14:$F$22,RAB!$C$14:$C$22,C947)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SUMIFS(RAB!$F$14:$F$22,RAB!$C$14:$C$22,C948)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SUMIFS(RAB!$F$14:$F$22,RAB!$C$14:$C$22,C949)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SUMIFS(RAB!$F$14:$F$22,RAB!$C$14:$C$22,C950)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SUMIFS(RAB!$F$14:$F$22,RAB!$C$14:$C$22,C951)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SUMIFS(RAB!$F$14:$F$22,RAB!$C$14:$C$22,C952)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SUMIFS(RAB!$F$14:$F$22,RAB!$C$14:$C$22,C953)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SUMIFS(RAB!$F$14:$F$22,RAB!$C$14:$C$22,C954)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SUMIFS(RAB!$F$14:$F$22,RAB!$C$14:$C$22,C955)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SUMIFS(RAB!$F$14:$F$22,RAB!$C$14:$C$22,C956)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SUMIFS(RAB!$F$14:$F$22,RAB!$C$14:$C$22,C957)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SUMIFS(RAB!$F$14:$F$22,RAB!$C$14:$C$22,C958)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SUMIFS(RAB!$F$14:$F$22,RAB!$C$14:$C$22,C959)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SUMIFS(RAB!$F$14:$F$22,RAB!$C$14:$C$22,C960)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SUMIFS(RAB!$F$14:$F$22,RAB!$C$14:$C$22,C961)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SUMIFS(RAB!$F$14:$F$22,RAB!$C$14:$C$22,C962)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SUMIFS(RAB!$F$14:$F$22,RAB!$C$14:$C$22,C963)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SUMIFS(RAB!$F$14:$F$22,RAB!$C$14:$C$22,C964)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SUMIFS(RAB!$F$14:$F$22,RAB!$C$14:$C$22,C965)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SUMIFS(RAB!$F$14:$F$22,RAB!$C$14:$C$22,C966)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SUMIFS(RAB!$F$14:$F$22,RAB!$C$14:$C$22,C967)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SUMIFS(RAB!$F$14:$F$22,RAB!$C$14:$C$22,C968)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SUMIFS(RAB!$F$14:$F$22,RAB!$C$14:$C$22,C969)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SUMIFS(RAB!$F$14:$F$22,RAB!$C$14:$C$22,C970)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SUMIFS(RAB!$F$14:$F$22,RAB!$C$14:$C$22,C971)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SUMIFS(RAB!$F$14:$F$22,RAB!$C$14:$C$22,C972)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SUMIFS(RAB!$F$14:$F$22,RAB!$C$14:$C$22,C973)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SUMIFS(RAB!$F$14:$F$22,RAB!$C$14:$C$22,C974)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SUMIFS(RAB!$F$14:$F$22,RAB!$C$14:$C$22,C975)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SUMIFS(RAB!$F$14:$F$22,RAB!$C$14:$C$22,C976)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SUMIFS(RAB!$F$14:$F$22,RAB!$C$14:$C$22,C977)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SUMIFS(RAB!$F$14:$F$22,RAB!$C$14:$C$22,C978)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SUMIFS(RAB!$F$14:$F$22,RAB!$C$14:$C$22,C979)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SUMIFS(RAB!$F$14:$F$22,RAB!$C$14:$C$22,C980)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SUMIFS(RAB!$F$14:$F$22,RAB!$C$14:$C$22,C981)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SUMIFS(RAB!$F$14:$F$22,RAB!$C$14:$C$22,C982)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SUMIFS(RAB!$F$14:$F$22,RAB!$C$14:$C$22,C983)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SUMIFS(RAB!$F$14:$F$22,RAB!$C$14:$C$22,C984)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SUMIFS(RAB!$F$14:$F$22,RAB!$C$14:$C$22,C985)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SUMIFS(RAB!$F$14:$F$22,RAB!$C$14:$C$22,C986)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SUMIFS(RAB!$F$14:$F$22,RAB!$C$14:$C$22,C987)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SUMIFS(RAB!$F$14:$F$22,RAB!$C$14:$C$22,C988)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SUMIFS(RAB!$F$14:$F$22,RAB!$C$14:$C$22,C989)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SUMIFS(RAB!$F$14:$F$22,RAB!$C$14:$C$22,C990)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SUMIFS(RAB!$F$14:$F$22,RAB!$C$14:$C$22,C991)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SUMIFS(RAB!$F$14:$F$22,RAB!$C$14:$C$22,C992)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SUMIFS(RAB!$F$14:$F$22,RAB!$C$14:$C$22,C993)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SUMIFS(RAB!$F$14:$F$22,RAB!$C$14:$C$22,C994)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SUMIFS(RAB!$F$14:$F$22,RAB!$C$14:$C$22,C995)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SUMIFS(RAB!$F$14:$F$22,RAB!$C$14:$C$22,C996)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SUMIFS(RAB!$F$14:$F$22,RAB!$C$14:$C$22,C997)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SUMIFS(RAB!$F$14:$F$22,RAB!$C$14:$C$22,C998)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SUMIFS(RAB!$F$14:$F$22,RAB!$C$14:$C$22,C999)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SUMIFS(RAB!$F$14:$F$22,RAB!$C$14:$C$22,C1000)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SUMIFS(RAB!$F$14:$F$22,RAB!$C$14:$C$22,C1001)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SUMIFS(RAB!$F$14:$F$22,RAB!$C$14:$C$22,C1002)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SUMIFS(RAB!$F$14:$F$22,RAB!$C$14:$C$22,C1003)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SUMIFS(RAB!$F$14:$F$22,RAB!$C$14:$C$22,C1004)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SUMIFS(RAB!$F$14:$F$22,RAB!$C$14:$C$22,C1005)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SUMIFS(RAB!$F$14:$F$22,RAB!$C$14:$C$22,C1006)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SUMIFS(RAB!$F$14:$F$22,RAB!$C$14:$C$22,C1007)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SUMIFS(RAB!$F$14:$F$22,RAB!$C$14:$C$22,C1008)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SUMIFS(RAB!$F$14:$F$22,RAB!$C$14:$C$22,C1009)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SUMIFS(RAB!$F$14:$F$22,RAB!$C$14:$C$22,C1010)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SUMIFS(RAB!$F$14:$F$22,RAB!$C$14:$C$22,C1011)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SUMIFS(RAB!$F$14:$F$22,RAB!$C$14:$C$22,C1012)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SUMIFS(RAB!$F$14:$F$22,RAB!$C$14:$C$22,C1013)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SUMIFS(RAB!$F$14:$F$22,RAB!$C$14:$C$22,C1014)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SUMIFS(RAB!$F$14:$F$22,RAB!$C$14:$C$22,C1015)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SUMIFS(RAB!$F$14:$F$22,RAB!$C$14:$C$22,C1016)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SUMIFS(RAB!$F$14:$F$22,RAB!$C$14:$C$22,C1017)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SUMIFS(RAB!$F$14:$F$22,RAB!$C$14:$C$22,C1018)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SUMIFS(RAB!$F$14:$F$22,RAB!$C$14:$C$22,C1019)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SUMIFS(RAB!$F$14:$F$22,RAB!$C$14:$C$22,C1020)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SUMIFS(RAB!$F$14:$F$22,RAB!$C$14:$C$22,C1021)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SUMIFS(RAB!$F$14:$F$22,RAB!$C$14:$C$22,C1022)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SUMIFS(RAB!$F$14:$F$22,RAB!$C$14:$C$22,C1023)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SUMIFS(RAB!$F$14:$F$22,RAB!$C$14:$C$22,C1024)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SUMIFS(RAB!$F$14:$F$22,RAB!$C$14:$C$22,C1025)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SUMIFS(RAB!$F$14:$F$22,RAB!$C$14:$C$22,C1026)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SUMIFS(RAB!$F$14:$F$22,RAB!$C$14:$C$22,C1027)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SUMIFS(RAB!$F$14:$F$22,RAB!$C$14:$C$22,C1028)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SUMIFS(RAB!$F$14:$F$22,RAB!$C$14:$C$22,C1029)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SUMIFS(RAB!$F$14:$F$22,RAB!$C$14:$C$22,C1030)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SUMIFS(RAB!$F$14:$F$22,RAB!$C$14:$C$22,C1031)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SUMIFS(RAB!$F$14:$F$22,RAB!$C$14:$C$22,C1032)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SUMIFS(RAB!$F$14:$F$22,RAB!$C$14:$C$22,C1033)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SUMIFS(RAB!$F$14:$F$22,RAB!$C$14:$C$22,C1034)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SUMIFS(RAB!$F$14:$F$22,RAB!$C$14:$C$22,C1035)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SUMIFS(RAB!$F$14:$F$22,RAB!$C$14:$C$22,C1036)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SUMIFS(RAB!$F$14:$F$22,RAB!$C$14:$C$22,C1037)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SUMIFS(RAB!$F$14:$F$22,RAB!$C$14:$C$22,C1038)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SUMIFS(RAB!$F$14:$F$22,RAB!$C$14:$C$22,C1039)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SUMIFS(RAB!$F$14:$F$22,RAB!$C$14:$C$22,C1040)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SUMIFS(RAB!$F$14:$F$22,RAB!$C$14:$C$22,C1041)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SUMIFS(RAB!$F$14:$F$22,RAB!$C$14:$C$22,C1042)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SUMIFS(RAB!$F$14:$F$22,RAB!$C$14:$C$22,C1043)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SUMIFS(RAB!$F$14:$F$22,RAB!$C$14:$C$22,C1044)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SUMIFS(RAB!$F$14:$F$22,RAB!$C$14:$C$22,C1045)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SUMIFS(RAB!$F$14:$F$22,RAB!$C$14:$C$22,C1046)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SUMIFS(RAB!$F$14:$F$22,RAB!$C$14:$C$22,C1047)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SUMIFS(RAB!$F$14:$F$22,RAB!$C$14:$C$22,C1048)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SUMIFS(RAB!$F$14:$F$22,RAB!$C$14:$C$22,C1049)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SUMIFS(RAB!$F$14:$F$22,RAB!$C$14:$C$22,C1050)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SUMIFS(RAB!$F$14:$F$22,RAB!$C$14:$C$22,C1051)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SUMIFS(RAB!$F$14:$F$22,RAB!$C$14:$C$22,C1052)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SUMIFS(RAB!$F$14:$F$22,RAB!$C$14:$C$22,C1053)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SUMIFS(RAB!$F$14:$F$22,RAB!$C$14:$C$22,C1054)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SUMIFS(RAB!$F$14:$F$22,RAB!$C$14:$C$22,C1055)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SUMIFS(RAB!$F$14:$F$22,RAB!$C$14:$C$22,C1056)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SUMIFS(RAB!$F$14:$F$22,RAB!$C$14:$C$22,C1057)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SUMIFS(RAB!$F$14:$F$22,RAB!$C$14:$C$22,C1058)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SUMIFS(RAB!$F$14:$F$22,RAB!$C$14:$C$22,C1059)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SUMIFS(RAB!$F$14:$F$22,RAB!$C$14:$C$22,C1060)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SUMIFS(RAB!$F$14:$F$22,RAB!$C$14:$C$22,C1061)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SUMIFS(RAB!$F$14:$F$22,RAB!$C$14:$C$22,C1062)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SUMIFS(RAB!$F$14:$F$22,RAB!$C$14:$C$22,C1063)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SUMIFS(RAB!$F$14:$F$22,RAB!$C$14:$C$22,C1064)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SUMIFS(RAB!$F$14:$F$22,RAB!$C$14:$C$22,C1065)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SUMIFS(RAB!$F$14:$F$22,RAB!$C$14:$C$22,C1066)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SUMIFS(RAB!$F$14:$F$22,RAB!$C$14:$C$22,C1067)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SUMIFS(RAB!$F$14:$F$22,RAB!$C$14:$C$22,C1068)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SUMIFS(RAB!$F$14:$F$22,RAB!$C$14:$C$22,C1069)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SUMIFS(RAB!$F$14:$F$22,RAB!$C$14:$C$22,C1070)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SUMIFS(RAB!$F$14:$F$22,RAB!$C$14:$C$22,C1071)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SUMIFS(RAB!$F$14:$F$22,RAB!$C$14:$C$22,C1072)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SUMIFS(RAB!$F$14:$F$22,RAB!$C$14:$C$22,C1073)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SUMIFS(RAB!$F$14:$F$22,RAB!$C$14:$C$22,C1074)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SUMIFS(RAB!$F$14:$F$22,RAB!$C$14:$C$22,C1075)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SUMIFS(RAB!$F$14:$F$22,RAB!$C$14:$C$22,C1076)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SUMIFS(RAB!$F$14:$F$22,RAB!$C$14:$C$22,C1077)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SUMIFS(RAB!$F$14:$F$22,RAB!$C$14:$C$22,C1078)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SUMIFS(RAB!$F$14:$F$22,RAB!$C$14:$C$22,C1079)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SUMIFS(RAB!$F$14:$F$22,RAB!$C$14:$C$22,C1080)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SUMIFS(RAB!$F$14:$F$22,RAB!$C$14:$C$22,C1081)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SUMIFS(RAB!$F$14:$F$22,RAB!$C$14:$C$22,C1082)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SUMIFS(RAB!$F$14:$F$22,RAB!$C$14:$C$22,C1083)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SUMIFS(RAB!$F$14:$F$22,RAB!$C$14:$C$22,C1084)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SUMIFS(RAB!$F$14:$F$22,RAB!$C$14:$C$22,C1085)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SUMIFS(RAB!$F$14:$F$22,RAB!$C$14:$C$22,C1086)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SUMIFS(RAB!$F$14:$F$22,RAB!$C$14:$C$22,C1087)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SUMIFS(RAB!$F$14:$F$22,RAB!$C$14:$C$22,C1088)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SUMIFS(RAB!$F$14:$F$22,RAB!$C$14:$C$22,C1089)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SUMIFS(RAB!$F$14:$F$22,RAB!$C$14:$C$22,C1090)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SUMIFS(RAB!$F$14:$F$22,RAB!$C$14:$C$22,C1091)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SUMIFS(RAB!$F$14:$F$22,RAB!$C$14:$C$22,C1092)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SUMIFS(RAB!$F$14:$F$22,RAB!$C$14:$C$22,C1093)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SUMIFS(RAB!$F$14:$F$22,RAB!$C$14:$C$22,C1094)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SUMIFS(RAB!$F$14:$F$22,RAB!$C$14:$C$22,C1095)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SUMIFS(RAB!$F$14:$F$22,RAB!$C$14:$C$22,C1096)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SUMIFS(RAB!$F$14:$F$22,RAB!$C$14:$C$22,C1097)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SUMIFS(RAB!$F$14:$F$22,RAB!$C$14:$C$22,C1098)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SUMIFS(RAB!$F$14:$F$22,RAB!$C$14:$C$22,C1099)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SUMIFS(RAB!$F$14:$F$22,RAB!$C$14:$C$22,C1100)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SUMIFS(RAB!$F$14:$F$22,RAB!$C$14:$C$22,C1101)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SUMIFS(RAB!$F$14:$F$22,RAB!$C$14:$C$22,C1102)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SUMIFS(RAB!$F$14:$F$22,RAB!$C$14:$C$22,C1103)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SUMIFS(RAB!$F$14:$F$22,RAB!$C$14:$C$22,C1104)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SUMIFS(RAB!$F$14:$F$22,RAB!$C$14:$C$22,C1105)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SUMIFS(RAB!$F$14:$F$22,RAB!$C$14:$C$22,C1106)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SUMIFS(RAB!$F$14:$F$22,RAB!$C$14:$C$22,C1107)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SUMIFS(RAB!$F$14:$F$22,RAB!$C$14:$C$22,C1108)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SUMIFS(RAB!$F$14:$F$22,RAB!$C$14:$C$22,C1109)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SUMIFS(RAB!$F$14:$F$22,RAB!$C$14:$C$22,C1110)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SUMIFS(RAB!$F$14:$F$22,RAB!$C$14:$C$22,C1111)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SUMIFS(RAB!$F$14:$F$22,RAB!$C$14:$C$22,C1112)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SUMIFS(RAB!$F$14:$F$22,RAB!$C$14:$C$22,C1113)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SUMIFS(RAB!$F$14:$F$22,RAB!$C$14:$C$22,C1114)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SUMIFS(RAB!$F$14:$F$22,RAB!$C$14:$C$22,C1115)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SUMIFS(RAB!$F$14:$F$22,RAB!$C$14:$C$22,C1116)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SUMIFS(RAB!$F$14:$F$22,RAB!$C$14:$C$22,C1117)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SUMIFS(RAB!$F$14:$F$22,RAB!$C$14:$C$22,C1118)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SUMIFS(RAB!$F$14:$F$22,RAB!$C$14:$C$22,C1119)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SUMIFS(RAB!$F$14:$F$22,RAB!$C$14:$C$22,C1120)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SUMIFS(RAB!$F$14:$F$22,RAB!$C$14:$C$22,C1121)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SUMIFS(RAB!$F$14:$F$22,RAB!$C$14:$C$22,C1122)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SUMIFS(RAB!$F$14:$F$22,RAB!$C$14:$C$22,C1123)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SUMIFS(RAB!$F$14:$F$22,RAB!$C$14:$C$22,C1124)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SUMIFS(RAB!$F$14:$F$22,RAB!$C$14:$C$22,C1125)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SUMIFS(RAB!$F$14:$F$22,RAB!$C$14:$C$22,C1126)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SUMIFS(RAB!$F$14:$F$22,RAB!$C$14:$C$22,C1127)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SUMIFS(RAB!$F$14:$F$22,RAB!$C$14:$C$22,C1128)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SUMIFS(RAB!$F$14:$F$22,RAB!$C$14:$C$22,C1129)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SUMIFS(RAB!$F$14:$F$22,RAB!$C$14:$C$22,C1130)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SUMIFS(RAB!$F$14:$F$22,RAB!$C$14:$C$22,C1131)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SUMIFS(RAB!$F$14:$F$22,RAB!$C$14:$C$22,C1132)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SUMIFS(RAB!$F$14:$F$22,RAB!$C$14:$C$22,C1133)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SUMIFS(RAB!$F$14:$F$22,RAB!$C$14:$C$22,C1134)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SUMIFS(RAB!$F$14:$F$22,RAB!$C$14:$C$22,C1135)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SUMIFS(RAB!$F$14:$F$22,RAB!$C$14:$C$22,C1136)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SUMIFS(RAB!$F$14:$F$22,RAB!$C$14:$C$22,C1137)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SUMIFS(RAB!$F$14:$F$22,RAB!$C$14:$C$22,C1138)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SUMIFS(RAB!$F$14:$F$22,RAB!$C$14:$C$22,C1139)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SUMIFS(RAB!$F$14:$F$22,RAB!$C$14:$C$22,C1140)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SUMIFS(RAB!$F$14:$F$22,RAB!$C$14:$C$22,C1141)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SUMIFS(RAB!$F$14:$F$22,RAB!$C$14:$C$22,C1142)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SUMIFS(RAB!$F$14:$F$22,RAB!$C$14:$C$22,C1143)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SUMIFS(RAB!$F$14:$F$22,RAB!$C$14:$C$22,C1144)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SUMIFS(RAB!$F$14:$F$22,RAB!$C$14:$C$22,C1145)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SUMIFS(RAB!$F$14:$F$22,RAB!$C$14:$C$22,C1146)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SUMIFS(RAB!$F$14:$F$22,RAB!$C$14:$C$22,C1147)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SUMIFS(RAB!$F$14:$F$22,RAB!$C$14:$C$22,C1148)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SUMIFS(RAB!$F$14:$F$22,RAB!$C$14:$C$22,C1149)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SUMIFS(RAB!$F$14:$F$22,RAB!$C$14:$C$22,C1150)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SUMIFS(RAB!$F$14:$F$22,RAB!$C$14:$C$22,C1151)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SUMIFS(RAB!$F$14:$F$22,RAB!$C$14:$C$22,C1152)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SUMIFS(RAB!$F$14:$F$22,RAB!$C$14:$C$22,C1153)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SUMIFS(RAB!$F$14:$F$22,RAB!$C$14:$C$22,C1154)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SUMIFS(RAB!$F$14:$F$22,RAB!$C$14:$C$22,C1155)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SUMIFS(RAB!$F$14:$F$22,RAB!$C$14:$C$22,C1156)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SUMIFS(RAB!$F$14:$F$22,RAB!$C$14:$C$22,C1157)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SUMIFS(RAB!$F$14:$F$22,RAB!$C$14:$C$22,C1158)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SUMIFS(RAB!$F$14:$F$22,RAB!$C$14:$C$22,C1159)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SUMIFS(RAB!$F$14:$F$22,RAB!$C$14:$C$22,C1160)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SUMIFS(RAB!$F$14:$F$22,RAB!$C$14:$C$22,C1161)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SUMIFS(RAB!$F$14:$F$22,RAB!$C$14:$C$22,C1162)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SUMIFS(RAB!$F$14:$F$22,RAB!$C$14:$C$22,C1163)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SUMIFS(RAB!$F$14:$F$22,RAB!$C$14:$C$22,C1164)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SUMIFS(RAB!$F$14:$F$22,RAB!$C$14:$C$22,C1165)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SUMIFS(RAB!$F$14:$F$22,RAB!$C$14:$C$22,C1166)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SUMIFS(RAB!$F$14:$F$22,RAB!$C$14:$C$22,C1167)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SUMIFS(RAB!$F$14:$F$22,RAB!$C$14:$C$22,C1168)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SUMIFS(RAB!$F$14:$F$22,RAB!$C$14:$C$22,C1169)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SUMIFS(RAB!$F$14:$F$22,RAB!$C$14:$C$22,C1170)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SUMIFS(RAB!$F$14:$F$22,RAB!$C$14:$C$22,C1171)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SUMIFS(RAB!$F$14:$F$22,RAB!$C$14:$C$22,C1172)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SUMIFS(RAB!$F$14:$F$22,RAB!$C$14:$C$22,C1173)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SUMIFS(RAB!$F$14:$F$22,RAB!$C$14:$C$22,C1174)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SUMIFS(RAB!$F$14:$F$22,RAB!$C$14:$C$22,C1175)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SUMIFS(RAB!$F$14:$F$22,RAB!$C$14:$C$22,C1176)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SUMIFS(RAB!$F$14:$F$22,RAB!$C$14:$C$22,C1177)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SUMIFS(RAB!$F$14:$F$22,RAB!$C$14:$C$22,C1178)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SUMIFS(RAB!$F$14:$F$22,RAB!$C$14:$C$22,C1179)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SUMIFS(RAB!$F$14:$F$22,RAB!$C$14:$C$22,C1180)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SUMIFS(RAB!$F$14:$F$22,RAB!$C$14:$C$22,C1181)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SUMIFS(RAB!$F$14:$F$22,RAB!$C$14:$C$22,C1182)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SUMIFS(RAB!$F$14:$F$22,RAB!$C$14:$C$22,C1183)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SUMIFS(RAB!$F$14:$F$22,RAB!$C$14:$C$22,C1184)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SUMIFS(RAB!$F$14:$F$22,RAB!$C$14:$C$22,C1185)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SUMIFS(RAB!$F$14:$F$22,RAB!$C$14:$C$22,C1186)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SUMIFS(RAB!$F$14:$F$22,RAB!$C$14:$C$22,C1187)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SUMIFS(RAB!$F$14:$F$22,RAB!$C$14:$C$22,C1188)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SUMIFS(RAB!$F$14:$F$22,RAB!$C$14:$C$22,C1189)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SUMIFS(RAB!$F$14:$F$22,RAB!$C$14:$C$22,C1190)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SUMIFS(RAB!$F$14:$F$22,RAB!$C$14:$C$22,C1191)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SUMIFS(RAB!$F$14:$F$22,RAB!$C$14:$C$22,C1192)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SUMIFS(RAB!$F$14:$F$22,RAB!$C$14:$C$22,C1193)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SUMIFS(RAB!$F$14:$F$22,RAB!$C$14:$C$22,C1194)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SUMIFS(RAB!$F$14:$F$22,RAB!$C$14:$C$22,C1195)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SUMIFS(RAB!$F$14:$F$22,RAB!$C$14:$C$22,C1196)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SUMIFS(RAB!$F$14:$F$22,RAB!$C$14:$C$22,C1197)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SUMIFS(RAB!$F$14:$F$22,RAB!$C$14:$C$22,C1198)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SUMIFS(RAB!$F$14:$F$22,RAB!$C$14:$C$22,C1199)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SUMIFS(RAB!$F$14:$F$22,RAB!$C$14:$C$22,C1200)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SUMIFS(RAB!$F$14:$F$22,RAB!$C$14:$C$22,C1201)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SUMIFS(RAB!$F$14:$F$22,RAB!$C$14:$C$22,C1202)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SUMIFS(RAB!$F$14:$F$22,RAB!$C$14:$C$22,C1203)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SUMIFS(RAB!$F$14:$F$22,RAB!$C$14:$C$22,C1204)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SUMIFS(RAB!$F$14:$F$22,RAB!$C$14:$C$22,C1205)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SUMIFS(RAB!$F$14:$F$22,RAB!$C$14:$C$22,C1206)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SUMIFS(RAB!$F$14:$F$22,RAB!$C$14:$C$22,C1207)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SUMIFS(RAB!$F$14:$F$22,RAB!$C$14:$C$22,C1208)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SUMIFS(RAB!$F$14:$F$22,RAB!$C$14:$C$22,C1209)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SUMIFS(RAB!$F$14:$F$22,RAB!$C$14:$C$22,C1210)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SUMIFS(RAB!$F$14:$F$22,RAB!$C$14:$C$22,C1211)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SUMIFS(RAB!$F$14:$F$22,RAB!$C$14:$C$22,C1212)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SUMIFS(RAB!$F$14:$F$22,RAB!$C$14:$C$22,C1213)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SUMIFS(RAB!$F$14:$F$22,RAB!$C$14:$C$22,C1214)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SUMIFS(RAB!$F$14:$F$22,RAB!$C$14:$C$22,C1215)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SUMIFS(RAB!$F$14:$F$22,RAB!$C$14:$C$22,C1216)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SUMIFS(RAB!$F$14:$F$22,RAB!$C$14:$C$22,C1217)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SUMIFS(RAB!$F$14:$F$22,RAB!$C$14:$C$22,C1218)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SUMIFS(RAB!$F$14:$F$22,RAB!$C$14:$C$22,C1219)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SUMIFS(RAB!$F$14:$F$22,RAB!$C$14:$C$22,C1220)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SUMIFS(RAB!$F$14:$F$22,RAB!$C$14:$C$22,C1221)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SUMIFS(RAB!$F$14:$F$22,RAB!$C$14:$C$22,C1222)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SUMIFS(RAB!$F$14:$F$22,RAB!$C$14:$C$22,C1223)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SUMIFS(RAB!$F$14:$F$22,RAB!$C$14:$C$22,C1224)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SUMIFS(RAB!$F$14:$F$22,RAB!$C$14:$C$22,C1225)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SUMIFS(RAB!$F$14:$F$22,RAB!$C$14:$C$22,C1226)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SUMIFS(RAB!$F$14:$F$22,RAB!$C$14:$C$22,C1227)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SUMIFS(RAB!$F$14:$F$22,RAB!$C$14:$C$22,C1228)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SUMIFS(RAB!$F$14:$F$22,RAB!$C$14:$C$22,C1229)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SUMIFS(RAB!$F$14:$F$22,RAB!$C$14:$C$22,C1230)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SUMIFS(RAB!$F$14:$F$22,RAB!$C$14:$C$22,C1231)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SUMIFS(RAB!$F$14:$F$22,RAB!$C$14:$C$22,C1232)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SUMIFS(RAB!$F$14:$F$22,RAB!$C$14:$C$22,C1233)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SUMIFS(RAB!$F$14:$F$22,RAB!$C$14:$C$22,C1234)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SUMIFS(RAB!$F$14:$F$22,RAB!$C$14:$C$22,C1235)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SUMIFS(RAB!$F$14:$F$22,RAB!$C$14:$C$22,C1236)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SUMIFS(RAB!$F$14:$F$22,RAB!$C$14:$C$22,C1237)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SUMIFS(RAB!$F$14:$F$22,RAB!$C$14:$C$22,C1238)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SUMIFS(RAB!$F$14:$F$22,RAB!$C$14:$C$22,C1239)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SUMIFS(RAB!$F$14:$F$22,RAB!$C$14:$C$22,C1240)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SUMIFS(RAB!$F$14:$F$22,RAB!$C$14:$C$22,C1241)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SUMIFS(RAB!$F$14:$F$22,RAB!$C$14:$C$22,C1242)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SUMIFS(RAB!$F$14:$F$22,RAB!$C$14:$C$22,C1243)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SUMIFS(RAB!$F$14:$F$22,RAB!$C$14:$C$22,C1244)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SUMIFS(RAB!$F$14:$F$22,RAB!$C$14:$C$22,C1245)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SUMIFS(RAB!$F$14:$F$22,RAB!$C$14:$C$22,C1246)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SUMIFS(RAB!$F$14:$F$22,RAB!$C$14:$C$22,C1247)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SUMIFS(RAB!$F$14:$F$22,RAB!$C$14:$C$22,C1248)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SUMIFS(RAB!$F$14:$F$22,RAB!$C$14:$C$22,C1249)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SUMIFS(RAB!$F$14:$F$22,RAB!$C$14:$C$22,C1250)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SUMIFS(RAB!$F$14:$F$22,RAB!$C$14:$C$22,C1251)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SUMIFS(RAB!$F$14:$F$22,RAB!$C$14:$C$22,C1252)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SUMIFS(RAB!$F$14:$F$22,RAB!$C$14:$C$22,C1253)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SUMIFS(RAB!$F$14:$F$22,RAB!$C$14:$C$22,C1254)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SUMIFS(RAB!$F$14:$F$22,RAB!$C$14:$C$22,C1255)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SUMIFS(RAB!$F$14:$F$22,RAB!$C$14:$C$22,C1256)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SUMIFS(RAB!$F$14:$F$22,RAB!$C$14:$C$22,C1257)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SUMIFS(RAB!$F$14:$F$22,RAB!$C$14:$C$22,C1258)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SUMIFS(RAB!$F$14:$F$22,RAB!$C$14:$C$22,C1259)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SUMIFS(RAB!$F$14:$F$22,RAB!$C$14:$C$22,C1260)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SUMIFS(RAB!$F$14:$F$22,RAB!$C$14:$C$22,C1261)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SUMIFS(RAB!$F$14:$F$22,RAB!$C$14:$C$22,C1262)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SUMIFS(RAB!$F$14:$F$22,RAB!$C$14:$C$22,C1263)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SUMIFS(RAB!$F$14:$F$22,RAB!$C$14:$C$22,C1264)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SUMIFS(RAB!$F$14:$F$22,RAB!$C$14:$C$22,C1265)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SUMIFS(RAB!$F$14:$F$22,RAB!$C$14:$C$22,C1266)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SUMIFS(RAB!$F$14:$F$22,RAB!$C$14:$C$22,C1267)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SUMIFS(RAB!$F$14:$F$22,RAB!$C$14:$C$22,C1268)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SUMIFS(RAB!$F$14:$F$22,RAB!$C$14:$C$22,C1269)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SUMIFS(RAB!$F$14:$F$22,RAB!$C$14:$C$22,C1270)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SUMIFS(RAB!$F$14:$F$22,RAB!$C$14:$C$22,C1271)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SUMIFS(RAB!$F$14:$F$22,RAB!$C$14:$C$22,C1272)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SUMIFS(RAB!$F$14:$F$22,RAB!$C$14:$C$22,C1273)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SUMIFS(RAB!$F$14:$F$22,RAB!$C$14:$C$22,C1274)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SUMIFS(RAB!$F$14:$F$22,RAB!$C$14:$C$22,C1275)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SUMIFS(RAB!$F$14:$F$22,RAB!$C$14:$C$22,C1276)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SUMIFS(RAB!$F$14:$F$22,RAB!$C$14:$C$22,C1277)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SUMIFS(RAB!$F$14:$F$22,RAB!$C$14:$C$22,C1278)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SUMIFS(RAB!$F$14:$F$22,RAB!$C$14:$C$22,C1279)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SUMIFS(RAB!$F$14:$F$22,RAB!$C$14:$C$22,C1280)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SUMIFS(RAB!$F$14:$F$22,RAB!$C$14:$C$22,C1281)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SUMIFS(RAB!$F$14:$F$22,RAB!$C$14:$C$22,C1282)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SUMIFS(RAB!$F$14:$F$22,RAB!$C$14:$C$22,C1283)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SUMIFS(RAB!$F$14:$F$22,RAB!$C$14:$C$22,C1284)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SUMIFS(RAB!$F$14:$F$22,RAB!$C$14:$C$22,C1285)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SUMIFS(RAB!$F$14:$F$22,RAB!$C$14:$C$22,C1286)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SUMIFS(RAB!$F$14:$F$22,RAB!$C$14:$C$22,C1287)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SUMIFS(RAB!$F$14:$F$22,RAB!$C$14:$C$22,C1288)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SUMIFS(RAB!$F$14:$F$22,RAB!$C$14:$C$22,C1289)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SUMIFS(RAB!$F$14:$F$22,RAB!$C$14:$C$22,C1290)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SUMIFS(RAB!$F$14:$F$22,RAB!$C$14:$C$22,C1291)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SUMIFS(RAB!$F$14:$F$22,RAB!$C$14:$C$22,C1292)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SUMIFS(RAB!$F$14:$F$22,RAB!$C$14:$C$22,C1293)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SUMIFS(RAB!$F$14:$F$22,RAB!$C$14:$C$22,C1294)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SUMIFS(RAB!$F$14:$F$22,RAB!$C$14:$C$22,C1295)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SUMIFS(RAB!$F$14:$F$22,RAB!$C$14:$C$22,C1296)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SUMIFS(RAB!$F$14:$F$22,RAB!$C$14:$C$22,C1297)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SUMIFS(RAB!$F$14:$F$22,RAB!$C$14:$C$22,C1298)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SUMIFS(RAB!$F$14:$F$22,RAB!$C$14:$C$22,C1299)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SUMIFS(RAB!$F$14:$F$22,RAB!$C$14:$C$22,C1300)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SUMIFS(RAB!$F$14:$F$22,RAB!$C$14:$C$22,C1301)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SUMIFS(RAB!$F$14:$F$22,RAB!$C$14:$C$22,C1302)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SUMIFS(RAB!$F$14:$F$22,RAB!$C$14:$C$22,C1303)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SUMIFS(RAB!$F$14:$F$22,RAB!$C$14:$C$22,C1304)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SUMIFS(RAB!$F$14:$F$22,RAB!$C$14:$C$22,C1305)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SUMIFS(RAB!$F$14:$F$22,RAB!$C$14:$C$22,C1306)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SUMIFS(RAB!$F$14:$F$22,RAB!$C$14:$C$22,C1307)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SUMIFS(RAB!$F$14:$F$22,RAB!$C$14:$C$22,C1308)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SUMIFS(RAB!$F$14:$F$22,RAB!$C$14:$C$22,C1309)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SUMIFS(RAB!$F$14:$F$22,RAB!$C$14:$C$22,C1310)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SUMIFS(RAB!$F$14:$F$22,RAB!$C$14:$C$22,C1311)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SUMIFS(RAB!$F$14:$F$22,RAB!$C$14:$C$22,C1312)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SUMIFS(RAB!$F$14:$F$22,RAB!$C$14:$C$22,C1313)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SUMIFS(RAB!$F$14:$F$22,RAB!$C$14:$C$22,C1314)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SUMIFS(RAB!$F$14:$F$22,RAB!$C$14:$C$22,C1315)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SUMIFS(RAB!$F$14:$F$22,RAB!$C$14:$C$22,C1316)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SUMIFS(RAB!$F$14:$F$22,RAB!$C$14:$C$22,C1317)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SUMIFS(RAB!$F$14:$F$22,RAB!$C$14:$C$22,C1318)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SUMIFS(RAB!$F$14:$F$22,RAB!$C$14:$C$22,C1319)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SUMIFS(RAB!$F$14:$F$22,RAB!$C$14:$C$22,C1320)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08984375" defaultRowHeight="14.5"/>
  <cols>
    <col min="1" max="1" width="5.36328125" style="30" customWidth="1"/>
    <col min="2" max="2" width="5.08984375" style="24" customWidth="1"/>
    <col min="3" max="3" width="45.6328125" style="72" customWidth="1"/>
    <col min="4" max="4" width="8.6328125" style="72" customWidth="1"/>
    <col min="5" max="5" width="11.6328125" style="26" customWidth="1"/>
    <col min="6" max="6" width="7.6328125" style="26" customWidth="1"/>
    <col min="7" max="7" width="12.6328125" style="26" customWidth="1"/>
    <col min="8" max="9" width="16.6328125" style="27" customWidth="1"/>
    <col min="10" max="11" width="16.6328125" style="28" customWidth="1"/>
    <col min="12" max="12" width="3.6328125" style="29" customWidth="1"/>
    <col min="13" max="13" width="6.54296875" style="23" customWidth="1"/>
    <col min="14" max="14" width="7.36328125" style="23" customWidth="1"/>
    <col min="15" max="16" width="12.6328125" style="23" customWidth="1"/>
    <col min="17" max="17" width="2.453125" style="23" customWidth="1"/>
    <col min="18" max="20" width="10.90625" style="23" customWidth="1"/>
    <col min="21" max="16384" width="9.08984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18" t="str">
        <f>RAB!G6</f>
        <v>SAI APPAREL (525530130931)</v>
      </c>
      <c r="H6" s="518"/>
      <c r="I6" s="518"/>
      <c r="J6" s="518"/>
      <c r="K6" s="51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Semarang - Purwodadi, Kec. Godong, Kab. Grobogan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2" t="s">
        <v>41</v>
      </c>
      <c r="H11" s="531" t="s">
        <v>3</v>
      </c>
      <c r="I11" s="531"/>
      <c r="J11" s="531"/>
      <c r="K11" s="535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21"/>
      <c r="E12" s="521"/>
      <c r="F12" s="521"/>
      <c r="G12" s="533"/>
      <c r="H12" s="523" t="s">
        <v>46</v>
      </c>
      <c r="I12" s="523" t="s">
        <v>5</v>
      </c>
      <c r="J12" s="521" t="s">
        <v>47</v>
      </c>
      <c r="K12" s="52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21"/>
      <c r="E13" s="521"/>
      <c r="F13" s="521"/>
      <c r="G13" s="534"/>
      <c r="H13" s="524"/>
      <c r="I13" s="524"/>
      <c r="J13" s="521"/>
      <c r="K13" s="52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SATUAN'!$C$7:$C$1504,0),0)),"",OFFSET('HARGA SATUAN'!$D$6,MATCH(C16,'HARGA SATUAN'!$C$7:$C$1504,0),0))</f>
        <v/>
      </c>
      <c r="E16" s="101">
        <f ca="1">IF(B16="+","Unit",IF(ISERROR(OFFSET('HARGA SATUAN'!$E$6,MATCH(C16,'HARGA SATUAN'!$C$7:$C$1504,0),0)),"",OFFSET('HARGA SATUAN'!$E$6,MATCH(C16,'HARGA SATUAN'!$C$7:$C$1504,0),0)))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SATUAN'!$C$7:$C$1504,0),0)),"",OFFSET('HARGA SATUAN'!$I$6,MATCH(C16,'HARGA SATUAN'!$C$7:$C$1504,0),0))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01" t="str">
        <f t="shared" ca="1" si="5"/>
        <v/>
      </c>
      <c r="G17" s="41">
        <f ca="1">IF(ISERROR(OFFSET('HARGA SATUAN'!$I$6,MATCH(C17,'HARGA SATUAN'!$C$7:$C$1504,0),0)),"",OFFSET('HARGA SATUAN'!$I$6,MATCH(C17,'HARGA SATUAN'!$C$7:$C$1504,0),0))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19" t="s">
        <v>1008</v>
      </c>
      <c r="D38" s="519"/>
      <c r="E38" s="519"/>
      <c r="F38" s="51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0" t="s">
        <v>462</v>
      </c>
      <c r="D39" s="520"/>
      <c r="E39" s="520"/>
      <c r="F39" s="52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09" t="s">
        <v>463</v>
      </c>
      <c r="D40" s="509"/>
      <c r="E40" s="509"/>
      <c r="F40" s="50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2" t="e">
        <f ca="1">"Terbilang : ( "&amp;L42&amp;" Rupiah )"</f>
        <v>#NAME?</v>
      </c>
      <c r="C41" s="513"/>
      <c r="D41" s="513"/>
      <c r="E41" s="513"/>
      <c r="F41" s="513"/>
      <c r="G41" s="513"/>
      <c r="H41" s="513"/>
      <c r="I41" s="513"/>
      <c r="J41" s="513"/>
      <c r="K41" s="514"/>
      <c r="L41" s="44"/>
      <c r="R41" s="58"/>
      <c r="S41" s="58"/>
      <c r="T41" s="58"/>
    </row>
    <row r="42" spans="1:20" s="36" customFormat="1">
      <c r="A42" s="30"/>
      <c r="B42" s="515"/>
      <c r="C42" s="516"/>
      <c r="D42" s="516"/>
      <c r="E42" s="516"/>
      <c r="F42" s="516"/>
      <c r="G42" s="516"/>
      <c r="H42" s="516"/>
      <c r="I42" s="516"/>
      <c r="J42" s="516"/>
      <c r="K42" s="517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0"/>
      <c r="I45" s="510"/>
      <c r="J45" s="511"/>
      <c r="K45" s="51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0"/>
      <c r="I46" s="510"/>
      <c r="J46" s="511"/>
      <c r="K46" s="51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0"/>
      <c r="I47" s="510"/>
      <c r="J47" s="511"/>
      <c r="K47" s="51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0"/>
      <c r="I52" s="510"/>
      <c r="J52" s="511"/>
      <c r="K52" s="51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SUMIFS(RAB!$F$14:$F$22,RAB!$C$14:$C$22,'REKAP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SUMIFS(RAB!$F$14:$F$22,RAB!$C$14:$C$22,'REKAP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SUMIFS(RAB!$F$14:$F$22,RAB!$C$14:$C$22,'REKAP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SUMIFS(RAB!$F$14:$F$22,RAB!$C$14:$C$22,'REKAP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SUMIFS(RAB!$F$14:$F$22,RAB!$C$14:$C$22,'REKAP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SUMIFS(RAB!$F$14:$F$22,RAB!$C$14:$C$22,'REKAP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SUMIFS(RAB!$F$14:$F$22,RAB!$C$14:$C$22,'REKAP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SUMIFS(RAB!$F$14:$F$22,RAB!$C$14:$C$22,'REKAP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SUMIFS(RAB!$F$14:$F$22,RAB!$C$14:$C$22,'REKAP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SUMIFS(RAB!$F$14:$F$22,RAB!$C$14:$C$22,'REKAP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SUMIFS(RAB!$F$14:$F$22,RAB!$C$14:$C$22,'REKAP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SUMIFS(RAB!$F$14:$F$22,RAB!$C$14:$C$22,'REKAP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SUMIFS(RAB!$F$14:$F$22,RAB!$C$14:$C$22,'REKAP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SUMIFS(RAB!$F$14:$F$22,RAB!$C$14:$C$22,'REKAP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SUMIFS(RAB!$F$14:$F$22,RAB!$C$14:$C$22,'REKAP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SUMIFS(RAB!$F$14:$F$22,RAB!$C$14:$C$22,'REKAP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SUMIFS(RAB!$F$14:$F$22,RAB!$C$14:$C$22,'REKAP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SUMIFS(RAB!$F$14:$F$22,RAB!$C$14:$C$22,'REKAP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SUMIFS(RAB!$F$14:$F$22,RAB!$C$14:$C$22,'REKAP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SUMIFS(RAB!$F$14:$F$22,RAB!$C$14:$C$22,'REKAP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08984375" defaultRowHeight="14.5"/>
  <cols>
    <col min="1" max="1" width="5.36328125" style="30" customWidth="1"/>
    <col min="2" max="2" width="5.08984375" style="24" customWidth="1"/>
    <col min="3" max="3" width="45.6328125" style="72" customWidth="1"/>
    <col min="4" max="4" width="8.6328125" style="72" customWidth="1"/>
    <col min="5" max="5" width="11.6328125" style="26" customWidth="1"/>
    <col min="6" max="6" width="7.6328125" style="26" customWidth="1"/>
    <col min="7" max="7" width="12.6328125" style="26" customWidth="1"/>
    <col min="8" max="9" width="16.6328125" style="27" customWidth="1"/>
    <col min="10" max="11" width="16.6328125" style="28" customWidth="1"/>
    <col min="12" max="12" width="3.6328125" style="29" customWidth="1"/>
    <col min="13" max="13" width="6.54296875" style="23" customWidth="1"/>
    <col min="14" max="14" width="7.36328125" style="23" customWidth="1"/>
    <col min="15" max="16" width="12.6328125" style="23" customWidth="1"/>
    <col min="17" max="17" width="2.453125" style="23" customWidth="1"/>
    <col min="18" max="20" width="10.90625" style="23" customWidth="1"/>
    <col min="21" max="16384" width="9.08984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18" t="str">
        <f>RAB!G6</f>
        <v>SAI APPAREL (525530130931)</v>
      </c>
      <c r="H6" s="518"/>
      <c r="I6" s="518"/>
      <c r="J6" s="518"/>
      <c r="K6" s="51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Semarang - Purwodadi, Kec. Godong, Kab. Grobogan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2" t="s">
        <v>41</v>
      </c>
      <c r="H11" s="531" t="s">
        <v>3</v>
      </c>
      <c r="I11" s="531"/>
      <c r="J11" s="531"/>
      <c r="K11" s="535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21"/>
      <c r="E12" s="521"/>
      <c r="F12" s="521"/>
      <c r="G12" s="533"/>
      <c r="H12" s="523" t="s">
        <v>46</v>
      </c>
      <c r="I12" s="523" t="s">
        <v>5</v>
      </c>
      <c r="J12" s="521" t="s">
        <v>47</v>
      </c>
      <c r="K12" s="52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21"/>
      <c r="E13" s="521"/>
      <c r="F13" s="521"/>
      <c r="G13" s="534"/>
      <c r="H13" s="524"/>
      <c r="I13" s="524"/>
      <c r="J13" s="521"/>
      <c r="K13" s="52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ca="1">IF(ISERROR(OFFSET($C$223,MATCH(A16,$F$224:$F$373,0),0)),"",OFFSET($C$223,MATCH(A16,$F$224:$F$373,0),0))</f>
        <v/>
      </c>
      <c r="D16" s="101" t="str">
        <f ca="1">IF(ISERROR(OFFSET('HARGA SATUAN'!$D$6,MATCH(C16,'HARGA SATUAN'!$C$7:$C$1504,0),0)),"",OFFSET('HARGA SATUAN'!$D$6,MATCH(C16,'HARGA SATUAN'!$C$7:$C$1504,0),0))</f>
        <v/>
      </c>
      <c r="E16" s="101">
        <f ca="1">IF(B16="+","Unit",IF(ISERROR(OFFSET('HARGA SATUAN'!$E$6,MATCH(C16,'HARGA SATUAN'!$C$7:$C$1504,0),0)),"",OFFSET('HARGA SATUAN'!$E$6,MATCH(C16,'HARGA SATUAN'!$C$7:$C$1504,0),0)))</f>
        <v>0</v>
      </c>
      <c r="F16" s="101" t="str">
        <f ca="1">IF(ISERROR(OFFSET($D$223,MATCH(A16,$F$224:$F$373,0),0)),"",OFFSET($D$223,MATCH(A16,$F$224:$F$373,0),0))</f>
        <v/>
      </c>
      <c r="G16" s="41">
        <f ca="1">IF(ISERROR(OFFSET('HARGA SATUAN'!$I$6,MATCH(C16,'HARGA SATUAN'!$C$7:$C$1504,0),0)),"",OFFSET('HARGA SATUAN'!$I$6,MATCH(C16,'HARGA SATUAN'!$C$7:$C$1504,0),0))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4">IF(C17="","",A17)</f>
        <v/>
      </c>
      <c r="C17" s="109" t="str">
        <f t="shared" ref="C17:C23" ca="1" si="5">IF(ISERROR(OFFSET($C$223,MATCH(A17,$F$224:$F$373,0),0)),"",OFFSET($C$223,MATCH(A17,$F$224:$F$373,0),0))</f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01" t="str">
        <f t="shared" ref="F17:F23" ca="1" si="6">IF(ISERROR(OFFSET($D$223,MATCH(A17,$F$224:$F$373,0),0)),"",OFFSET($D$223,MATCH(A17,$F$224:$F$373,0),0))</f>
        <v/>
      </c>
      <c r="G17" s="41">
        <f ca="1">IF(ISERROR(OFFSET('HARGA SATUAN'!$I$6,MATCH(C17,'HARGA SATUAN'!$C$7:$C$1504,0),0)),"",OFFSET('HARGA SATUAN'!$I$6,MATCH(C17,'HARGA SATUAN'!$C$7:$C$1504,0),0))</f>
        <v>0</v>
      </c>
      <c r="H17" s="42">
        <f t="shared" ref="H17:H23" ca="1" si="7">IF(OR(D17="MDU",D17="MDU-KD"),G17*F17,0)</f>
        <v>0</v>
      </c>
      <c r="I17" s="42">
        <f t="shared" ref="I17:I23" ca="1" si="8">IF(D17="HDW",G17*F17,0)</f>
        <v>0</v>
      </c>
      <c r="J17" s="42">
        <f t="shared" ref="J17:J23" ca="1" si="9">IF(D17="JASA",G17*F17,0)</f>
        <v>0</v>
      </c>
      <c r="K17" s="43">
        <f t="shared" ref="K17:K23" ca="1" si="10">SUM(H17:J17)</f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6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7"/>
        <v>0</v>
      </c>
      <c r="I18" s="42">
        <f t="shared" ca="1" si="8"/>
        <v>0</v>
      </c>
      <c r="J18" s="42">
        <f t="shared" ca="1" si="9"/>
        <v>0</v>
      </c>
      <c r="K18" s="43">
        <f t="shared" ca="1" si="1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6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7"/>
        <v>0</v>
      </c>
      <c r="I19" s="42">
        <f t="shared" ca="1" si="8"/>
        <v>0</v>
      </c>
      <c r="J19" s="42">
        <f t="shared" ca="1" si="9"/>
        <v>0</v>
      </c>
      <c r="K19" s="43">
        <f t="shared" ca="1" si="1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6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7"/>
        <v>0</v>
      </c>
      <c r="I20" s="42">
        <f t="shared" ca="1" si="8"/>
        <v>0</v>
      </c>
      <c r="J20" s="42">
        <f t="shared" ca="1" si="9"/>
        <v>0</v>
      </c>
      <c r="K20" s="43">
        <f t="shared" ca="1" si="1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6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7"/>
        <v>0</v>
      </c>
      <c r="I21" s="42">
        <f t="shared" ca="1" si="8"/>
        <v>0</v>
      </c>
      <c r="J21" s="42">
        <f t="shared" ca="1" si="9"/>
        <v>0</v>
      </c>
      <c r="K21" s="43">
        <f t="shared" ca="1" si="1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6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7"/>
        <v>0</v>
      </c>
      <c r="I22" s="42">
        <f t="shared" ca="1" si="8"/>
        <v>0</v>
      </c>
      <c r="J22" s="42">
        <f t="shared" ca="1" si="9"/>
        <v>0</v>
      </c>
      <c r="K22" s="43">
        <f t="shared" ca="1" si="1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6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7"/>
        <v>0</v>
      </c>
      <c r="I23" s="42">
        <f t="shared" ca="1" si="8"/>
        <v>0</v>
      </c>
      <c r="J23" s="42">
        <f t="shared" ca="1" si="9"/>
        <v>0</v>
      </c>
      <c r="K23" s="43">
        <f t="shared" ca="1" si="1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80" ca="1" si="11">IF(C24="","",A24)</f>
        <v/>
      </c>
      <c r="C24" s="109" t="str">
        <f t="shared" ref="C24:C80" ca="1" si="12">IF(ISERROR(OFFSET($C$223,MATCH(A24,$F$224:$F$373,0),0)),"",OFFSET($C$223,MATCH(A24,$F$224:$F$373,0),0))</f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ref="F24:F80" ca="1" si="13">IF(ISERROR(OFFSET($D$223,MATCH(A24,$F$224:$F$373,0),0)),"",OFFSET($D$223,MATCH(A24,$F$224:$F$373,0),0))</f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11"/>
        <v/>
      </c>
      <c r="C25" s="109" t="str">
        <f t="shared" ca="1" si="12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13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11"/>
        <v/>
      </c>
      <c r="C26" s="109" t="str">
        <f t="shared" ca="1" si="12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13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11"/>
        <v/>
      </c>
      <c r="C27" s="109" t="str">
        <f t="shared" ca="1" si="12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13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11"/>
        <v/>
      </c>
      <c r="C28" s="109" t="str">
        <f t="shared" ca="1" si="12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13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11"/>
        <v/>
      </c>
      <c r="C29" s="109" t="str">
        <f t="shared" ca="1" si="12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13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11"/>
        <v/>
      </c>
      <c r="C30" s="109" t="str">
        <f t="shared" ca="1" si="12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13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11"/>
        <v/>
      </c>
      <c r="C31" s="109" t="str">
        <f t="shared" ca="1" si="12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13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11"/>
        <v/>
      </c>
      <c r="C32" s="109" t="str">
        <f t="shared" ca="1" si="12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13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11"/>
        <v/>
      </c>
      <c r="C33" s="109" t="str">
        <f t="shared" ca="1" si="12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13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11"/>
        <v/>
      </c>
      <c r="C34" s="109" t="str">
        <f t="shared" ca="1" si="12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13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11"/>
        <v/>
      </c>
      <c r="C35" s="109" t="str">
        <f t="shared" ca="1" si="12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13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11"/>
        <v/>
      </c>
      <c r="C36" s="109" t="str">
        <f t="shared" ca="1" si="12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13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11"/>
        <v/>
      </c>
      <c r="C37" s="109" t="str">
        <f t="shared" ca="1" si="12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13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11"/>
        <v/>
      </c>
      <c r="C38" s="109" t="str">
        <f t="shared" ca="1" si="12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13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11"/>
        <v/>
      </c>
      <c r="C39" s="109" t="str">
        <f t="shared" ca="1" si="12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13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11"/>
        <v/>
      </c>
      <c r="C40" s="109" t="str">
        <f t="shared" ca="1" si="12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13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11"/>
        <v/>
      </c>
      <c r="C41" s="109" t="str">
        <f t="shared" ca="1" si="12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13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11"/>
        <v/>
      </c>
      <c r="C42" s="109" t="str">
        <f t="shared" ca="1" si="12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13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11"/>
        <v/>
      </c>
      <c r="C43" s="109" t="str">
        <f t="shared" ca="1" si="12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13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11"/>
        <v/>
      </c>
      <c r="C44" s="109" t="str">
        <f t="shared" ca="1" si="12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13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11"/>
        <v/>
      </c>
      <c r="C45" s="109" t="str">
        <f t="shared" ca="1" si="12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13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11"/>
        <v/>
      </c>
      <c r="C46" s="109" t="str">
        <f t="shared" ca="1" si="12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13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11"/>
        <v/>
      </c>
      <c r="C47" s="109" t="str">
        <f t="shared" ca="1" si="12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13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11"/>
        <v/>
      </c>
      <c r="C48" s="109" t="str">
        <f t="shared" ca="1" si="12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13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11"/>
        <v/>
      </c>
      <c r="C49" s="109" t="str">
        <f t="shared" ca="1" si="12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13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11"/>
        <v/>
      </c>
      <c r="C50" s="109" t="str">
        <f t="shared" ca="1" si="12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13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11"/>
        <v/>
      </c>
      <c r="C51" s="109" t="str">
        <f t="shared" ca="1" si="12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13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11"/>
        <v/>
      </c>
      <c r="C52" s="109" t="str">
        <f t="shared" ca="1" si="12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13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11"/>
        <v/>
      </c>
      <c r="C53" s="109" t="str">
        <f t="shared" ca="1" si="12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13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11"/>
        <v/>
      </c>
      <c r="C54" s="109" t="str">
        <f t="shared" ca="1" si="12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13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11"/>
        <v/>
      </c>
      <c r="C55" s="109" t="str">
        <f t="shared" ca="1" si="12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13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11"/>
        <v/>
      </c>
      <c r="C56" s="109" t="str">
        <f t="shared" ca="1" si="12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13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11"/>
        <v/>
      </c>
      <c r="C57" s="109" t="str">
        <f t="shared" ca="1" si="12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13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11"/>
        <v/>
      </c>
      <c r="C58" s="109" t="str">
        <f t="shared" ca="1" si="12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13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11"/>
        <v/>
      </c>
      <c r="C59" s="109" t="str">
        <f t="shared" ca="1" si="12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13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11"/>
        <v/>
      </c>
      <c r="C60" s="109" t="str">
        <f t="shared" ca="1" si="12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13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11"/>
        <v/>
      </c>
      <c r="C61" s="109" t="str">
        <f t="shared" ca="1" si="12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13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11"/>
        <v/>
      </c>
      <c r="C62" s="109" t="str">
        <f t="shared" ca="1" si="12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13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11"/>
        <v/>
      </c>
      <c r="C63" s="109" t="str">
        <f t="shared" ca="1" si="12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13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11"/>
        <v/>
      </c>
      <c r="C64" s="109" t="str">
        <f t="shared" ca="1" si="12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13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11"/>
        <v/>
      </c>
      <c r="C65" s="109" t="str">
        <f t="shared" ca="1" si="12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13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11"/>
        <v/>
      </c>
      <c r="C66" s="109" t="str">
        <f t="shared" ca="1" si="12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13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11"/>
        <v/>
      </c>
      <c r="C67" s="109" t="str">
        <f t="shared" ca="1" si="12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13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4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11"/>
        <v/>
      </c>
      <c r="C68" s="109" t="str">
        <f t="shared" ca="1" si="12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13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4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11"/>
        <v/>
      </c>
      <c r="C69" s="109" t="str">
        <f t="shared" ca="1" si="12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13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4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11"/>
        <v/>
      </c>
      <c r="C70" s="109" t="str">
        <f t="shared" ca="1" si="12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13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4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11"/>
        <v/>
      </c>
      <c r="C71" s="109" t="str">
        <f t="shared" ca="1" si="12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13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4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11"/>
        <v/>
      </c>
      <c r="C72" s="109" t="str">
        <f t="shared" ca="1" si="12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13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4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11"/>
        <v/>
      </c>
      <c r="C73" s="109" t="str">
        <f t="shared" ca="1" si="12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13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4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11"/>
        <v/>
      </c>
      <c r="C74" s="109" t="str">
        <f t="shared" ca="1" si="12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13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4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11"/>
        <v/>
      </c>
      <c r="C75" s="109" t="str">
        <f t="shared" ca="1" si="12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13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4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11"/>
        <v/>
      </c>
      <c r="C76" s="109" t="str">
        <f t="shared" ca="1" si="12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13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4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11"/>
        <v/>
      </c>
      <c r="C77" s="109" t="str">
        <f t="shared" ca="1" si="12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13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4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11"/>
        <v/>
      </c>
      <c r="C78" s="109" t="str">
        <f t="shared" ca="1" si="12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13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4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11"/>
        <v/>
      </c>
      <c r="C79" s="109" t="str">
        <f t="shared" ca="1" si="12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13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15">IF(OR(D79="MDU",D79="MDU-KD"),G79*F79,0)</f>
        <v>0</v>
      </c>
      <c r="I79" s="42">
        <f t="shared" ref="I79:I115" ca="1" si="16">IF(D79="HDW",G79*F79,0)</f>
        <v>0</v>
      </c>
      <c r="J79" s="42">
        <f t="shared" ref="J79:J115" ca="1" si="17">IF(D79="JASA",G79*F79,0)</f>
        <v>0</v>
      </c>
      <c r="K79" s="43">
        <f t="shared" ca="1" si="14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11"/>
        <v/>
      </c>
      <c r="C80" s="109" t="str">
        <f t="shared" ca="1" si="12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13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15"/>
        <v>0</v>
      </c>
      <c r="I80" s="42">
        <f t="shared" ca="1" si="16"/>
        <v>0</v>
      </c>
      <c r="J80" s="42">
        <f t="shared" ca="1" si="17"/>
        <v>0</v>
      </c>
      <c r="K80" s="43">
        <f t="shared" ca="1" si="14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8">IF(C81="","",A81)</f>
        <v/>
      </c>
      <c r="C81" s="109" t="str">
        <f t="shared" ref="C81:C144" ca="1" si="19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20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15"/>
        <v>0</v>
      </c>
      <c r="I81" s="42">
        <f t="shared" ca="1" si="16"/>
        <v>0</v>
      </c>
      <c r="J81" s="42">
        <f t="shared" ca="1" si="17"/>
        <v>0</v>
      </c>
      <c r="K81" s="43">
        <f t="shared" ca="1" si="14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8"/>
        <v/>
      </c>
      <c r="C82" s="109" t="str">
        <f t="shared" ca="1" si="19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20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15"/>
        <v>0</v>
      </c>
      <c r="I82" s="42">
        <f t="shared" ca="1" si="16"/>
        <v>0</v>
      </c>
      <c r="J82" s="42">
        <f t="shared" ca="1" si="17"/>
        <v>0</v>
      </c>
      <c r="K82" s="43">
        <f t="shared" ca="1" si="14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8"/>
        <v/>
      </c>
      <c r="C83" s="109" t="str">
        <f t="shared" ca="1" si="19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20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15"/>
        <v>0</v>
      </c>
      <c r="I83" s="42">
        <f t="shared" ca="1" si="16"/>
        <v>0</v>
      </c>
      <c r="J83" s="42">
        <f t="shared" ca="1" si="17"/>
        <v>0</v>
      </c>
      <c r="K83" s="43">
        <f t="shared" ca="1" si="14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8"/>
        <v/>
      </c>
      <c r="C84" s="109" t="str">
        <f t="shared" ca="1" si="19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20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15"/>
        <v>0</v>
      </c>
      <c r="I84" s="42">
        <f t="shared" ca="1" si="16"/>
        <v>0</v>
      </c>
      <c r="J84" s="42">
        <f t="shared" ca="1" si="17"/>
        <v>0</v>
      </c>
      <c r="K84" s="43">
        <f t="shared" ca="1" si="14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8"/>
        <v/>
      </c>
      <c r="C85" s="109" t="str">
        <f t="shared" ca="1" si="19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20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15"/>
        <v>0</v>
      </c>
      <c r="I85" s="42">
        <f t="shared" ca="1" si="16"/>
        <v>0</v>
      </c>
      <c r="J85" s="42">
        <f t="shared" ca="1" si="17"/>
        <v>0</v>
      </c>
      <c r="K85" s="43">
        <f t="shared" ca="1" si="14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8"/>
        <v/>
      </c>
      <c r="C86" s="109" t="str">
        <f t="shared" ca="1" si="19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20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15"/>
        <v>0</v>
      </c>
      <c r="I86" s="42">
        <f t="shared" ca="1" si="16"/>
        <v>0</v>
      </c>
      <c r="J86" s="42">
        <f t="shared" ca="1" si="17"/>
        <v>0</v>
      </c>
      <c r="K86" s="43">
        <f t="shared" ca="1" si="14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8"/>
        <v/>
      </c>
      <c r="C87" s="109" t="str">
        <f t="shared" ca="1" si="19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20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15"/>
        <v>0</v>
      </c>
      <c r="I87" s="42">
        <f t="shared" ca="1" si="16"/>
        <v>0</v>
      </c>
      <c r="J87" s="42">
        <f t="shared" ca="1" si="17"/>
        <v>0</v>
      </c>
      <c r="K87" s="43">
        <f t="shared" ca="1" si="14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8"/>
        <v/>
      </c>
      <c r="C88" s="109" t="str">
        <f t="shared" ca="1" si="19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20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15"/>
        <v>0</v>
      </c>
      <c r="I88" s="42">
        <f t="shared" ca="1" si="16"/>
        <v>0</v>
      </c>
      <c r="J88" s="42">
        <f t="shared" ca="1" si="17"/>
        <v>0</v>
      </c>
      <c r="K88" s="43">
        <f t="shared" ca="1" si="14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8"/>
        <v/>
      </c>
      <c r="C89" s="109" t="str">
        <f t="shared" ca="1" si="19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20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15"/>
        <v>0</v>
      </c>
      <c r="I89" s="42">
        <f t="shared" ca="1" si="16"/>
        <v>0</v>
      </c>
      <c r="J89" s="42">
        <f t="shared" ca="1" si="17"/>
        <v>0</v>
      </c>
      <c r="K89" s="43">
        <f t="shared" ca="1" si="14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8"/>
        <v/>
      </c>
      <c r="C90" s="109" t="str">
        <f t="shared" ca="1" si="19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20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15"/>
        <v>0</v>
      </c>
      <c r="I90" s="42">
        <f t="shared" ca="1" si="16"/>
        <v>0</v>
      </c>
      <c r="J90" s="42">
        <f t="shared" ca="1" si="17"/>
        <v>0</v>
      </c>
      <c r="K90" s="43">
        <f t="shared" ca="1" si="14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8"/>
        <v/>
      </c>
      <c r="C91" s="109" t="str">
        <f t="shared" ca="1" si="19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20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15"/>
        <v>0</v>
      </c>
      <c r="I91" s="42">
        <f t="shared" ca="1" si="16"/>
        <v>0</v>
      </c>
      <c r="J91" s="42">
        <f t="shared" ca="1" si="17"/>
        <v>0</v>
      </c>
      <c r="K91" s="43">
        <f t="shared" ca="1" si="14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8"/>
        <v/>
      </c>
      <c r="C92" s="109" t="str">
        <f t="shared" ca="1" si="19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20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15"/>
        <v>0</v>
      </c>
      <c r="I92" s="42">
        <f t="shared" ca="1" si="16"/>
        <v>0</v>
      </c>
      <c r="J92" s="42">
        <f t="shared" ca="1" si="17"/>
        <v>0</v>
      </c>
      <c r="K92" s="43">
        <f t="shared" ca="1" si="14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8"/>
        <v/>
      </c>
      <c r="C93" s="109" t="str">
        <f t="shared" ca="1" si="19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20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15"/>
        <v>0</v>
      </c>
      <c r="I93" s="42">
        <f t="shared" ca="1" si="16"/>
        <v>0</v>
      </c>
      <c r="J93" s="42">
        <f t="shared" ca="1" si="17"/>
        <v>0</v>
      </c>
      <c r="K93" s="43">
        <f t="shared" ca="1" si="14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8"/>
        <v/>
      </c>
      <c r="C94" s="109" t="str">
        <f t="shared" ca="1" si="19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20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15"/>
        <v>0</v>
      </c>
      <c r="I94" s="42">
        <f t="shared" ca="1" si="16"/>
        <v>0</v>
      </c>
      <c r="J94" s="42">
        <f t="shared" ca="1" si="17"/>
        <v>0</v>
      </c>
      <c r="K94" s="43">
        <f t="shared" ca="1" si="14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8"/>
        <v/>
      </c>
      <c r="C95" s="109" t="str">
        <f t="shared" ca="1" si="19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20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15"/>
        <v>0</v>
      </c>
      <c r="I95" s="42">
        <f t="shared" ca="1" si="16"/>
        <v>0</v>
      </c>
      <c r="J95" s="42">
        <f t="shared" ca="1" si="17"/>
        <v>0</v>
      </c>
      <c r="K95" s="43">
        <f t="shared" ca="1" si="14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8"/>
        <v/>
      </c>
      <c r="C96" s="109" t="str">
        <f t="shared" ca="1" si="19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20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15"/>
        <v>0</v>
      </c>
      <c r="I96" s="42">
        <f t="shared" ca="1" si="16"/>
        <v>0</v>
      </c>
      <c r="J96" s="42">
        <f t="shared" ca="1" si="17"/>
        <v>0</v>
      </c>
      <c r="K96" s="43">
        <f t="shared" ca="1" si="14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8"/>
        <v/>
      </c>
      <c r="C97" s="109" t="str">
        <f t="shared" ca="1" si="19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20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15"/>
        <v>0</v>
      </c>
      <c r="I97" s="42">
        <f t="shared" ca="1" si="16"/>
        <v>0</v>
      </c>
      <c r="J97" s="42">
        <f t="shared" ca="1" si="17"/>
        <v>0</v>
      </c>
      <c r="K97" s="43">
        <f t="shared" ca="1" si="14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8"/>
        <v/>
      </c>
      <c r="C98" s="109" t="str">
        <f t="shared" ca="1" si="19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20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15"/>
        <v>0</v>
      </c>
      <c r="I98" s="42">
        <f t="shared" ca="1" si="16"/>
        <v>0</v>
      </c>
      <c r="J98" s="42">
        <f t="shared" ca="1" si="17"/>
        <v>0</v>
      </c>
      <c r="K98" s="43">
        <f t="shared" ca="1" si="14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8"/>
        <v/>
      </c>
      <c r="C99" s="109" t="str">
        <f t="shared" ca="1" si="19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20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15"/>
        <v>0</v>
      </c>
      <c r="I99" s="42">
        <f t="shared" ca="1" si="16"/>
        <v>0</v>
      </c>
      <c r="J99" s="42">
        <f t="shared" ca="1" si="17"/>
        <v>0</v>
      </c>
      <c r="K99" s="43">
        <f t="shared" ca="1" si="14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8"/>
        <v/>
      </c>
      <c r="C100" s="109" t="str">
        <f t="shared" ca="1" si="19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20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15"/>
        <v>0</v>
      </c>
      <c r="I100" s="42">
        <f t="shared" ca="1" si="16"/>
        <v>0</v>
      </c>
      <c r="J100" s="42">
        <f t="shared" ca="1" si="17"/>
        <v>0</v>
      </c>
      <c r="K100" s="43">
        <f t="shared" ca="1" si="14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8"/>
        <v/>
      </c>
      <c r="C101" s="109" t="str">
        <f t="shared" ca="1" si="19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20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15"/>
        <v>0</v>
      </c>
      <c r="I101" s="42">
        <f t="shared" ca="1" si="16"/>
        <v>0</v>
      </c>
      <c r="J101" s="42">
        <f t="shared" ca="1" si="17"/>
        <v>0</v>
      </c>
      <c r="K101" s="43">
        <f t="shared" ca="1" si="14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8"/>
        <v/>
      </c>
      <c r="C102" s="109" t="str">
        <f t="shared" ca="1" si="19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20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15"/>
        <v>0</v>
      </c>
      <c r="I102" s="42">
        <f t="shared" ca="1" si="16"/>
        <v>0</v>
      </c>
      <c r="J102" s="42">
        <f t="shared" ca="1" si="17"/>
        <v>0</v>
      </c>
      <c r="K102" s="43">
        <f t="shared" ca="1" si="14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8"/>
        <v/>
      </c>
      <c r="C103" s="109" t="str">
        <f t="shared" ca="1" si="19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20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15"/>
        <v>0</v>
      </c>
      <c r="I103" s="42">
        <f t="shared" ca="1" si="16"/>
        <v>0</v>
      </c>
      <c r="J103" s="42">
        <f t="shared" ca="1" si="17"/>
        <v>0</v>
      </c>
      <c r="K103" s="43">
        <f t="shared" ca="1" si="14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8"/>
        <v/>
      </c>
      <c r="C104" s="109" t="str">
        <f t="shared" ca="1" si="19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20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15"/>
        <v>0</v>
      </c>
      <c r="I104" s="42">
        <f t="shared" ca="1" si="16"/>
        <v>0</v>
      </c>
      <c r="J104" s="42">
        <f t="shared" ca="1" si="17"/>
        <v>0</v>
      </c>
      <c r="K104" s="43">
        <f t="shared" ca="1" si="14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8"/>
        <v/>
      </c>
      <c r="C105" s="109" t="str">
        <f t="shared" ca="1" si="19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20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15"/>
        <v>0</v>
      </c>
      <c r="I105" s="42">
        <f t="shared" ca="1" si="16"/>
        <v>0</v>
      </c>
      <c r="J105" s="42">
        <f t="shared" ca="1" si="17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8"/>
        <v/>
      </c>
      <c r="C106" s="109" t="str">
        <f t="shared" ca="1" si="19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20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15"/>
        <v>0</v>
      </c>
      <c r="I106" s="42">
        <f t="shared" ca="1" si="16"/>
        <v>0</v>
      </c>
      <c r="J106" s="42">
        <f t="shared" ca="1" si="17"/>
        <v>0</v>
      </c>
      <c r="K106" s="43">
        <f t="shared" ref="K106:K114" ca="1" si="21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8"/>
        <v/>
      </c>
      <c r="C107" s="109" t="str">
        <f t="shared" ca="1" si="19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20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15"/>
        <v>0</v>
      </c>
      <c r="I107" s="42">
        <f t="shared" ca="1" si="16"/>
        <v>0</v>
      </c>
      <c r="J107" s="42">
        <f t="shared" ca="1" si="17"/>
        <v>0</v>
      </c>
      <c r="K107" s="43">
        <f t="shared" ca="1" si="21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8"/>
        <v/>
      </c>
      <c r="C108" s="109" t="str">
        <f t="shared" ca="1" si="19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20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15"/>
        <v>0</v>
      </c>
      <c r="I108" s="42">
        <f t="shared" ca="1" si="16"/>
        <v>0</v>
      </c>
      <c r="J108" s="42">
        <f t="shared" ca="1" si="17"/>
        <v>0</v>
      </c>
      <c r="K108" s="43">
        <f t="shared" ca="1" si="21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8"/>
        <v/>
      </c>
      <c r="C109" s="109" t="str">
        <f t="shared" ca="1" si="19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20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15"/>
        <v>0</v>
      </c>
      <c r="I109" s="42">
        <f t="shared" ca="1" si="16"/>
        <v>0</v>
      </c>
      <c r="J109" s="42">
        <f t="shared" ca="1" si="17"/>
        <v>0</v>
      </c>
      <c r="K109" s="43">
        <f t="shared" ca="1" si="21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8"/>
        <v/>
      </c>
      <c r="C110" s="109" t="str">
        <f t="shared" ca="1" si="19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20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15"/>
        <v>0</v>
      </c>
      <c r="I110" s="42">
        <f t="shared" ca="1" si="16"/>
        <v>0</v>
      </c>
      <c r="J110" s="42">
        <f t="shared" ca="1" si="17"/>
        <v>0</v>
      </c>
      <c r="K110" s="43">
        <f t="shared" ca="1" si="21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8"/>
        <v/>
      </c>
      <c r="C111" s="109" t="str">
        <f t="shared" ca="1" si="19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20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15"/>
        <v>0</v>
      </c>
      <c r="I111" s="42">
        <f t="shared" ca="1" si="16"/>
        <v>0</v>
      </c>
      <c r="J111" s="42">
        <f t="shared" ca="1" si="17"/>
        <v>0</v>
      </c>
      <c r="K111" s="43">
        <f t="shared" ca="1" si="21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8"/>
        <v/>
      </c>
      <c r="C112" s="109" t="str">
        <f t="shared" ca="1" si="19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20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15"/>
        <v>0</v>
      </c>
      <c r="I112" s="42">
        <f t="shared" ca="1" si="16"/>
        <v>0</v>
      </c>
      <c r="J112" s="42">
        <f t="shared" ca="1" si="17"/>
        <v>0</v>
      </c>
      <c r="K112" s="43">
        <f t="shared" ca="1" si="21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8"/>
        <v/>
      </c>
      <c r="C113" s="109" t="str">
        <f t="shared" ca="1" si="19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20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15"/>
        <v>0</v>
      </c>
      <c r="I113" s="42">
        <f t="shared" ca="1" si="16"/>
        <v>0</v>
      </c>
      <c r="J113" s="42">
        <f t="shared" ca="1" si="17"/>
        <v>0</v>
      </c>
      <c r="K113" s="43">
        <f t="shared" ca="1" si="21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8"/>
        <v/>
      </c>
      <c r="C114" s="109" t="str">
        <f t="shared" ca="1" si="19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20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15"/>
        <v>0</v>
      </c>
      <c r="I114" s="42">
        <f t="shared" ca="1" si="16"/>
        <v>0</v>
      </c>
      <c r="J114" s="42">
        <f t="shared" ca="1" si="17"/>
        <v>0</v>
      </c>
      <c r="K114" s="43">
        <f t="shared" ca="1" si="21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8"/>
        <v/>
      </c>
      <c r="C115" s="109" t="str">
        <f t="shared" ca="1" si="19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20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15"/>
        <v>0</v>
      </c>
      <c r="I115" s="42">
        <f t="shared" ca="1" si="16"/>
        <v>0</v>
      </c>
      <c r="J115" s="42">
        <f t="shared" ca="1" si="17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8"/>
        <v/>
      </c>
      <c r="C116" s="109" t="str">
        <f t="shared" ca="1" si="19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20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22">IF(OR(D116="MDU",D116="MDU-KD"),G116*F116,0)</f>
        <v>0</v>
      </c>
      <c r="I116" s="42">
        <f t="shared" ref="I116:I165" ca="1" si="23">IF(D116="HDW",G116*F116,0)</f>
        <v>0</v>
      </c>
      <c r="J116" s="42">
        <f t="shared" ref="J116:J165" ca="1" si="24">IF(D116="JASA",G116*F116,0)</f>
        <v>0</v>
      </c>
      <c r="K116" s="43">
        <f t="shared" ref="K116:K165" ca="1" si="25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8"/>
        <v/>
      </c>
      <c r="C117" s="109" t="str">
        <f t="shared" ca="1" si="19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20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22"/>
        <v>0</v>
      </c>
      <c r="I117" s="42">
        <f t="shared" ca="1" si="23"/>
        <v>0</v>
      </c>
      <c r="J117" s="42">
        <f t="shared" ca="1" si="24"/>
        <v>0</v>
      </c>
      <c r="K117" s="43">
        <f t="shared" ca="1" si="25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8"/>
        <v/>
      </c>
      <c r="C118" s="109" t="str">
        <f t="shared" ca="1" si="19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20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22"/>
        <v>0</v>
      </c>
      <c r="I118" s="42">
        <f t="shared" ca="1" si="23"/>
        <v>0</v>
      </c>
      <c r="J118" s="42">
        <f t="shared" ca="1" si="24"/>
        <v>0</v>
      </c>
      <c r="K118" s="43">
        <f t="shared" ca="1" si="25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8"/>
        <v/>
      </c>
      <c r="C119" s="109" t="str">
        <f t="shared" ca="1" si="19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20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22"/>
        <v>0</v>
      </c>
      <c r="I119" s="42">
        <f t="shared" ca="1" si="23"/>
        <v>0</v>
      </c>
      <c r="J119" s="42">
        <f t="shared" ca="1" si="24"/>
        <v>0</v>
      </c>
      <c r="K119" s="43">
        <f t="shared" ca="1" si="25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8"/>
        <v/>
      </c>
      <c r="C120" s="109" t="str">
        <f t="shared" ca="1" si="19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20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22"/>
        <v>0</v>
      </c>
      <c r="I120" s="42">
        <f t="shared" ca="1" si="23"/>
        <v>0</v>
      </c>
      <c r="J120" s="42">
        <f t="shared" ca="1" si="24"/>
        <v>0</v>
      </c>
      <c r="K120" s="43">
        <f t="shared" ca="1" si="25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8"/>
        <v/>
      </c>
      <c r="C121" s="109" t="str">
        <f t="shared" ca="1" si="19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20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22"/>
        <v>0</v>
      </c>
      <c r="I121" s="42">
        <f t="shared" ca="1" si="23"/>
        <v>0</v>
      </c>
      <c r="J121" s="42">
        <f t="shared" ca="1" si="24"/>
        <v>0</v>
      </c>
      <c r="K121" s="43">
        <f t="shared" ca="1" si="25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8"/>
        <v/>
      </c>
      <c r="C122" s="109" t="str">
        <f t="shared" ca="1" si="19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20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22"/>
        <v>0</v>
      </c>
      <c r="I122" s="42">
        <f t="shared" ca="1" si="23"/>
        <v>0</v>
      </c>
      <c r="J122" s="42">
        <f t="shared" ca="1" si="24"/>
        <v>0</v>
      </c>
      <c r="K122" s="43">
        <f t="shared" ca="1" si="25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8"/>
        <v/>
      </c>
      <c r="C123" s="109" t="str">
        <f t="shared" ca="1" si="19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20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22"/>
        <v>0</v>
      </c>
      <c r="I123" s="42">
        <f t="shared" ca="1" si="23"/>
        <v>0</v>
      </c>
      <c r="J123" s="42">
        <f t="shared" ca="1" si="24"/>
        <v>0</v>
      </c>
      <c r="K123" s="43">
        <f t="shared" ca="1" si="25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8"/>
        <v/>
      </c>
      <c r="C124" s="109" t="str">
        <f t="shared" ca="1" si="19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20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22"/>
        <v>0</v>
      </c>
      <c r="I124" s="42">
        <f t="shared" ca="1" si="23"/>
        <v>0</v>
      </c>
      <c r="J124" s="42">
        <f t="shared" ca="1" si="24"/>
        <v>0</v>
      </c>
      <c r="K124" s="43">
        <f t="shared" ca="1" si="25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8"/>
        <v/>
      </c>
      <c r="C125" s="109" t="str">
        <f t="shared" ca="1" si="19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20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22"/>
        <v>0</v>
      </c>
      <c r="I125" s="42">
        <f t="shared" ca="1" si="23"/>
        <v>0</v>
      </c>
      <c r="J125" s="42">
        <f t="shared" ca="1" si="24"/>
        <v>0</v>
      </c>
      <c r="K125" s="43">
        <f t="shared" ca="1" si="25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8"/>
        <v/>
      </c>
      <c r="C126" s="109" t="str">
        <f t="shared" ca="1" si="19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20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22"/>
        <v>0</v>
      </c>
      <c r="I126" s="42">
        <f t="shared" ca="1" si="23"/>
        <v>0</v>
      </c>
      <c r="J126" s="42">
        <f t="shared" ca="1" si="24"/>
        <v>0</v>
      </c>
      <c r="K126" s="43">
        <f t="shared" ca="1" si="25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8"/>
        <v/>
      </c>
      <c r="C127" s="109" t="str">
        <f t="shared" ca="1" si="19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20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22"/>
        <v>0</v>
      </c>
      <c r="I127" s="42">
        <f t="shared" ca="1" si="23"/>
        <v>0</v>
      </c>
      <c r="J127" s="42">
        <f t="shared" ca="1" si="24"/>
        <v>0</v>
      </c>
      <c r="K127" s="43">
        <f t="shared" ca="1" si="25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8"/>
        <v/>
      </c>
      <c r="C128" s="109" t="str">
        <f t="shared" ca="1" si="19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20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22"/>
        <v>0</v>
      </c>
      <c r="I128" s="42">
        <f t="shared" ca="1" si="23"/>
        <v>0</v>
      </c>
      <c r="J128" s="42">
        <f t="shared" ca="1" si="24"/>
        <v>0</v>
      </c>
      <c r="K128" s="43">
        <f t="shared" ca="1" si="25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8"/>
        <v/>
      </c>
      <c r="C129" s="109" t="str">
        <f t="shared" ca="1" si="19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20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22"/>
        <v>0</v>
      </c>
      <c r="I129" s="42">
        <f t="shared" ca="1" si="23"/>
        <v>0</v>
      </c>
      <c r="J129" s="42">
        <f t="shared" ca="1" si="24"/>
        <v>0</v>
      </c>
      <c r="K129" s="43">
        <f t="shared" ca="1" si="25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8"/>
        <v/>
      </c>
      <c r="C130" s="109" t="str">
        <f t="shared" ca="1" si="19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20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22"/>
        <v>0</v>
      </c>
      <c r="I130" s="42">
        <f t="shared" ca="1" si="23"/>
        <v>0</v>
      </c>
      <c r="J130" s="42">
        <f t="shared" ca="1" si="24"/>
        <v>0</v>
      </c>
      <c r="K130" s="43">
        <f t="shared" ca="1" si="25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8"/>
        <v/>
      </c>
      <c r="C131" s="109" t="str">
        <f t="shared" ca="1" si="19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20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22"/>
        <v>0</v>
      </c>
      <c r="I131" s="42">
        <f t="shared" ca="1" si="23"/>
        <v>0</v>
      </c>
      <c r="J131" s="42">
        <f t="shared" ca="1" si="24"/>
        <v>0</v>
      </c>
      <c r="K131" s="43">
        <f t="shared" ca="1" si="25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8"/>
        <v/>
      </c>
      <c r="C132" s="109" t="str">
        <f t="shared" ca="1" si="19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20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22"/>
        <v>0</v>
      </c>
      <c r="I132" s="42">
        <f t="shared" ca="1" si="23"/>
        <v>0</v>
      </c>
      <c r="J132" s="42">
        <f t="shared" ca="1" si="24"/>
        <v>0</v>
      </c>
      <c r="K132" s="43">
        <f t="shared" ca="1" si="25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8"/>
        <v/>
      </c>
      <c r="C133" s="109" t="str">
        <f t="shared" ca="1" si="19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20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22"/>
        <v>0</v>
      </c>
      <c r="I133" s="42">
        <f t="shared" ca="1" si="23"/>
        <v>0</v>
      </c>
      <c r="J133" s="42">
        <f t="shared" ca="1" si="24"/>
        <v>0</v>
      </c>
      <c r="K133" s="43">
        <f t="shared" ca="1" si="25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8"/>
        <v/>
      </c>
      <c r="C134" s="109" t="str">
        <f t="shared" ca="1" si="19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20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22"/>
        <v>0</v>
      </c>
      <c r="I134" s="42">
        <f t="shared" ca="1" si="23"/>
        <v>0</v>
      </c>
      <c r="J134" s="42">
        <f t="shared" ca="1" si="24"/>
        <v>0</v>
      </c>
      <c r="K134" s="43">
        <f t="shared" ca="1" si="25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8"/>
        <v/>
      </c>
      <c r="C135" s="109" t="str">
        <f t="shared" ca="1" si="19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20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22"/>
        <v>0</v>
      </c>
      <c r="I135" s="42">
        <f t="shared" ca="1" si="23"/>
        <v>0</v>
      </c>
      <c r="J135" s="42">
        <f t="shared" ca="1" si="24"/>
        <v>0</v>
      </c>
      <c r="K135" s="43">
        <f t="shared" ca="1" si="25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8"/>
        <v/>
      </c>
      <c r="C136" s="109" t="str">
        <f t="shared" ca="1" si="19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20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22"/>
        <v>0</v>
      </c>
      <c r="I136" s="42">
        <f t="shared" ca="1" si="23"/>
        <v>0</v>
      </c>
      <c r="J136" s="42">
        <f t="shared" ca="1" si="24"/>
        <v>0</v>
      </c>
      <c r="K136" s="43">
        <f t="shared" ca="1" si="25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8"/>
        <v/>
      </c>
      <c r="C137" s="109" t="str">
        <f t="shared" ca="1" si="19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20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22"/>
        <v>0</v>
      </c>
      <c r="I137" s="42">
        <f t="shared" ca="1" si="23"/>
        <v>0</v>
      </c>
      <c r="J137" s="42">
        <f t="shared" ca="1" si="24"/>
        <v>0</v>
      </c>
      <c r="K137" s="43">
        <f t="shared" ca="1" si="25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8"/>
        <v/>
      </c>
      <c r="C138" s="109" t="str">
        <f t="shared" ca="1" si="19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20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22"/>
        <v>0</v>
      </c>
      <c r="I138" s="42">
        <f t="shared" ca="1" si="23"/>
        <v>0</v>
      </c>
      <c r="J138" s="42">
        <f t="shared" ca="1" si="24"/>
        <v>0</v>
      </c>
      <c r="K138" s="43">
        <f t="shared" ca="1" si="25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8"/>
        <v/>
      </c>
      <c r="C139" s="109" t="str">
        <f t="shared" ca="1" si="19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20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22"/>
        <v>0</v>
      </c>
      <c r="I139" s="42">
        <f t="shared" ca="1" si="23"/>
        <v>0</v>
      </c>
      <c r="J139" s="42">
        <f t="shared" ca="1" si="24"/>
        <v>0</v>
      </c>
      <c r="K139" s="43">
        <f t="shared" ca="1" si="25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8"/>
        <v/>
      </c>
      <c r="C140" s="109" t="str">
        <f t="shared" ca="1" si="19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20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22"/>
        <v>0</v>
      </c>
      <c r="I140" s="42">
        <f t="shared" ca="1" si="23"/>
        <v>0</v>
      </c>
      <c r="J140" s="42">
        <f t="shared" ca="1" si="24"/>
        <v>0</v>
      </c>
      <c r="K140" s="43">
        <f t="shared" ca="1" si="25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8"/>
        <v/>
      </c>
      <c r="C141" s="109" t="str">
        <f t="shared" ca="1" si="19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20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22"/>
        <v>0</v>
      </c>
      <c r="I141" s="42">
        <f t="shared" ca="1" si="23"/>
        <v>0</v>
      </c>
      <c r="J141" s="42">
        <f t="shared" ca="1" si="24"/>
        <v>0</v>
      </c>
      <c r="K141" s="43">
        <f t="shared" ca="1" si="25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8"/>
        <v/>
      </c>
      <c r="C142" s="109" t="str">
        <f t="shared" ca="1" si="19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20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22"/>
        <v>0</v>
      </c>
      <c r="I142" s="42">
        <f t="shared" ca="1" si="23"/>
        <v>0</v>
      </c>
      <c r="J142" s="42">
        <f t="shared" ca="1" si="24"/>
        <v>0</v>
      </c>
      <c r="K142" s="43">
        <f t="shared" ca="1" si="25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8"/>
        <v/>
      </c>
      <c r="C143" s="109" t="str">
        <f t="shared" ca="1" si="19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20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22"/>
        <v>0</v>
      </c>
      <c r="I143" s="42">
        <f t="shared" ca="1" si="23"/>
        <v>0</v>
      </c>
      <c r="J143" s="42">
        <f t="shared" ca="1" si="24"/>
        <v>0</v>
      </c>
      <c r="K143" s="43">
        <f t="shared" ca="1" si="25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8"/>
        <v/>
      </c>
      <c r="C144" s="109" t="str">
        <f t="shared" ca="1" si="19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20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22"/>
        <v>0</v>
      </c>
      <c r="I144" s="42">
        <f t="shared" ca="1" si="23"/>
        <v>0</v>
      </c>
      <c r="J144" s="42">
        <f t="shared" ca="1" si="24"/>
        <v>0</v>
      </c>
      <c r="K144" s="43">
        <f t="shared" ca="1" si="25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8"/>
        <v/>
      </c>
      <c r="C145" s="109" t="str">
        <f t="shared" ref="C145:C165" ca="1" si="26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7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22"/>
        <v>0</v>
      </c>
      <c r="I145" s="42">
        <f t="shared" ca="1" si="23"/>
        <v>0</v>
      </c>
      <c r="J145" s="42">
        <f t="shared" ca="1" si="24"/>
        <v>0</v>
      </c>
      <c r="K145" s="43">
        <f t="shared" ca="1" si="25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8"/>
        <v/>
      </c>
      <c r="C146" s="109" t="str">
        <f t="shared" ca="1" si="26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7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22"/>
        <v>0</v>
      </c>
      <c r="I146" s="42">
        <f t="shared" ca="1" si="23"/>
        <v>0</v>
      </c>
      <c r="J146" s="42">
        <f t="shared" ca="1" si="24"/>
        <v>0</v>
      </c>
      <c r="K146" s="43">
        <f t="shared" ca="1" si="25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8"/>
        <v/>
      </c>
      <c r="C147" s="109" t="str">
        <f t="shared" ca="1" si="26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7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22"/>
        <v>0</v>
      </c>
      <c r="I147" s="42">
        <f t="shared" ca="1" si="23"/>
        <v>0</v>
      </c>
      <c r="J147" s="42">
        <f t="shared" ca="1" si="24"/>
        <v>0</v>
      </c>
      <c r="K147" s="43">
        <f t="shared" ca="1" si="25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8"/>
        <v/>
      </c>
      <c r="C148" s="109" t="str">
        <f t="shared" ca="1" si="26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7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8"/>
        <v/>
      </c>
      <c r="C149" s="109" t="str">
        <f t="shared" ca="1" si="26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7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8"/>
        <v/>
      </c>
      <c r="C150" s="109" t="str">
        <f t="shared" ca="1" si="26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7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8"/>
        <v/>
      </c>
      <c r="C151" s="109" t="str">
        <f t="shared" ca="1" si="26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7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8"/>
        <v/>
      </c>
      <c r="C152" s="109" t="str">
        <f t="shared" ca="1" si="26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7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8"/>
        <v/>
      </c>
      <c r="C153" s="109" t="str">
        <f t="shared" ca="1" si="26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7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8"/>
        <v/>
      </c>
      <c r="C154" s="109" t="str">
        <f t="shared" ca="1" si="26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7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8"/>
        <v/>
      </c>
      <c r="C155" s="109" t="str">
        <f t="shared" ca="1" si="26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7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8"/>
        <v/>
      </c>
      <c r="C156" s="109" t="str">
        <f t="shared" ca="1" si="26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7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8"/>
        <v/>
      </c>
      <c r="C157" s="109" t="str">
        <f t="shared" ca="1" si="26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7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8"/>
        <v/>
      </c>
      <c r="C158" s="109" t="str">
        <f t="shared" ca="1" si="26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7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8"/>
        <v/>
      </c>
      <c r="C159" s="109" t="str">
        <f t="shared" ca="1" si="26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7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8"/>
        <v/>
      </c>
      <c r="C160" s="109" t="str">
        <f t="shared" ca="1" si="26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7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8"/>
        <v/>
      </c>
      <c r="C161" s="109" t="str">
        <f t="shared" ca="1" si="26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7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8"/>
        <v/>
      </c>
      <c r="C162" s="109" t="str">
        <f t="shared" ca="1" si="26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7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8"/>
        <v/>
      </c>
      <c r="C163" s="109" t="str">
        <f t="shared" ca="1" si="26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7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8"/>
        <v/>
      </c>
      <c r="C164" s="109" t="str">
        <f t="shared" ca="1" si="26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7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8"/>
        <v/>
      </c>
      <c r="C165" s="109" t="str">
        <f t="shared" ca="1" si="26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7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22"/>
        <v>0</v>
      </c>
      <c r="I165" s="42">
        <f t="shared" ca="1" si="23"/>
        <v>0</v>
      </c>
      <c r="J165" s="42">
        <f t="shared" ca="1" si="24"/>
        <v>0</v>
      </c>
      <c r="K165" s="43">
        <f t="shared" ca="1" si="25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19" t="s">
        <v>1008</v>
      </c>
      <c r="D168" s="519"/>
      <c r="E168" s="519"/>
      <c r="F168" s="519"/>
      <c r="G168" s="77" t="s">
        <v>9</v>
      </c>
      <c r="H168" s="55">
        <f ca="1">SUM(H14:H167)</f>
        <v>0</v>
      </c>
      <c r="I168" s="55">
        <f ca="1">SUM(I14:I167)</f>
        <v>0</v>
      </c>
      <c r="J168" s="55">
        <f ca="1">SUM(J14:J167)</f>
        <v>0</v>
      </c>
      <c r="K168" s="55">
        <f ca="1">SUM(K14:K167)</f>
        <v>0</v>
      </c>
      <c r="L168" s="44"/>
      <c r="R168" s="99"/>
      <c r="S168" s="99"/>
      <c r="T168" s="99"/>
    </row>
    <row r="169" spans="1:20" s="36" customFormat="1">
      <c r="A169" s="30"/>
      <c r="B169" s="56"/>
      <c r="C169" s="520" t="s">
        <v>462</v>
      </c>
      <c r="D169" s="520"/>
      <c r="E169" s="520"/>
      <c r="F169" s="520"/>
      <c r="G169" s="59" t="s">
        <v>9</v>
      </c>
      <c r="H169" s="60">
        <f ca="1">H168*0.1</f>
        <v>0</v>
      </c>
      <c r="I169" s="60">
        <f ca="1">I168*0.1</f>
        <v>0</v>
      </c>
      <c r="J169" s="60">
        <f ca="1">J168*0.1</f>
        <v>0</v>
      </c>
      <c r="K169" s="60">
        <f ca="1">K168*0.1</f>
        <v>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09" t="s">
        <v>463</v>
      </c>
      <c r="D170" s="509"/>
      <c r="E170" s="509"/>
      <c r="F170" s="509"/>
      <c r="G170" s="61" t="s">
        <v>9</v>
      </c>
      <c r="H170" s="78">
        <f ca="1">SUM(H168:H169)</f>
        <v>0</v>
      </c>
      <c r="I170" s="78">
        <f ca="1">SUM(I168:I169)</f>
        <v>0</v>
      </c>
      <c r="J170" s="61">
        <f ca="1">SUM(J168:J169)</f>
        <v>0</v>
      </c>
      <c r="K170" s="61">
        <f ca="1">SUM(K168:K169)</f>
        <v>0</v>
      </c>
      <c r="L170" s="44"/>
      <c r="R170" s="99"/>
      <c r="S170" s="99"/>
      <c r="T170" s="99"/>
    </row>
    <row r="171" spans="1:20" s="36" customFormat="1">
      <c r="A171" s="30"/>
      <c r="B171" s="512" t="e">
        <f ca="1">"Terbilang : ( "&amp;L172&amp;" Rupiah )"</f>
        <v>#NAME?</v>
      </c>
      <c r="C171" s="513"/>
      <c r="D171" s="513"/>
      <c r="E171" s="513"/>
      <c r="F171" s="513"/>
      <c r="G171" s="513"/>
      <c r="H171" s="513"/>
      <c r="I171" s="513"/>
      <c r="J171" s="513"/>
      <c r="K171" s="514"/>
      <c r="L171" s="44"/>
      <c r="R171" s="58"/>
      <c r="S171" s="58"/>
      <c r="T171" s="58"/>
    </row>
    <row r="172" spans="1:20" s="36" customFormat="1">
      <c r="A172" s="30"/>
      <c r="B172" s="515"/>
      <c r="C172" s="516"/>
      <c r="D172" s="516"/>
      <c r="E172" s="516"/>
      <c r="F172" s="516"/>
      <c r="G172" s="516"/>
      <c r="H172" s="516"/>
      <c r="I172" s="516"/>
      <c r="J172" s="516"/>
      <c r="K172" s="517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0"/>
      <c r="I175" s="510"/>
      <c r="J175" s="511"/>
      <c r="K175" s="51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0"/>
      <c r="I176" s="510"/>
      <c r="J176" s="511"/>
      <c r="K176" s="51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0"/>
      <c r="I177" s="510"/>
      <c r="J177" s="511"/>
      <c r="K177" s="51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0"/>
      <c r="I182" s="510"/>
      <c r="J182" s="511"/>
      <c r="K182" s="51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SUMIFS(RAB!$F$14:$F$22,RAB!$C$14:$C$22,C224)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SUMIFS(RAB!$F$14:$F$22,RAB!$C$14:$C$22,C225)</f>
        <v>0</v>
      </c>
      <c r="E225" s="24">
        <f t="shared" ref="E225:E288" ca="1" si="28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SUMIFS(RAB!$F$14:$F$22,RAB!$C$14:$C$22,C226)</f>
        <v>0</v>
      </c>
      <c r="E226" s="24">
        <f t="shared" ca="1" si="28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SUMIFS(RAB!$F$14:$F$22,RAB!$C$14:$C$22,C227)</f>
        <v>0</v>
      </c>
      <c r="E227" s="24">
        <f t="shared" ca="1" si="28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SUMIFS(RAB!$F$14:$F$22,RAB!$C$14:$C$22,C228)</f>
        <v>0</v>
      </c>
      <c r="E228" s="24">
        <f t="shared" ca="1" si="28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SUMIFS(RAB!$F$14:$F$22,RAB!$C$14:$C$22,C229)</f>
        <v>0</v>
      </c>
      <c r="E229" s="24">
        <f t="shared" ca="1" si="28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SUMIFS(RAB!$F$14:$F$22,RAB!$C$14:$C$22,C230)</f>
        <v>0</v>
      </c>
      <c r="E230" s="24">
        <f t="shared" ca="1" si="28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SUMIFS(RAB!$F$14:$F$22,RAB!$C$14:$C$22,C231)</f>
        <v>0</v>
      </c>
      <c r="E231" s="24">
        <f t="shared" ca="1" si="28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SUMIFS(RAB!$F$14:$F$22,RAB!$C$14:$C$22,C232)</f>
        <v>0</v>
      </c>
      <c r="E232" s="24">
        <f t="shared" ca="1" si="28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SUMIFS(RAB!$F$14:$F$22,RAB!$C$14:$C$22,C233)</f>
        <v>0</v>
      </c>
      <c r="E233" s="24">
        <f t="shared" ca="1" si="28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SUMIFS(RAB!$F$14:$F$22,RAB!$C$14:$C$22,C234)</f>
        <v>0</v>
      </c>
      <c r="E234" s="24">
        <f t="shared" ca="1" si="28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SUMIFS(RAB!$F$14:$F$22,RAB!$C$14:$C$22,C235)</f>
        <v>0</v>
      </c>
      <c r="E235" s="24">
        <f t="shared" ca="1" si="28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SUMIFS(RAB!$F$14:$F$22,RAB!$C$14:$C$22,C236)</f>
        <v>0</v>
      </c>
      <c r="E236" s="24">
        <f t="shared" ca="1" si="28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SUMIFS(RAB!$F$14:$F$22,RAB!$C$14:$C$22,C237)</f>
        <v>0</v>
      </c>
      <c r="E237" s="24">
        <f t="shared" ca="1" si="28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SUMIFS(RAB!$F$14:$F$22,RAB!$C$14:$C$22,C238)</f>
        <v>0</v>
      </c>
      <c r="E238" s="24">
        <f t="shared" ca="1" si="28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SUMIFS(RAB!$F$14:$F$22,RAB!$C$14:$C$22,C239)</f>
        <v>0</v>
      </c>
      <c r="E239" s="24">
        <f t="shared" ca="1" si="28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SUMIFS(RAB!$F$14:$F$22,RAB!$C$14:$C$22,C240)</f>
        <v>0</v>
      </c>
      <c r="E240" s="24">
        <f t="shared" ca="1" si="28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SUMIFS(RAB!$F$14:$F$22,RAB!$C$14:$C$22,C241)</f>
        <v>0</v>
      </c>
      <c r="E241" s="24">
        <f t="shared" ca="1" si="28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SUMIFS(RAB!$F$14:$F$22,RAB!$C$14:$C$22,C242)</f>
        <v>0</v>
      </c>
      <c r="E242" s="24">
        <f t="shared" ca="1" si="28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SUMIFS(RAB!$F$14:$F$22,RAB!$C$14:$C$22,C243)</f>
        <v>0</v>
      </c>
      <c r="E243" s="24">
        <f t="shared" ca="1" si="28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SUMIFS(RAB!$F$14:$F$22,RAB!$C$14:$C$22,C244)</f>
        <v>0</v>
      </c>
      <c r="E244" s="24">
        <f t="shared" ca="1" si="28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SUMIFS(RAB!$F$14:$F$22,RAB!$C$14:$C$22,C245)</f>
        <v>0</v>
      </c>
      <c r="E245" s="24">
        <f t="shared" ca="1" si="28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SUMIFS(RAB!$F$14:$F$22,RAB!$C$14:$C$22,C246)</f>
        <v>0</v>
      </c>
      <c r="E246" s="24">
        <f t="shared" ca="1" si="28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SUMIFS(RAB!$F$14:$F$22,RAB!$C$14:$C$22,C247)</f>
        <v>0</v>
      </c>
      <c r="E247" s="24">
        <f t="shared" ca="1" si="28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SUMIFS(RAB!$F$14:$F$22,RAB!$C$14:$C$22,C248)</f>
        <v>0</v>
      </c>
      <c r="E248" s="24">
        <f t="shared" ca="1" si="28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SUMIFS(RAB!$F$14:$F$22,RAB!$C$14:$C$22,C249)</f>
        <v>0</v>
      </c>
      <c r="E249" s="24">
        <f t="shared" ca="1" si="28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60/5-5A</v>
      </c>
      <c r="D250" s="72">
        <f ca="1">SUMIFS(RAB!$F$14:$F$22,RAB!$C$14:$C$22,C250)</f>
        <v>0</v>
      </c>
      <c r="E250" s="24">
        <f t="shared" ca="1" si="28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75/5-5A</v>
      </c>
      <c r="D251" s="72">
        <f ca="1">SUMIFS(RAB!$F$14:$F$22,RAB!$C$14:$C$22,C251)</f>
        <v>0</v>
      </c>
      <c r="E251" s="24">
        <f t="shared" ca="1" si="28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80/5-5A</v>
      </c>
      <c r="D252" s="72">
        <f ca="1">SUMIFS(RAB!$F$14:$F$22,RAB!$C$14:$C$22,C252)</f>
        <v>0</v>
      </c>
      <c r="E252" s="24">
        <f t="shared" ca="1" si="28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100/5-5A</v>
      </c>
      <c r="D253" s="72">
        <f ca="1">SUMIFS(RAB!$F$14:$F$22,RAB!$C$14:$C$22,C253)</f>
        <v>0</v>
      </c>
      <c r="E253" s="24">
        <f t="shared" ca="1" si="28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150/5-5A</v>
      </c>
      <c r="D254" s="72">
        <f ca="1">SUMIFS(RAB!$F$14:$F$22,RAB!$C$14:$C$22,C254)</f>
        <v>0</v>
      </c>
      <c r="E254" s="24">
        <f t="shared" ca="1" si="28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200/5-5A</v>
      </c>
      <c r="D255" s="72">
        <f ca="1">SUMIFS(RAB!$F$14:$F$22,RAB!$C$14:$C$22,C255)</f>
        <v>0</v>
      </c>
      <c r="E255" s="24">
        <f t="shared" ca="1" si="28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250/5-5A</v>
      </c>
      <c r="D256" s="72">
        <f ca="1">SUMIFS(RAB!$F$14:$F$22,RAB!$C$14:$C$22,C256)</f>
        <v>0</v>
      </c>
      <c r="E256" s="24">
        <f t="shared" ca="1" si="28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300/5-5A</v>
      </c>
      <c r="D257" s="72">
        <f ca="1">SUMIFS(RAB!$F$14:$F$22,RAB!$C$14:$C$22,C257)</f>
        <v>0</v>
      </c>
      <c r="E257" s="24">
        <f t="shared" ca="1" si="28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400/5-5A</v>
      </c>
      <c r="D258" s="72">
        <f ca="1">SUMIFS(RAB!$F$14:$F$22,RAB!$C$14:$C$22,C258)</f>
        <v>0</v>
      </c>
      <c r="E258" s="24">
        <f t="shared" ca="1" si="28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500/5-5A</v>
      </c>
      <c r="D259" s="72">
        <f ca="1">SUMIFS(RAB!$F$14:$F$22,RAB!$C$14:$C$22,C259)</f>
        <v>0</v>
      </c>
      <c r="E259" s="24">
        <f t="shared" ca="1" si="28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600/5-5A</v>
      </c>
      <c r="D260" s="72">
        <f ca="1">SUMIFS(RAB!$F$14:$F$22,RAB!$C$14:$C$22,C260)</f>
        <v>0</v>
      </c>
      <c r="E260" s="24">
        <f t="shared" ca="1" si="28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750/5-5A</v>
      </c>
      <c r="D261" s="72">
        <f ca="1">SUMIFS(RAB!$F$14:$F$22,RAB!$C$14:$C$22,C261)</f>
        <v>0</v>
      </c>
      <c r="E261" s="24">
        <f t="shared" ca="1" si="28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800/5-5A</v>
      </c>
      <c r="D262" s="72">
        <f ca="1">SUMIFS(RAB!$F$14:$F$22,RAB!$C$14:$C$22,C262)</f>
        <v>0</v>
      </c>
      <c r="E262" s="24">
        <f t="shared" ca="1" si="28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1000/5-5A</v>
      </c>
      <c r="D263" s="72">
        <f ca="1">SUMIFS(RAB!$F$14:$F$22,RAB!$C$14:$C$22,C263)</f>
        <v>0</v>
      </c>
      <c r="E263" s="24">
        <f t="shared" ca="1" si="28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Ring 50/5-5A</v>
      </c>
      <c r="D264" s="72">
        <f ca="1">SUMIFS(RAB!$F$14:$F$22,RAB!$C$14:$C$22,C264)</f>
        <v>0</v>
      </c>
      <c r="E264" s="24">
        <f t="shared" ca="1" si="28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100/5-5A</v>
      </c>
      <c r="D265" s="72">
        <f ca="1">SUMIFS(RAB!$F$14:$F$22,RAB!$C$14:$C$22,C265)</f>
        <v>0</v>
      </c>
      <c r="E265" s="24">
        <f t="shared" ca="1" si="28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Outdoor  10/5</v>
      </c>
      <c r="D266" s="72">
        <f ca="1">SUMIFS(RAB!$F$14:$F$22,RAB!$C$14:$C$22,C266)</f>
        <v>0</v>
      </c>
      <c r="E266" s="24">
        <f t="shared" ca="1" si="28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15/5</v>
      </c>
      <c r="D267" s="72">
        <f ca="1">SUMIFS(RAB!$F$14:$F$22,RAB!$C$14:$C$22,C267)</f>
        <v>0</v>
      </c>
      <c r="E267" s="24">
        <f t="shared" ca="1" si="28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20/5</v>
      </c>
      <c r="D268" s="72">
        <f ca="1">SUMIFS(RAB!$F$14:$F$22,RAB!$C$14:$C$22,C268)</f>
        <v>0</v>
      </c>
      <c r="E268" s="24">
        <f t="shared" ca="1" si="28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25/5</v>
      </c>
      <c r="D269" s="72">
        <f ca="1">SUMIFS(RAB!$F$14:$F$22,RAB!$C$14:$C$22,C269)</f>
        <v>0</v>
      </c>
      <c r="E269" s="24">
        <f t="shared" ca="1" si="28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30/5</v>
      </c>
      <c r="D270" s="72">
        <f ca="1">SUMIFS(RAB!$F$14:$F$22,RAB!$C$14:$C$22,C270)</f>
        <v>0</v>
      </c>
      <c r="E270" s="24">
        <f t="shared" ca="1" si="28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40/5</v>
      </c>
      <c r="D271" s="72">
        <f ca="1">SUMIFS(RAB!$F$14:$F$22,RAB!$C$14:$C$22,C271)</f>
        <v>0</v>
      </c>
      <c r="E271" s="24">
        <f t="shared" ca="1" si="28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50/5</v>
      </c>
      <c r="D272" s="72">
        <f ca="1">SUMIFS(RAB!$F$14:$F$22,RAB!$C$14:$C$22,C272)</f>
        <v>0</v>
      </c>
      <c r="E272" s="24">
        <f t="shared" ca="1" si="28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60/5</v>
      </c>
      <c r="D273" s="72">
        <f ca="1">SUMIFS(RAB!$F$14:$F$22,RAB!$C$14:$C$22,C273)</f>
        <v>0</v>
      </c>
      <c r="E273" s="24">
        <f t="shared" ca="1" si="28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75/5</v>
      </c>
      <c r="D274" s="72">
        <f ca="1">SUMIFS(RAB!$F$14:$F$22,RAB!$C$14:$C$22,C274)</f>
        <v>0</v>
      </c>
      <c r="E274" s="24">
        <f t="shared" ca="1" si="28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80/5</v>
      </c>
      <c r="D275" s="72">
        <f ca="1">SUMIFS(RAB!$F$14:$F$22,RAB!$C$14:$C$22,C275)</f>
        <v>0</v>
      </c>
      <c r="E275" s="24">
        <f t="shared" ca="1" si="28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100/5</v>
      </c>
      <c r="D276" s="72">
        <f ca="1">SUMIFS(RAB!$F$14:$F$22,RAB!$C$14:$C$22,C276)</f>
        <v>0</v>
      </c>
      <c r="E276" s="24">
        <f t="shared" ca="1" si="28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150/5</v>
      </c>
      <c r="D277" s="72">
        <f ca="1">SUMIFS(RAB!$F$14:$F$22,RAB!$C$14:$C$22,C277)</f>
        <v>0</v>
      </c>
      <c r="E277" s="24">
        <f t="shared" ca="1" si="28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200/5</v>
      </c>
      <c r="D278" s="72">
        <f ca="1">SUMIFS(RAB!$F$14:$F$22,RAB!$C$14:$C$22,C278)</f>
        <v>0</v>
      </c>
      <c r="E278" s="24">
        <f t="shared" ca="1" si="28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250/5</v>
      </c>
      <c r="D279" s="72">
        <f ca="1">SUMIFS(RAB!$F$14:$F$22,RAB!$C$14:$C$22,C279)</f>
        <v>0</v>
      </c>
      <c r="E279" s="24">
        <f t="shared" ca="1" si="28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300/5</v>
      </c>
      <c r="D280" s="72">
        <f ca="1">SUMIFS(RAB!$F$14:$F$22,RAB!$C$14:$C$22,C280)</f>
        <v>0</v>
      </c>
      <c r="E280" s="24">
        <f t="shared" ca="1" si="28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400/5</v>
      </c>
      <c r="D281" s="72">
        <f ca="1">SUMIFS(RAB!$F$14:$F$22,RAB!$C$14:$C$22,C281)</f>
        <v>0</v>
      </c>
      <c r="E281" s="24">
        <f t="shared" ca="1" si="28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PT Indoor (ratio 20.000/v3 : 100/v3) Class 0.2s</v>
      </c>
      <c r="D282" s="72">
        <f ca="1">SUMIFS(RAB!$F$14:$F$22,RAB!$C$14:$C$22,C282)</f>
        <v>0</v>
      </c>
      <c r="E282" s="24">
        <f t="shared" ca="1" si="28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Outdoor (ratio 20.000/v3 : 100/v3) Class 0.2s</v>
      </c>
      <c r="D283" s="72">
        <f ca="1">SUMIFS(RAB!$F$14:$F$22,RAB!$C$14:$C$22,C283)</f>
        <v>0</v>
      </c>
      <c r="E283" s="24">
        <f t="shared" ca="1" si="28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Smart Box Langsung Daya 3.9 kVA MCCB 6 A</v>
      </c>
      <c r="D284" s="72">
        <f ca="1">SUMIFS(RAB!$F$14:$F$22,RAB!$C$14:$C$22,C284)</f>
        <v>0</v>
      </c>
      <c r="E284" s="24">
        <f t="shared" ca="1" si="28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6.6 kVA MCCB 10 A</v>
      </c>
      <c r="D285" s="72">
        <f ca="1">SUMIFS(RAB!$F$14:$F$22,RAB!$C$14:$C$22,C285)</f>
        <v>0</v>
      </c>
      <c r="E285" s="24">
        <f t="shared" ca="1" si="28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10.6 kVA MCCB 16 A</v>
      </c>
      <c r="D286" s="72">
        <f ca="1">SUMIFS(RAB!$F$14:$F$22,RAB!$C$14:$C$22,C286)</f>
        <v>0</v>
      </c>
      <c r="E286" s="24">
        <f t="shared" ca="1" si="28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13.2 kVA MCCB 20 A</v>
      </c>
      <c r="D287" s="72">
        <f ca="1">SUMIFS(RAB!$F$14:$F$22,RAB!$C$14:$C$22,C287)</f>
        <v>0</v>
      </c>
      <c r="E287" s="24">
        <f t="shared" ca="1" si="28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16.5 kVA MCCB 25 A</v>
      </c>
      <c r="D288" s="72">
        <f ca="1">SUMIFS(RAB!$F$14:$F$22,RAB!$C$14:$C$22,C288)</f>
        <v>0</v>
      </c>
      <c r="E288" s="24">
        <f t="shared" ca="1" si="28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23 kVA MCCB 35 A</v>
      </c>
      <c r="D289" s="72">
        <f ca="1">SUMIFS(RAB!$F$14:$F$22,RAB!$C$14:$C$22,C289)</f>
        <v>0</v>
      </c>
      <c r="E289" s="24">
        <f t="shared" ref="E289:E352" ca="1" si="29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33 kVA MCCB 50 A</v>
      </c>
      <c r="D290" s="72">
        <f ca="1">SUMIFS(RAB!$F$14:$F$22,RAB!$C$14:$C$22,C290)</f>
        <v>0</v>
      </c>
      <c r="E290" s="24">
        <f t="shared" ca="1" si="29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41.5 kVA MCCB 63 A</v>
      </c>
      <c r="D291" s="72">
        <f ca="1">SUMIFS(RAB!$F$14:$F$22,RAB!$C$14:$C$22,C291)</f>
        <v>0</v>
      </c>
      <c r="E291" s="24">
        <f t="shared" ca="1" si="29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Tidak Langsung Daya 53 kVA MCCB 80 A</v>
      </c>
      <c r="D292" s="72">
        <f ca="1">SUMIFS(RAB!$F$14:$F$22,RAB!$C$14:$C$22,C292)</f>
        <v>0</v>
      </c>
      <c r="E292" s="24">
        <f t="shared" ca="1" si="29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66 kVA MCCB 100 A</v>
      </c>
      <c r="D293" s="72">
        <f ca="1">SUMIFS(RAB!$F$14:$F$22,RAB!$C$14:$C$22,C293)</f>
        <v>0</v>
      </c>
      <c r="E293" s="24">
        <f t="shared" ca="1" si="29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82.5 kVA MCCB 125 A</v>
      </c>
      <c r="D294" s="72">
        <f ca="1">SUMIFS(RAB!$F$14:$F$22,RAB!$C$14:$C$22,C294)</f>
        <v>0</v>
      </c>
      <c r="E294" s="24">
        <f t="shared" ca="1" si="29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105 kVA MCCB 160 A</v>
      </c>
      <c r="D295" s="72">
        <f ca="1">SUMIFS(RAB!$F$14:$F$22,RAB!$C$14:$C$22,C295)</f>
        <v>0</v>
      </c>
      <c r="E295" s="24">
        <f t="shared" ca="1" si="29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131 kVA MCCB 200 A</v>
      </c>
      <c r="D296" s="72">
        <f ca="1">SUMIFS(RAB!$F$14:$F$22,RAB!$C$14:$C$22,C296)</f>
        <v>0</v>
      </c>
      <c r="E296" s="24">
        <f t="shared" ca="1" si="29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147 kVA MCCB 225 A</v>
      </c>
      <c r="D297" s="72">
        <f ca="1">SUMIFS(RAB!$F$14:$F$22,RAB!$C$14:$C$22,C297)</f>
        <v>0</v>
      </c>
      <c r="E297" s="24">
        <f t="shared" ca="1" si="29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164 kVA MCCB 250 A</v>
      </c>
      <c r="D298" s="72">
        <f ca="1">SUMIFS(RAB!$F$14:$F$22,RAB!$C$14:$C$22,C298)</f>
        <v>0</v>
      </c>
      <c r="E298" s="24">
        <f t="shared" ca="1" si="29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197 kVA MCCB 300 A</v>
      </c>
      <c r="D299" s="72">
        <f ca="1">SUMIFS(RAB!$F$14:$F$22,RAB!$C$14:$C$22,C299)</f>
        <v>0</v>
      </c>
      <c r="E299" s="24">
        <f t="shared" ca="1" si="29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TM</v>
      </c>
      <c r="D300" s="72">
        <f ca="1">SUMIFS(RAB!$F$14:$F$22,RAB!$C$14:$C$22,C300)</f>
        <v>0</v>
      </c>
      <c r="E300" s="24">
        <f t="shared" ca="1" si="29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Air Insulated LBS Manual;24KV;630A;Min-16KA</v>
      </c>
      <c r="D301" s="72">
        <f ca="1">SUMIFS(RAB!$F$14:$F$22,RAB!$C$14:$C$22,C301)</f>
        <v>0</v>
      </c>
      <c r="E301" s="24">
        <f t="shared" ca="1" si="29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Motorized;24KV;630A;Min-16KA</v>
      </c>
      <c r="D302" s="72">
        <f ca="1">SUMIFS(RAB!$F$14:$F$22,RAB!$C$14:$C$22,C302)</f>
        <v>0</v>
      </c>
      <c r="E302" s="24">
        <f t="shared" ca="1" si="29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CBOG Motorized+Metering;20KV;630A;Min-16KA</v>
      </c>
      <c r="D303" s="72">
        <f ca="1">SUMIFS(RAB!$F$14:$F$22,RAB!$C$14:$C$22,C303)</f>
        <v>0</v>
      </c>
      <c r="E303" s="24">
        <f t="shared" ca="1" si="29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Fully Gas Insulated LBS Motorized;24KV;630A;Min-16KA</v>
      </c>
      <c r="D304" s="72">
        <f ca="1">SUMIFS(RAB!$F$14:$F$22,RAB!$C$14:$C$22,C304)</f>
        <v>0</v>
      </c>
      <c r="E304" s="24">
        <f t="shared" ca="1" si="29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CBOG Motorized+Metering;20KV;630A;Min-16KA</v>
      </c>
      <c r="D305" s="72">
        <f ca="1">SUMIFS(RAB!$F$14:$F$22,RAB!$C$14:$C$22,C305)</f>
        <v>0</v>
      </c>
      <c r="E305" s="24">
        <f t="shared" ca="1" si="29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LBS Manual;24KV;630A;Min-16KA</v>
      </c>
      <c r="D306" s="72">
        <f ca="1">SUMIFS(RAB!$F$14:$F$22,RAB!$C$14:$C$22,C306)</f>
        <v>0</v>
      </c>
      <c r="E306" s="24">
        <f t="shared" ca="1" si="29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Automatic Change Over (ACO) TM</v>
      </c>
      <c r="D307" s="72">
        <f ca="1">SUMIFS(RAB!$F$14:$F$22,RAB!$C$14:$C$22,C307)</f>
        <v>0</v>
      </c>
      <c r="E307" s="24">
        <f t="shared" ca="1" si="29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TR</v>
      </c>
      <c r="D308" s="72">
        <f ca="1">SUMIFS(RAB!$F$14:$F$22,RAB!$C$14:$C$22,C308)</f>
        <v>0</v>
      </c>
      <c r="E308" s="24">
        <f t="shared" ca="1" si="29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Metaclad;Outgoing;20kV;630A;25kA - GI</v>
      </c>
      <c r="D309" s="72">
        <f ca="1">SUMIFS(RAB!$F$14:$F$22,RAB!$C$14:$C$22,C309)</f>
        <v>0</v>
      </c>
      <c r="E309" s="24">
        <f t="shared" ca="1" si="29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Metaclad;Couple;20kV;2000A;25kA - GI</v>
      </c>
      <c r="D310" s="72">
        <f ca="1">SUMIFS(RAB!$F$14:$F$22,RAB!$C$14:$C$22,C310)</f>
        <v>0</v>
      </c>
      <c r="E310" s="24">
        <f t="shared" ca="1" si="29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Trafo 1 Fasa CSP 50 kVA</v>
      </c>
      <c r="D311" s="72">
        <f ca="1">SUMIFS(RAB!$F$14:$F$22,RAB!$C$14:$C$22,C311)</f>
        <v>0</v>
      </c>
      <c r="E311" s="24">
        <f t="shared" ca="1" si="29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3 phasa 50 kVA YNyn0</v>
      </c>
      <c r="D312" s="72">
        <f ca="1">SUMIFS(RAB!$F$14:$F$22,RAB!$C$14:$C$22,C312)</f>
        <v>0</v>
      </c>
      <c r="E312" s="24">
        <f t="shared" ca="1" si="29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100 kVA YNyn0</v>
      </c>
      <c r="D313" s="72">
        <f ca="1">SUMIFS(RAB!$F$14:$F$22,RAB!$C$14:$C$22,C313)</f>
        <v>0</v>
      </c>
      <c r="E313" s="24">
        <f t="shared" ca="1" si="29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160 kVA YNyn0</v>
      </c>
      <c r="D314" s="72">
        <f ca="1">SUMIFS(RAB!$F$14:$F$22,RAB!$C$14:$C$22,C314)</f>
        <v>0</v>
      </c>
      <c r="E314" s="24">
        <f t="shared" ca="1" si="29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50 kVA Yzn5</v>
      </c>
      <c r="D315" s="72">
        <f ca="1">SUMIFS(RAB!$F$14:$F$22,RAB!$C$14:$C$22,C315)</f>
        <v>0</v>
      </c>
      <c r="E315" s="24">
        <f t="shared" ca="1" si="29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100 kVA Yzn5</v>
      </c>
      <c r="D316" s="72">
        <f ca="1">SUMIFS(RAB!$F$14:$F$22,RAB!$C$14:$C$22,C316)</f>
        <v>0</v>
      </c>
      <c r="E316" s="24">
        <f t="shared" ca="1" si="29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160 kVA Yzn5</v>
      </c>
      <c r="D317" s="72">
        <f ca="1">SUMIFS(RAB!$F$14:$F$22,RAB!$C$14:$C$22,C317)</f>
        <v>0</v>
      </c>
      <c r="E317" s="24">
        <f t="shared" ca="1" si="29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200 kVA Dyn5</v>
      </c>
      <c r="D318" s="72">
        <f ca="1">SUMIFS(RAB!$F$14:$F$22,RAB!$C$14:$C$22,C318)</f>
        <v>0</v>
      </c>
      <c r="E318" s="24">
        <f t="shared" ca="1" si="29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250 kVA DYn5</v>
      </c>
      <c r="D319" s="72">
        <f ca="1">SUMIFS(RAB!$F$14:$F$22,RAB!$C$14:$C$22,C319)</f>
        <v>0</v>
      </c>
      <c r="E319" s="24">
        <f t="shared" ca="1" si="29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400 kVA DYn5 OD</v>
      </c>
      <c r="D320" s="72">
        <f ca="1">SUMIFS(RAB!$F$14:$F$22,RAB!$C$14:$C$22,C320)</f>
        <v>0</v>
      </c>
      <c r="E320" s="24">
        <f t="shared" ca="1" si="29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LVCB 2 Jurusan 250 A MCCB</v>
      </c>
      <c r="D321" s="72">
        <f ca="1">SUMIFS(RAB!$F$14:$F$22,RAB!$C$14:$C$22,C321)</f>
        <v>0</v>
      </c>
      <c r="E321" s="24">
        <f t="shared" ca="1" si="29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LBS</v>
      </c>
      <c r="D322" s="72">
        <f ca="1">SUMIFS(RAB!$F$14:$F$22,RAB!$C$14:$C$22,C322)</f>
        <v>0</v>
      </c>
      <c r="E322" s="24">
        <f t="shared" ca="1" si="29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400 A LBS</v>
      </c>
      <c r="D323" s="72">
        <f ca="1">SUMIFS(RAB!$F$14:$F$22,RAB!$C$14:$C$22,C323)</f>
        <v>0</v>
      </c>
      <c r="E323" s="24">
        <f t="shared" ca="1" si="29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4 Jurusan 400 A LBS</v>
      </c>
      <c r="D324" s="72">
        <f ca="1">SUMIFS(RAB!$F$14:$F$22,RAB!$C$14:$C$22,C324)</f>
        <v>0</v>
      </c>
      <c r="E324" s="24">
        <f t="shared" ca="1" si="29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630 A LBS</v>
      </c>
      <c r="D325" s="72">
        <f ca="1">SUMIFS(RAB!$F$14:$F$22,RAB!$C$14:$C$22,C325)</f>
        <v>0</v>
      </c>
      <c r="E325" s="24">
        <f t="shared" ca="1" si="29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FCO Polymer</v>
      </c>
      <c r="D326" s="72">
        <f ca="1">SUMIFS(RAB!$F$14:$F$22,RAB!$C$14:$C$22,C326)</f>
        <v>0</v>
      </c>
      <c r="E326" s="24">
        <f t="shared" ca="1" si="29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Load Break Switch</v>
      </c>
      <c r="D327" s="72">
        <f ca="1">SUMIFS(RAB!$F$14:$F$22,RAB!$C$14:$C$22,C327)</f>
        <v>0</v>
      </c>
      <c r="E327" s="24">
        <f t="shared" ca="1" si="29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Recloser</v>
      </c>
      <c r="D328" s="72">
        <f ca="1">SUMIFS(RAB!$F$14:$F$22,RAB!$C$14:$C$22,C328)</f>
        <v>0</v>
      </c>
      <c r="E328" s="24">
        <f t="shared" ca="1" si="29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Disconnecting Switch 20 KV - 630 A Porcelein</v>
      </c>
      <c r="D329" s="72">
        <f ca="1">SUMIFS(RAB!$F$14:$F$22,RAB!$C$14:$C$22,C329)</f>
        <v>0</v>
      </c>
      <c r="E329" s="24">
        <f t="shared" ca="1" si="29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Disconnecting Switch 20 KV</v>
      </c>
      <c r="D330" s="72">
        <f ca="1">SUMIFS(RAB!$F$14:$F$22,RAB!$C$14:$C$22,C330)</f>
        <v>0</v>
      </c>
      <c r="E330" s="24">
        <f t="shared" ca="1" si="29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Disconnecting Switch 20 KV - 630 A Polymer</v>
      </c>
      <c r="D331" s="72">
        <f ca="1">SUMIFS(RAB!$F$14:$F$22,RAB!$C$14:$C$22,C331)</f>
        <v>0</v>
      </c>
      <c r="E331" s="24">
        <f t="shared" ca="1" si="29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Lightning Arester (Polymer) 21 KV, 10 KA</v>
      </c>
      <c r="D332" s="72">
        <f ca="1">SUMIFS(RAB!$F$14:$F$22,RAB!$C$14:$C$22,C332)</f>
        <v>0</v>
      </c>
      <c r="E332" s="24">
        <f t="shared" ca="1" si="29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Lightning Arester (Polymer) 24 KV, 10 KA</v>
      </c>
      <c r="D333" s="72">
        <f ca="1">SUMIFS(RAB!$F$14:$F$22,RAB!$C$14:$C$22,C333)</f>
        <v>0</v>
      </c>
      <c r="E333" s="24">
        <f t="shared" ca="1" si="29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Isolator Tumpu ( Pin Post ) 20 KV</v>
      </c>
      <c r="D334" s="72">
        <f ca="1">SUMIFS(RAB!$F$14:$F$22,RAB!$C$14:$C$22,C334)</f>
        <v>0</v>
      </c>
      <c r="E334" s="24">
        <f t="shared" ca="1" si="29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Tumpu ( Line Post ) 20 KV</v>
      </c>
      <c r="D335" s="72">
        <f ca="1">SUMIFS(RAB!$F$14:$F$22,RAB!$C$14:$C$22,C335)</f>
        <v>0</v>
      </c>
      <c r="E335" s="24">
        <f t="shared" ca="1" si="29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Tarik ( Strainkap Porcelain ) 20 KV</v>
      </c>
      <c r="D336" s="72">
        <f ca="1">SUMIFS(RAB!$F$14:$F$22,RAB!$C$14:$C$22,C336)</f>
        <v>0</v>
      </c>
      <c r="E336" s="24">
        <f t="shared" ca="1" si="29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Isolator Tarik ( Porcelain ) 20 KV + Primary Dead End Clamp 150-240 mm²</v>
      </c>
      <c r="D337" s="72">
        <f ca="1">SUMIFS(RAB!$F$14:$F$22,RAB!$C$14:$C$22,C337)</f>
        <v>0</v>
      </c>
      <c r="E337" s="24">
        <f t="shared" ca="1" si="29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Isolator Tarik ( Suspension Polymer ) 20 KV</v>
      </c>
      <c r="D338" s="72">
        <f ca="1">SUMIFS(RAB!$F$14:$F$22,RAB!$C$14:$C$22,C338)</f>
        <v>0</v>
      </c>
      <c r="E338" s="24">
        <f t="shared" ca="1" si="29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AAAC 70 mm²</v>
      </c>
      <c r="D339" s="72">
        <f ca="1">SUMIFS(RAB!$F$14:$F$22,RAB!$C$14:$C$22,C339)</f>
        <v>0</v>
      </c>
      <c r="E339" s="24">
        <f t="shared" ca="1" si="29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 150 mm²</v>
      </c>
      <c r="D340" s="72">
        <f ca="1">SUMIFS(RAB!$F$14:$F$22,RAB!$C$14:$C$22,C340)</f>
        <v>0</v>
      </c>
      <c r="E340" s="24">
        <f t="shared" ca="1" si="29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 240 mm²</v>
      </c>
      <c r="D341" s="72">
        <f ca="1">SUMIFS(RAB!$F$14:$F$22,RAB!$C$14:$C$22,C341)</f>
        <v>0</v>
      </c>
      <c r="E341" s="24">
        <f t="shared" ca="1" si="29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AAAC/S 70 mm²</v>
      </c>
      <c r="D342" s="72">
        <f ca="1">SUMIFS(RAB!$F$14:$F$22,RAB!$C$14:$C$22,C342)</f>
        <v>0</v>
      </c>
      <c r="E342" s="24">
        <f t="shared" ca="1" si="29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AAAC/S 150 mm²</v>
      </c>
      <c r="D343" s="72">
        <f ca="1">SUMIFS(RAB!$F$14:$F$22,RAB!$C$14:$C$22,C343)</f>
        <v>0</v>
      </c>
      <c r="E343" s="24">
        <f t="shared" ca="1" si="29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AAAC/S 240 mm²</v>
      </c>
      <c r="D344" s="72">
        <f ca="1">SUMIFS(RAB!$F$14:$F$22,RAB!$C$14:$C$22,C344)</f>
        <v>0</v>
      </c>
      <c r="E344" s="24">
        <f t="shared" ca="1" si="29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NFA2X-T 2 x 70 + N 50 mm²</v>
      </c>
      <c r="D345" s="72">
        <f ca="1">SUMIFS(RAB!$F$14:$F$22,RAB!$C$14:$C$22,C345)</f>
        <v>0</v>
      </c>
      <c r="E345" s="24">
        <f t="shared" ca="1" si="29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2 x 70 + N 70 mm²</v>
      </c>
      <c r="D346" s="72">
        <f ca="1">SUMIFS(RAB!$F$14:$F$22,RAB!$C$14:$C$22,C346)</f>
        <v>0</v>
      </c>
      <c r="E346" s="24">
        <f t="shared" ca="1" si="29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3x35+1x35</v>
      </c>
      <c r="D347" s="72">
        <f ca="1">SUMIFS(RAB!$F$14:$F$22,RAB!$C$14:$C$22,C347)</f>
        <v>0</v>
      </c>
      <c r="E347" s="24">
        <f t="shared" ca="1" si="29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NFA2X-T 3 x 70 + N 50 mm²</v>
      </c>
      <c r="D348" s="72">
        <f ca="1">SUMIFS(RAB!$F$14:$F$22,RAB!$C$14:$C$22,C348)</f>
        <v>0</v>
      </c>
      <c r="E348" s="24">
        <f t="shared" ca="1" si="29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NFA2X-T 3x70+1x70</v>
      </c>
      <c r="D349" s="72">
        <f ca="1">SUMIFS(RAB!$F$14:$F$22,RAB!$C$14:$C$22,C349)</f>
        <v>0</v>
      </c>
      <c r="E349" s="24">
        <f t="shared" ca="1" si="29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 2 x 10 mm²</v>
      </c>
      <c r="D350" s="72">
        <f ca="1">SUMIFS(RAB!$F$14:$F$22,RAB!$C$14:$C$22,C350)</f>
        <v>0</v>
      </c>
      <c r="E350" s="24">
        <f t="shared" ca="1" si="29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2 x 16 mm²</v>
      </c>
      <c r="D351" s="72">
        <f ca="1">SUMIFS(RAB!$F$14:$F$22,RAB!$C$14:$C$22,C351)</f>
        <v>0</v>
      </c>
      <c r="E351" s="24">
        <f t="shared" ca="1" si="29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NFA2X 4 x 16 mm²</v>
      </c>
      <c r="D352" s="72">
        <f ca="1">SUMIFS(RAB!$F$14:$F$22,RAB!$C$14:$C$22,C352)</f>
        <v>0</v>
      </c>
      <c r="E352" s="24">
        <f t="shared" ca="1" si="29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NFA2X 4 x 70 mm²</v>
      </c>
      <c r="D353" s="72">
        <f ca="1">SUMIFS(RAB!$F$14:$F$22,RAB!$C$14:$C$22,C353)</f>
        <v>0</v>
      </c>
      <c r="E353" s="24">
        <f t="shared" ref="E353:E373" ca="1" si="30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Kabel NYY 1 x 70 mm²</v>
      </c>
      <c r="D354" s="72">
        <f ca="1">SUMIFS(RAB!$F$14:$F$22,RAB!$C$14:$C$22,C354)</f>
        <v>0</v>
      </c>
      <c r="E354" s="24">
        <f t="shared" ca="1" si="30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95 mm²</v>
      </c>
      <c r="D355" s="72">
        <f ca="1">SUMIFS(RAB!$F$14:$F$22,RAB!$C$14:$C$22,C355)</f>
        <v>0</v>
      </c>
      <c r="E355" s="24">
        <f t="shared" ca="1" si="30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1 x 150 mm²</v>
      </c>
      <c r="D356" s="72">
        <f ca="1">SUMIFS(RAB!$F$14:$F$22,RAB!$C$14:$C$22,C356)</f>
        <v>0</v>
      </c>
      <c r="E356" s="24">
        <f t="shared" ca="1" si="30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NYY 1 x 240 mm²</v>
      </c>
      <c r="D357" s="72">
        <f ca="1">SUMIFS(RAB!$F$14:$F$22,RAB!$C$14:$C$22,C357)</f>
        <v>0</v>
      </c>
      <c r="E357" s="24">
        <f t="shared" ca="1" si="30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NYY 4 x 70 mm²</v>
      </c>
      <c r="D358" s="72">
        <f ca="1">SUMIFS(RAB!$F$14:$F$22,RAB!$C$14:$C$22,C358)</f>
        <v>0</v>
      </c>
      <c r="E358" s="24">
        <f t="shared" ca="1" si="30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NA2XSEYBY 20 KV, 3 x 150 mm²</v>
      </c>
      <c r="D359" s="72">
        <f ca="1">SUMIFS(RAB!$F$14:$F$22,RAB!$C$14:$C$22,C359)</f>
        <v>0</v>
      </c>
      <c r="E359" s="24">
        <f t="shared" ca="1" si="30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Kabel NA2XSEYBY 20 KV, 3 x 240 mm²</v>
      </c>
      <c r="D360" s="72">
        <f ca="1">SUMIFS(RAB!$F$14:$F$22,RAB!$C$14:$C$22,C360)</f>
        <v>0</v>
      </c>
      <c r="E360" s="24">
        <f t="shared" ca="1" si="30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Kabel NA2XSEYBY 20 KV, 3 x 300 mm²</v>
      </c>
      <c r="D361" s="72">
        <f ca="1">SUMIFS(RAB!$F$14:$F$22,RAB!$C$14:$C$22,C361)</f>
        <v>0</v>
      </c>
      <c r="E361" s="24">
        <f t="shared" ca="1" si="30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>MVTIC 3 x 150 + N 95 mm²</v>
      </c>
      <c r="D362" s="72">
        <f ca="1">SUMIFS(RAB!$F$14:$F$22,RAB!$C$14:$C$22,C362)</f>
        <v>0</v>
      </c>
      <c r="E362" s="24">
        <f t="shared" ca="1" si="30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>MVTIC 3 x 240 + N 95 mm²</v>
      </c>
      <c r="D363" s="72">
        <f ca="1">SUMIFS(RAB!$F$14:$F$22,RAB!$C$14:$C$22,C363)</f>
        <v>0</v>
      </c>
      <c r="E363" s="24">
        <f t="shared" ca="1" si="30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/>
      </c>
      <c r="D364" s="72">
        <f ca="1">SUMIFS(RAB!$F$14:$F$22,RAB!$C$14:$C$22,C364)</f>
        <v>0</v>
      </c>
      <c r="E364" s="24">
        <f t="shared" ca="1" si="30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SUMIFS(RAB!$F$14:$F$22,RAB!$C$14:$C$22,C365)</f>
        <v>0</v>
      </c>
      <c r="E365" s="24">
        <f t="shared" ca="1" si="30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SUMIFS(RAB!$F$14:$F$22,RAB!$C$14:$C$22,C366)</f>
        <v>0</v>
      </c>
      <c r="E366" s="24">
        <f t="shared" ca="1" si="30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SUMIFS(RAB!$F$14:$F$22,RAB!$C$14:$C$22,C367)</f>
        <v>0</v>
      </c>
      <c r="E367" s="24">
        <f t="shared" ca="1" si="30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SUMIFS(RAB!$F$14:$F$22,RAB!$C$14:$C$22,C368)</f>
        <v>0</v>
      </c>
      <c r="E368" s="24">
        <f t="shared" ca="1" si="30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SUMIFS(RAB!$F$14:$F$22,RAB!$C$14:$C$22,C369)</f>
        <v>0</v>
      </c>
      <c r="E369" s="24">
        <f t="shared" ca="1" si="30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SUMIFS(RAB!$F$14:$F$22,RAB!$C$14:$C$22,C370)</f>
        <v>0</v>
      </c>
      <c r="E370" s="24">
        <f t="shared" ca="1" si="30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SUMIFS(RAB!$F$14:$F$22,RAB!$C$14:$C$22,C371)</f>
        <v>0</v>
      </c>
      <c r="E371" s="24">
        <f t="shared" ca="1" si="30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SUMIFS(RAB!$F$14:$F$22,RAB!$C$14:$C$22,C372)</f>
        <v>0</v>
      </c>
      <c r="E372" s="24">
        <f t="shared" ca="1" si="30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SUMIFS(RAB!$F$14:$F$22,RAB!$C$14:$C$22,C373)</f>
        <v>0</v>
      </c>
      <c r="E373" s="24">
        <f t="shared" ca="1" si="30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E6:E15 H12:I12 N13 F14:F15 E166:K166 G166:G223 E167:F167 H167:K167 G24:K115 G1:G23 H14:K23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88"/>
    </row>
    <row r="4" spans="4:4" ht="57" customHeight="1">
      <c r="D4" s="388">
        <v>3</v>
      </c>
    </row>
    <row r="5" spans="4:4" ht="57" customHeight="1">
      <c r="D5" s="38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47" activePane="bottomRight" state="frozen"/>
      <selection activeCell="D209" sqref="D209"/>
      <selection pane="topRight" activeCell="D209" sqref="D209"/>
      <selection pane="bottomLeft" activeCell="D209" sqref="D209"/>
      <selection pane="bottomRight" activeCell="C51" sqref="C51"/>
    </sheetView>
  </sheetViews>
  <sheetFormatPr defaultColWidth="31.90625" defaultRowHeight="14.5"/>
  <cols>
    <col min="1" max="1" width="1.6328125" style="1" customWidth="1"/>
    <col min="2" max="2" width="5" style="11" customWidth="1"/>
    <col min="3" max="3" width="58.36328125" style="81" customWidth="1"/>
    <col min="4" max="4" width="11.6328125" style="3" customWidth="1"/>
    <col min="5" max="5" width="9.6328125" style="1" customWidth="1"/>
    <col min="6" max="7" width="16.6328125" style="4" customWidth="1"/>
    <col min="8" max="8" width="22.6328125" style="91" customWidth="1"/>
    <col min="9" max="9" width="24.6328125" style="4" customWidth="1"/>
    <col min="10" max="10" width="7.08984375" style="155" customWidth="1"/>
    <col min="11" max="11" width="21.36328125" style="155" customWidth="1"/>
    <col min="12" max="12" width="7.08984375" style="155" customWidth="1"/>
    <col min="13" max="15" width="7.08984375" style="145" customWidth="1"/>
    <col min="16" max="16" width="7.08984375" style="156" customWidth="1"/>
    <col min="17" max="17" width="12.6328125" style="156" bestFit="1" customWidth="1"/>
    <col min="18" max="250" width="9.08984375" style="5" customWidth="1"/>
    <col min="251" max="251" width="6.54296875" style="5" customWidth="1"/>
    <col min="252" max="252" width="3.6328125" style="5" customWidth="1"/>
    <col min="253" max="253" width="27.6328125" style="5" customWidth="1"/>
    <col min="254" max="254" width="5" style="5" customWidth="1"/>
    <col min="255" max="255" width="30" style="5" customWidth="1"/>
    <col min="256" max="16384" width="31.90625" style="5"/>
  </cols>
  <sheetData>
    <row r="1" spans="1:17" ht="15" customHeight="1">
      <c r="B1" s="2"/>
      <c r="C1" s="80"/>
    </row>
    <row r="2" spans="1:17" ht="21" customHeight="1">
      <c r="A2" s="6"/>
      <c r="B2" s="537" t="s">
        <v>41</v>
      </c>
      <c r="C2" s="53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8" t="s">
        <v>23</v>
      </c>
      <c r="C4" s="539" t="s">
        <v>1012</v>
      </c>
      <c r="D4" s="539" t="s">
        <v>42</v>
      </c>
      <c r="E4" s="538" t="s">
        <v>43</v>
      </c>
      <c r="F4" s="108" t="s">
        <v>1598</v>
      </c>
      <c r="G4" s="108" t="s">
        <v>1597</v>
      </c>
      <c r="H4" s="53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8"/>
      <c r="C5" s="539"/>
      <c r="D5" s="539"/>
      <c r="E5" s="538"/>
      <c r="F5" s="93"/>
      <c r="G5" s="93"/>
      <c r="H5" s="536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140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141</v>
      </c>
      <c r="N10" s="165">
        <f t="shared" si="2"/>
        <v>141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142</v>
      </c>
      <c r="N17" s="165">
        <f t="shared" si="2"/>
        <v>142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143</v>
      </c>
      <c r="N32" s="165">
        <f t="shared" si="2"/>
        <v>143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144</v>
      </c>
      <c r="N33" s="165">
        <f t="shared" si="2"/>
        <v>144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145</v>
      </c>
      <c r="N34" s="165">
        <f t="shared" si="2"/>
        <v>145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146</v>
      </c>
      <c r="N35" s="165">
        <f t="shared" si="2"/>
        <v>146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147</v>
      </c>
      <c r="N36" s="165">
        <f t="shared" si="2"/>
        <v>147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148</v>
      </c>
      <c r="N37" s="165">
        <f t="shared" si="2"/>
        <v>148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149</v>
      </c>
      <c r="N38" s="165">
        <f t="shared" si="2"/>
        <v>149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150</v>
      </c>
      <c r="N39" s="165">
        <f t="shared" si="2"/>
        <v>150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151</v>
      </c>
      <c r="N40" s="165">
        <f t="shared" si="2"/>
        <v>151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152</v>
      </c>
      <c r="N41" s="165">
        <f t="shared" si="2"/>
        <v>152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153</v>
      </c>
      <c r="N42" s="165">
        <f t="shared" si="2"/>
        <v>153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154</v>
      </c>
      <c r="N43" s="165">
        <f t="shared" si="2"/>
        <v>154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155</v>
      </c>
      <c r="N44" s="165">
        <f t="shared" si="2"/>
        <v>155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156</v>
      </c>
      <c r="N45" s="165">
        <f t="shared" si="2"/>
        <v>156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45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0</v>
      </c>
      <c r="K51" s="155">
        <f t="shared" si="1"/>
        <v>1</v>
      </c>
      <c r="L51" s="155">
        <f>IF(J51=1,SUM($J$6:J51),0)</f>
        <v>0</v>
      </c>
      <c r="M51" s="155">
        <f>IF(K51=1,SUM($K$6:K51),0)</f>
        <v>157</v>
      </c>
      <c r="N51" s="165">
        <f t="shared" si="2"/>
        <v>157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27</v>
      </c>
      <c r="M52" s="155">
        <f>IF(K52=1,SUM($K$6:K52),0)</f>
        <v>0</v>
      </c>
      <c r="N52" s="165">
        <f t="shared" si="2"/>
        <v>27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28</v>
      </c>
      <c r="M53" s="155">
        <f>IF(K53=1,SUM($K$6:K53),0)</f>
        <v>0</v>
      </c>
      <c r="N53" s="165">
        <f t="shared" si="2"/>
        <v>28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29</v>
      </c>
      <c r="M54" s="155">
        <f>IF(K54=1,SUM($K$6:K54),0)</f>
        <v>0</v>
      </c>
      <c r="N54" s="165">
        <f t="shared" si="2"/>
        <v>29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30</v>
      </c>
      <c r="M55" s="155">
        <f>IF(K55=1,SUM($K$6:K55),0)</f>
        <v>0</v>
      </c>
      <c r="N55" s="165">
        <f t="shared" si="2"/>
        <v>30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31</v>
      </c>
      <c r="M56" s="155">
        <f>IF(K56=1,SUM($K$6:K56),0)</f>
        <v>0</v>
      </c>
      <c r="N56" s="165">
        <f t="shared" si="2"/>
        <v>31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32</v>
      </c>
      <c r="M57" s="155">
        <f>IF(K57=1,SUM($K$6:K57),0)</f>
        <v>0</v>
      </c>
      <c r="N57" s="165">
        <f t="shared" si="2"/>
        <v>32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33</v>
      </c>
      <c r="M58" s="155">
        <f>IF(K58=1,SUM($K$6:K58),0)</f>
        <v>0</v>
      </c>
      <c r="N58" s="165">
        <f t="shared" si="2"/>
        <v>33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34</v>
      </c>
      <c r="M59" s="155">
        <f>IF(K59=1,SUM($K$6:K59),0)</f>
        <v>0</v>
      </c>
      <c r="N59" s="165">
        <f t="shared" si="2"/>
        <v>34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35</v>
      </c>
      <c r="M60" s="155">
        <f>IF(K60=1,SUM($K$6:K60),0)</f>
        <v>0</v>
      </c>
      <c r="N60" s="165">
        <f t="shared" si="2"/>
        <v>35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36</v>
      </c>
      <c r="M61" s="155">
        <f>IF(K61=1,SUM($K$6:K61),0)</f>
        <v>0</v>
      </c>
      <c r="N61" s="165">
        <f t="shared" si="2"/>
        <v>36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37</v>
      </c>
      <c r="M62" s="155">
        <f>IF(K62=1,SUM($K$6:K62),0)</f>
        <v>0</v>
      </c>
      <c r="N62" s="165">
        <f t="shared" si="2"/>
        <v>37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38</v>
      </c>
      <c r="M63" s="155">
        <f>IF(K63=1,SUM($K$6:K63),0)</f>
        <v>0</v>
      </c>
      <c r="N63" s="165">
        <f t="shared" si="2"/>
        <v>38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39</v>
      </c>
      <c r="M64" s="155">
        <f>IF(K64=1,SUM($K$6:K64),0)</f>
        <v>0</v>
      </c>
      <c r="N64" s="165">
        <f t="shared" si="2"/>
        <v>39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40</v>
      </c>
      <c r="M65" s="155">
        <f>IF(K65=1,SUM($K$6:K65),0)</f>
        <v>0</v>
      </c>
      <c r="N65" s="165">
        <f t="shared" si="2"/>
        <v>40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41</v>
      </c>
      <c r="M66" s="155">
        <f>IF(K66=1,SUM($K$6:K66),0)</f>
        <v>0</v>
      </c>
      <c r="N66" s="165">
        <f t="shared" si="2"/>
        <v>41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42</v>
      </c>
      <c r="M67" s="155">
        <f>IF(K67=1,SUM($K$6:K67),0)</f>
        <v>0</v>
      </c>
      <c r="N67" s="165">
        <f t="shared" si="2"/>
        <v>42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43</v>
      </c>
      <c r="M68" s="155">
        <f>IF(K68=1,SUM($K$6:K68),0)</f>
        <v>0</v>
      </c>
      <c r="N68" s="165">
        <f t="shared" si="2"/>
        <v>43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44</v>
      </c>
      <c r="M69" s="155">
        <f>IF(K69=1,SUM($K$6:K69),0)</f>
        <v>0</v>
      </c>
      <c r="N69" s="165">
        <f t="shared" si="2"/>
        <v>44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45</v>
      </c>
      <c r="M70" s="155">
        <f>IF(K70=1,SUM($K$6:K70),0)</f>
        <v>0</v>
      </c>
      <c r="N70" s="165">
        <f t="shared" si="2"/>
        <v>45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46</v>
      </c>
      <c r="M71" s="155">
        <f>IF(K71=1,SUM($K$6:K71),0)</f>
        <v>0</v>
      </c>
      <c r="N71" s="165">
        <f t="shared" si="2"/>
        <v>46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47</v>
      </c>
      <c r="M72" s="155">
        <f>IF(K72=1,SUM($K$6:K72),0)</f>
        <v>0</v>
      </c>
      <c r="N72" s="165">
        <f t="shared" ref="N72:N136" si="9">IF(L72=0,M72,L72)</f>
        <v>47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48</v>
      </c>
      <c r="M73" s="155">
        <f>IF(K73=1,SUM($K$6:K73),0)</f>
        <v>0</v>
      </c>
      <c r="N73" s="165">
        <f t="shared" si="9"/>
        <v>48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49</v>
      </c>
      <c r="M74" s="155">
        <f>IF(K74=1,SUM($K$6:K74),0)</f>
        <v>0</v>
      </c>
      <c r="N74" s="165">
        <f t="shared" si="9"/>
        <v>49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50</v>
      </c>
      <c r="M75" s="155">
        <f>IF(K75=1,SUM($K$6:K75),0)</f>
        <v>0</v>
      </c>
      <c r="N75" s="165">
        <f t="shared" si="9"/>
        <v>50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51</v>
      </c>
      <c r="M76" s="155">
        <f>IF(K76=1,SUM($K$6:K76),0)</f>
        <v>0</v>
      </c>
      <c r="N76" s="165">
        <f t="shared" si="9"/>
        <v>51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52</v>
      </c>
      <c r="M77" s="155">
        <f>IF(K77=1,SUM($K$6:K77),0)</f>
        <v>0</v>
      </c>
      <c r="N77" s="165">
        <f t="shared" si="9"/>
        <v>52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53</v>
      </c>
      <c r="M78" s="155">
        <f>IF(K78=1,SUM($K$6:K78),0)</f>
        <v>0</v>
      </c>
      <c r="N78" s="165">
        <f t="shared" si="9"/>
        <v>53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54</v>
      </c>
      <c r="M79" s="155">
        <f>IF(K79=1,SUM($K$6:K79),0)</f>
        <v>0</v>
      </c>
      <c r="N79" s="165">
        <f t="shared" si="9"/>
        <v>54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55</v>
      </c>
      <c r="M80" s="155">
        <f>IF(K80=1,SUM($K$6:K80),0)</f>
        <v>0</v>
      </c>
      <c r="N80" s="165">
        <f t="shared" si="9"/>
        <v>55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56</v>
      </c>
      <c r="M81" s="155">
        <f>IF(K81=1,SUM($K$6:K81),0)</f>
        <v>0</v>
      </c>
      <c r="N81" s="165">
        <f t="shared" si="9"/>
        <v>56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57</v>
      </c>
      <c r="M82" s="155">
        <f>IF(K82=1,SUM($K$6:K82),0)</f>
        <v>0</v>
      </c>
      <c r="N82" s="165">
        <f t="shared" si="9"/>
        <v>57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58</v>
      </c>
      <c r="M83" s="155">
        <f>IF(K83=1,SUM($K$6:K83),0)</f>
        <v>0</v>
      </c>
      <c r="N83" s="165">
        <f t="shared" si="9"/>
        <v>58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59</v>
      </c>
      <c r="M84" s="155">
        <f>IF(K84=1,SUM($K$6:K84),0)</f>
        <v>0</v>
      </c>
      <c r="N84" s="165">
        <f t="shared" si="9"/>
        <v>59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60</v>
      </c>
      <c r="M85" s="155">
        <f>IF(K85=1,SUM($K$6:K85),0)</f>
        <v>0</v>
      </c>
      <c r="N85" s="165">
        <f t="shared" si="9"/>
        <v>60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61</v>
      </c>
      <c r="M88" s="155">
        <f>IF(K88=1,SUM($K$6:K88),0)</f>
        <v>0</v>
      </c>
      <c r="N88" s="165">
        <f t="shared" si="9"/>
        <v>61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62</v>
      </c>
      <c r="M89" s="155">
        <f>IF(K89=1,SUM($K$6:K89),0)</f>
        <v>0</v>
      </c>
      <c r="N89" s="165">
        <f t="shared" si="9"/>
        <v>62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63</v>
      </c>
      <c r="M90" s="155">
        <f>IF(K90=1,SUM($K$6:K90),0)</f>
        <v>0</v>
      </c>
      <c r="N90" s="165">
        <f t="shared" si="9"/>
        <v>63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64</v>
      </c>
      <c r="M91" s="155">
        <f>IF(K91=1,SUM($K$6:K91),0)</f>
        <v>0</v>
      </c>
      <c r="N91" s="165">
        <f t="shared" si="9"/>
        <v>64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65</v>
      </c>
      <c r="M92" s="155">
        <f>IF(K92=1,SUM($K$6:K92),0)</f>
        <v>0</v>
      </c>
      <c r="N92" s="165">
        <f t="shared" si="9"/>
        <v>65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66</v>
      </c>
      <c r="M93" s="155">
        <f>IF(K93=1,SUM($K$6:K93),0)</f>
        <v>0</v>
      </c>
      <c r="N93" s="165">
        <f t="shared" si="9"/>
        <v>66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67</v>
      </c>
      <c r="M94" s="155">
        <f>IF(K94=1,SUM($K$6:K94),0)</f>
        <v>0</v>
      </c>
      <c r="N94" s="165">
        <f t="shared" si="9"/>
        <v>67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68</v>
      </c>
      <c r="M95" s="155">
        <f>IF(K95=1,SUM($K$6:K95),0)</f>
        <v>0</v>
      </c>
      <c r="N95" s="165">
        <f t="shared" si="9"/>
        <v>68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69</v>
      </c>
      <c r="M96" s="155">
        <f>IF(K96=1,SUM($K$6:K96),0)</f>
        <v>0</v>
      </c>
      <c r="N96" s="165">
        <f t="shared" si="9"/>
        <v>69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70</v>
      </c>
      <c r="M97" s="155">
        <f>IF(K97=1,SUM($K$6:K97),0)</f>
        <v>0</v>
      </c>
      <c r="N97" s="165">
        <f t="shared" si="9"/>
        <v>70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71</v>
      </c>
      <c r="M98" s="155">
        <f>IF(K98=1,SUM($K$6:K98),0)</f>
        <v>0</v>
      </c>
      <c r="N98" s="165">
        <f t="shared" si="9"/>
        <v>71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72</v>
      </c>
      <c r="M99" s="155">
        <f>IF(K99=1,SUM($K$6:K99),0)</f>
        <v>0</v>
      </c>
      <c r="N99" s="165">
        <f t="shared" si="9"/>
        <v>72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73</v>
      </c>
      <c r="M100" s="155">
        <f>IF(K100=1,SUM($K$6:K100),0)</f>
        <v>0</v>
      </c>
      <c r="N100" s="165">
        <f t="shared" si="9"/>
        <v>73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74</v>
      </c>
      <c r="M101" s="155">
        <f>IF(K101=1,SUM($K$6:K101),0)</f>
        <v>0</v>
      </c>
      <c r="N101" s="165">
        <f t="shared" si="9"/>
        <v>74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75</v>
      </c>
      <c r="M102" s="155">
        <f>IF(K102=1,SUM($K$6:K102),0)</f>
        <v>0</v>
      </c>
      <c r="N102" s="165">
        <f t="shared" si="9"/>
        <v>75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76</v>
      </c>
      <c r="M103" s="155">
        <f>IF(K103=1,SUM($K$6:K103),0)</f>
        <v>0</v>
      </c>
      <c r="N103" s="165">
        <f t="shared" si="9"/>
        <v>76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77</v>
      </c>
      <c r="M104" s="155">
        <f>IF(K104=1,SUM($K$6:K104),0)</f>
        <v>0</v>
      </c>
      <c r="N104" s="165">
        <f t="shared" si="9"/>
        <v>77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78</v>
      </c>
      <c r="M116" s="155">
        <f>IF(K116=1,SUM($K$6:K116),0)</f>
        <v>0</v>
      </c>
      <c r="N116" s="165">
        <f t="shared" si="9"/>
        <v>78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79</v>
      </c>
      <c r="M117" s="155">
        <f>IF(K117=1,SUM($K$6:K117),0)</f>
        <v>0</v>
      </c>
      <c r="N117" s="165">
        <f t="shared" si="9"/>
        <v>79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80</v>
      </c>
      <c r="M118" s="155">
        <f>IF(K118=1,SUM($K$6:K118),0)</f>
        <v>0</v>
      </c>
      <c r="N118" s="165">
        <f t="shared" si="9"/>
        <v>80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81</v>
      </c>
      <c r="M119" s="155">
        <f>IF(K119=1,SUM($K$6:K119),0)</f>
        <v>0</v>
      </c>
      <c r="N119" s="165">
        <f t="shared" si="9"/>
        <v>81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82</v>
      </c>
      <c r="M120" s="155">
        <f>IF(K120=1,SUM($K$6:K120),0)</f>
        <v>0</v>
      </c>
      <c r="N120" s="165">
        <f t="shared" si="9"/>
        <v>82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83</v>
      </c>
      <c r="M121" s="155">
        <f>IF(K121=1,SUM($K$6:K121),0)</f>
        <v>0</v>
      </c>
      <c r="N121" s="165">
        <f t="shared" si="9"/>
        <v>83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84</v>
      </c>
      <c r="M123" s="155">
        <f>IF(K123=1,SUM($K$6:K123),0)</f>
        <v>0</v>
      </c>
      <c r="N123" s="165">
        <f t="shared" si="9"/>
        <v>84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85</v>
      </c>
      <c r="M124" s="155">
        <f>IF(K124=1,SUM($K$6:K124),0)</f>
        <v>0</v>
      </c>
      <c r="N124" s="165">
        <f t="shared" si="9"/>
        <v>85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86</v>
      </c>
      <c r="M127" s="155">
        <f>IF(K127=1,SUM($K$6:K127),0)</f>
        <v>0</v>
      </c>
      <c r="N127" s="165">
        <f t="shared" si="9"/>
        <v>86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87</v>
      </c>
      <c r="M128" s="155">
        <f>IF(K128=1,SUM($K$6:K128),0)</f>
        <v>0</v>
      </c>
      <c r="N128" s="165">
        <f t="shared" si="9"/>
        <v>87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88</v>
      </c>
      <c r="M134" s="155">
        <f>IF(K134=1,SUM($K$6:K134),0)</f>
        <v>0</v>
      </c>
      <c r="N134" s="165">
        <f t="shared" si="9"/>
        <v>88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89</v>
      </c>
      <c r="M135" s="155">
        <f>IF(K135=1,SUM($K$6:K135),0)</f>
        <v>0</v>
      </c>
      <c r="N135" s="165">
        <f t="shared" si="9"/>
        <v>89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90</v>
      </c>
      <c r="M136" s="155">
        <f>IF(K136=1,SUM($K$6:K136),0)</f>
        <v>0</v>
      </c>
      <c r="N136" s="165">
        <f t="shared" si="9"/>
        <v>90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91</v>
      </c>
      <c r="M137" s="155">
        <f>IF(K137=1,SUM($K$6:K137),0)</f>
        <v>0</v>
      </c>
      <c r="N137" s="165">
        <f t="shared" ref="N137:N201" si="14">IF(L137=0,M137,L137)</f>
        <v>91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92</v>
      </c>
      <c r="M138" s="155">
        <f>IF(K138=1,SUM($K$6:K138),0)</f>
        <v>0</v>
      </c>
      <c r="N138" s="165">
        <f t="shared" si="14"/>
        <v>92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93</v>
      </c>
      <c r="M139" s="155">
        <f>IF(K139=1,SUM($K$6:K139),0)</f>
        <v>0</v>
      </c>
      <c r="N139" s="165">
        <f t="shared" si="14"/>
        <v>93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94</v>
      </c>
      <c r="M140" s="155">
        <f>IF(K140=1,SUM($K$6:K140),0)</f>
        <v>0</v>
      </c>
      <c r="N140" s="165">
        <f t="shared" si="14"/>
        <v>94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95</v>
      </c>
      <c r="M141" s="155">
        <f>IF(K141=1,SUM($K$6:K141),0)</f>
        <v>0</v>
      </c>
      <c r="N141" s="165">
        <f t="shared" si="14"/>
        <v>95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96</v>
      </c>
      <c r="M142" s="155">
        <f>IF(K142=1,SUM($K$6:K142),0)</f>
        <v>0</v>
      </c>
      <c r="N142" s="165">
        <f t="shared" si="14"/>
        <v>96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97</v>
      </c>
      <c r="M143" s="155">
        <f>IF(K143=1,SUM($K$6:K143),0)</f>
        <v>0</v>
      </c>
      <c r="N143" s="165">
        <f t="shared" si="14"/>
        <v>97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98</v>
      </c>
      <c r="M144" s="155">
        <f>IF(K144=1,SUM($K$6:K144),0)</f>
        <v>0</v>
      </c>
      <c r="N144" s="165">
        <f t="shared" si="14"/>
        <v>98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99</v>
      </c>
      <c r="M145" s="155">
        <f>IF(K145=1,SUM($K$6:K145),0)</f>
        <v>0</v>
      </c>
      <c r="N145" s="165">
        <f t="shared" si="14"/>
        <v>99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100</v>
      </c>
      <c r="M146" s="155">
        <f>IF(K146=1,SUM($K$6:K146),0)</f>
        <v>0</v>
      </c>
      <c r="N146" s="165">
        <f t="shared" si="14"/>
        <v>100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101</v>
      </c>
      <c r="M147" s="155">
        <f>IF(K147=1,SUM($K$6:K147),0)</f>
        <v>0</v>
      </c>
      <c r="N147" s="165">
        <f t="shared" si="14"/>
        <v>101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102</v>
      </c>
      <c r="M148" s="155">
        <f>IF(K148=1,SUM($K$6:K148),0)</f>
        <v>0</v>
      </c>
      <c r="N148" s="165">
        <f t="shared" si="14"/>
        <v>102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103</v>
      </c>
      <c r="M151" s="155">
        <f>IF(K151=1,SUM($K$6:K151),0)</f>
        <v>0</v>
      </c>
      <c r="N151" s="165">
        <f t="shared" si="14"/>
        <v>103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104</v>
      </c>
      <c r="M186" s="155">
        <f>IF(K186=1,SUM($K$6:K186),0)</f>
        <v>0</v>
      </c>
      <c r="N186" s="165">
        <f t="shared" si="14"/>
        <v>104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105</v>
      </c>
      <c r="M187" s="155">
        <f>IF(K187=1,SUM($K$6:K187),0)</f>
        <v>0</v>
      </c>
      <c r="N187" s="165">
        <f t="shared" si="14"/>
        <v>105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106</v>
      </c>
      <c r="M188" s="155">
        <f>IF(K188=1,SUM($K$6:K188),0)</f>
        <v>0</v>
      </c>
      <c r="N188" s="165">
        <f t="shared" si="14"/>
        <v>106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86" t="s">
        <v>1618</v>
      </c>
      <c r="D189" s="226" t="s">
        <v>44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107</v>
      </c>
      <c r="M189" s="155">
        <f>IF(K189=1,SUM($K$6:K189),0)</f>
        <v>0</v>
      </c>
      <c r="N189" s="165">
        <f t="shared" ref="N189" si="20">IF(L189=0,M189,L189)</f>
        <v>107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44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108</v>
      </c>
      <c r="M190" s="155">
        <f>IF(K190=1,SUM($K$6:K190),0)</f>
        <v>0</v>
      </c>
      <c r="N190" s="165">
        <f t="shared" si="14"/>
        <v>108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109</v>
      </c>
      <c r="M193" s="155">
        <f>IF(K193=1,SUM($K$6:K193),0)</f>
        <v>0</v>
      </c>
      <c r="N193" s="165">
        <f t="shared" si="14"/>
        <v>109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110</v>
      </c>
      <c r="M194" s="155">
        <f>IF(K194=1,SUM($K$6:K194),0)</f>
        <v>0</v>
      </c>
      <c r="N194" s="165">
        <f t="shared" si="14"/>
        <v>110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6" t="s">
        <v>1608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111</v>
      </c>
      <c r="M215" s="155">
        <f>IF(K215=1,SUM($K$6:K215),0)</f>
        <v>0</v>
      </c>
      <c r="N215" s="165">
        <f t="shared" si="24"/>
        <v>111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6" t="s">
        <v>1607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112</v>
      </c>
      <c r="M216" s="155">
        <f>IF(K216=1,SUM($K$6:K216),0)</f>
        <v>0</v>
      </c>
      <c r="N216" s="165">
        <f t="shared" si="24"/>
        <v>112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113</v>
      </c>
      <c r="M217" s="155">
        <f>IF(K217=1,SUM($K$6:K217),0)</f>
        <v>0</v>
      </c>
      <c r="N217" s="165">
        <f t="shared" si="24"/>
        <v>113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488" t="s">
        <v>1617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114</v>
      </c>
      <c r="M218" s="155">
        <f>IF(K218=1,SUM($K$6:K218),0)</f>
        <v>0</v>
      </c>
      <c r="N218" s="165">
        <f t="shared" ref="N218" si="30">IF(L218=0,M218,L218)</f>
        <v>114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115</v>
      </c>
      <c r="M219" s="155">
        <f>IF(K219=1,SUM($K$6:K219),0)</f>
        <v>0</v>
      </c>
      <c r="N219" s="165">
        <f t="shared" si="24"/>
        <v>115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116</v>
      </c>
      <c r="M222" s="155">
        <f>IF(K222=1,SUM($K$6:K222),0)</f>
        <v>0</v>
      </c>
      <c r="N222" s="165">
        <f t="shared" si="24"/>
        <v>116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117</v>
      </c>
      <c r="M223" s="155">
        <f>IF(K223=1,SUM($K$6:K223),0)</f>
        <v>0</v>
      </c>
      <c r="N223" s="165">
        <f t="shared" si="24"/>
        <v>117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118</v>
      </c>
      <c r="M224" s="155">
        <f>IF(K224=1,SUM($K$6:K224),0)</f>
        <v>0</v>
      </c>
      <c r="N224" s="165">
        <f t="shared" si="24"/>
        <v>118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119</v>
      </c>
      <c r="M225" s="155">
        <f>IF(K225=1,SUM($K$6:K225),0)</f>
        <v>0</v>
      </c>
      <c r="N225" s="165">
        <f t="shared" si="24"/>
        <v>119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120</v>
      </c>
      <c r="M226" s="155">
        <f>IF(K226=1,SUM($K$6:K226),0)</f>
        <v>0</v>
      </c>
      <c r="N226" s="165">
        <f t="shared" si="24"/>
        <v>120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121</v>
      </c>
      <c r="M227" s="155">
        <f>IF(K227=1,SUM($K$6:K227),0)</f>
        <v>0</v>
      </c>
      <c r="N227" s="165">
        <f t="shared" si="24"/>
        <v>121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489" t="s">
        <v>1612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122</v>
      </c>
      <c r="M230" s="155">
        <f>IF(K230=1,SUM($K$6:K230),0)</f>
        <v>0</v>
      </c>
      <c r="N230" s="165">
        <f t="shared" ref="N230" si="35">IF(L230=0,M230,L230)</f>
        <v>122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123</v>
      </c>
      <c r="M231" s="155">
        <f>IF(K231=1,SUM($K$6:K231),0)</f>
        <v>0</v>
      </c>
      <c r="N231" s="165">
        <f t="shared" si="24"/>
        <v>123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124</v>
      </c>
      <c r="M232" s="155">
        <f>IF(K232=1,SUM($K$6:K232),0)</f>
        <v>0</v>
      </c>
      <c r="N232" s="165">
        <f t="shared" si="24"/>
        <v>124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489" t="s">
        <v>1614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125</v>
      </c>
      <c r="M233" s="155">
        <f>IF(K233=1,SUM($K$6:K233),0)</f>
        <v>0</v>
      </c>
      <c r="N233" s="165">
        <f t="shared" ref="N233" si="40">IF(L233=0,M233,L233)</f>
        <v>125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126</v>
      </c>
      <c r="M234" s="155">
        <f>IF(K234=1,SUM($K$6:K234),0)</f>
        <v>0</v>
      </c>
      <c r="N234" s="165">
        <f t="shared" si="24"/>
        <v>126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127</v>
      </c>
      <c r="M235" s="155">
        <f>IF(K235=1,SUM($K$6:K235),0)</f>
        <v>0</v>
      </c>
      <c r="N235" s="165">
        <f t="shared" si="24"/>
        <v>127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128</v>
      </c>
      <c r="M236" s="155">
        <f>IF(K236=1,SUM($K$6:K236),0)</f>
        <v>0</v>
      </c>
      <c r="N236" s="165">
        <f t="shared" si="24"/>
        <v>128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24"/>
        <v>129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130</v>
      </c>
      <c r="M241" s="155">
        <f>IF(K241=1,SUM($K$6:K241),0)</f>
        <v>0</v>
      </c>
      <c r="N241" s="165">
        <f t="shared" si="24"/>
        <v>130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131</v>
      </c>
      <c r="M247" s="155">
        <f>IF(K247=1,SUM($K$6:K247),0)</f>
        <v>0</v>
      </c>
      <c r="N247" s="165">
        <f t="shared" si="24"/>
        <v>131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132</v>
      </c>
      <c r="M248" s="155">
        <f>IF(K248=1,SUM($K$6:K248),0)</f>
        <v>0</v>
      </c>
      <c r="N248" s="165">
        <f t="shared" si="24"/>
        <v>132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133</v>
      </c>
      <c r="M249" s="155">
        <f>IF(K249=1,SUM($K$6:K249),0)</f>
        <v>0</v>
      </c>
      <c r="N249" s="165">
        <f t="shared" si="24"/>
        <v>133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134</v>
      </c>
      <c r="M250" s="155">
        <f>IF(K250=1,SUM($K$6:K250),0)</f>
        <v>0</v>
      </c>
      <c r="N250" s="165">
        <f t="shared" si="24"/>
        <v>134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135</v>
      </c>
      <c r="M253" s="155">
        <f>IF(K253=1,SUM($K$6:K253),0)</f>
        <v>0</v>
      </c>
      <c r="N253" s="165">
        <f t="shared" si="24"/>
        <v>135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136</v>
      </c>
      <c r="M263" s="155">
        <f>IF(K263=1,SUM($K$6:K263),0)</f>
        <v>0</v>
      </c>
      <c r="N263" s="165">
        <f t="shared" si="24"/>
        <v>136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137</v>
      </c>
      <c r="M264" s="155">
        <f>IF(K264=1,SUM($K$6:K264),0)</f>
        <v>0</v>
      </c>
      <c r="N264" s="165">
        <f t="shared" si="24"/>
        <v>137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138</v>
      </c>
      <c r="M265" s="155">
        <f>IF(K265=1,SUM($K$6:K265),0)</f>
        <v>0</v>
      </c>
      <c r="N265" s="165">
        <f t="shared" si="24"/>
        <v>138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139</v>
      </c>
      <c r="M275" s="155">
        <f>IF(K275=1,SUM($K$6:K275),0)</f>
        <v>0</v>
      </c>
      <c r="N275" s="165">
        <f t="shared" si="45"/>
        <v>139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140</v>
      </c>
      <c r="M276" s="155">
        <f>IF(K276=1,SUM($K$6:K276),0)</f>
        <v>0</v>
      </c>
      <c r="N276" s="165">
        <f t="shared" si="45"/>
        <v>140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489" t="s">
        <v>1613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86" t="s">
        <v>1620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489" t="s">
        <v>1615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86" t="s">
        <v>1619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1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1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489" t="s">
        <v>1621</v>
      </c>
      <c r="D1043" s="226" t="s">
        <v>47</v>
      </c>
      <c r="E1043" s="227" t="s">
        <v>14</v>
      </c>
      <c r="F1043" s="228">
        <v>11600</v>
      </c>
      <c r="G1043" s="493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489" t="s">
        <v>1622</v>
      </c>
      <c r="D1044" s="226" t="s">
        <v>47</v>
      </c>
      <c r="E1044" s="227" t="s">
        <v>14</v>
      </c>
      <c r="F1044" s="228">
        <v>10700</v>
      </c>
      <c r="G1044" s="493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89" t="s">
        <v>1623</v>
      </c>
      <c r="D1045" s="226" t="s">
        <v>47</v>
      </c>
      <c r="E1045" s="227" t="s">
        <v>14</v>
      </c>
      <c r="F1045" s="228">
        <v>11600</v>
      </c>
      <c r="G1045" s="493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89" t="s">
        <v>1624</v>
      </c>
      <c r="D1046" s="226" t="s">
        <v>47</v>
      </c>
      <c r="E1046" s="227" t="s">
        <v>14</v>
      </c>
      <c r="F1046" s="228">
        <v>10700</v>
      </c>
      <c r="G1046" s="493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2">
        <v>2740</v>
      </c>
      <c r="G1445" s="412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3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3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3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3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3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190:G214 B189 D189:G189 B305:G305 B306 D306:G306 B234:G292 B294:G303 B293 D293:G293 B307:G1042 B1047:G1505 B1043:B1046 D1043:F1046 B8:G188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26" priority="8" operator="equal">
      <formula>0</formula>
    </cfRule>
  </conditionalFormatting>
  <conditionalFormatting sqref="B218 D218:G218">
    <cfRule type="cellIs" dxfId="25" priority="15" operator="equal">
      <formula>0</formula>
    </cfRule>
  </conditionalFormatting>
  <conditionalFormatting sqref="B8:C135">
    <cfRule type="cellIs" dxfId="24" priority="70" operator="equal">
      <formula>0</formula>
    </cfRule>
  </conditionalFormatting>
  <conditionalFormatting sqref="B217:G217">
    <cfRule type="cellIs" dxfId="23" priority="20" operator="equal">
      <formula>0</formula>
    </cfRule>
  </conditionalFormatting>
  <conditionalFormatting sqref="B219:G292 B293 D293:G293 B294:G305 B306 D306:G306">
    <cfRule type="cellIs" dxfId="22" priority="3" operator="equal">
      <formula>0</formula>
    </cfRule>
  </conditionalFormatting>
  <conditionalFormatting sqref="B307:G1505">
    <cfRule type="cellIs" dxfId="21" priority="1" operator="equal">
      <formula>0</formula>
    </cfRule>
  </conditionalFormatting>
  <conditionalFormatting sqref="C143:G149">
    <cfRule type="cellIs" dxfId="20" priority="24" operator="equal">
      <formula>0</formula>
    </cfRule>
  </conditionalFormatting>
  <conditionalFormatting sqref="D9:G142">
    <cfRule type="cellIs" dxfId="19" priority="30" operator="equal">
      <formula>0</formula>
    </cfRule>
  </conditionalFormatting>
  <conditionalFormatting sqref="D1:IV5 A1:C7 D6:K6 H1467:IV1469 H1470:XFD1497 H1498:H1505 I1498:XFD1506 A1506:H1506 A1507:XFD65548">
    <cfRule type="cellIs" dxfId="18" priority="182" operator="equal">
      <formula>0</formula>
    </cfRule>
  </conditionalFormatting>
  <conditionalFormatting sqref="D7:IV8 C136:C142 B136:B149 B150:G188 B189 D189:G189 B190:G214 B215:B216 D215:G216">
    <cfRule type="cellIs" dxfId="17" priority="81" operator="equal">
      <formula>0</formula>
    </cfRule>
  </conditionalFormatting>
  <conditionalFormatting sqref="H9:H1430">
    <cfRule type="cellIs" dxfId="16" priority="7" operator="equal">
      <formula>0</formula>
    </cfRule>
  </conditionalFormatting>
  <conditionalFormatting sqref="H1431:I1466">
    <cfRule type="cellIs" dxfId="15" priority="147" operator="equal">
      <formula>0</formula>
    </cfRule>
  </conditionalFormatting>
  <conditionalFormatting sqref="I108:I1430">
    <cfRule type="cellIs" dxfId="14" priority="6" operator="equal">
      <formula>0</formula>
    </cfRule>
  </conditionalFormatting>
  <conditionalFormatting sqref="I9:IV107">
    <cfRule type="cellIs" dxfId="13" priority="157" operator="equal">
      <formula>0</formula>
    </cfRule>
  </conditionalFormatting>
  <conditionalFormatting sqref="J108:IV1466">
    <cfRule type="cellIs" dxfId="12" priority="9" operator="equal">
      <formula>0</formula>
    </cfRule>
  </conditionalFormatting>
  <conditionalFormatting sqref="M6:IV6">
    <cfRule type="cellIs" dxfId="11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topLeftCell="A4" zoomScale="55" zoomScaleNormal="55" zoomScaleSheetLayoutView="85" workbookViewId="0">
      <selection activeCell="N24" sqref="N24"/>
    </sheetView>
  </sheetViews>
  <sheetFormatPr defaultColWidth="9.08984375" defaultRowHeight="14.5"/>
  <cols>
    <col min="1" max="1" width="4.36328125" style="191" customWidth="1"/>
    <col min="2" max="2" width="33.36328125" style="191" customWidth="1"/>
    <col min="3" max="3" width="3.63281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08984375" style="191" customWidth="1"/>
    <col min="9" max="9" width="34.08984375" style="191" customWidth="1"/>
    <col min="10" max="10" width="3.54296875" style="191" customWidth="1"/>
    <col min="11" max="11" width="12.63281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08984375" style="191" customWidth="1"/>
    <col min="16" max="16" width="20.36328125" style="191" customWidth="1"/>
    <col min="17" max="17" width="14.54296875" style="191" customWidth="1"/>
    <col min="18" max="16384" width="9.08984375" style="191"/>
  </cols>
  <sheetData>
    <row r="2" spans="1:12" s="194" customFormat="1" ht="18.75" customHeight="1">
      <c r="B2" s="544" t="s">
        <v>1453</v>
      </c>
      <c r="C2" s="544"/>
      <c r="D2" s="544"/>
      <c r="E2" s="54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49" t="s">
        <v>1528</v>
      </c>
      <c r="C4" s="550"/>
      <c r="D4" s="550"/>
      <c r="E4" s="551"/>
      <c r="F4" s="370"/>
      <c r="G4" s="370"/>
      <c r="H4" s="371"/>
      <c r="I4" s="576" t="s">
        <v>1529</v>
      </c>
      <c r="J4" s="577"/>
      <c r="K4" s="577"/>
      <c r="L4" s="578"/>
    </row>
    <row r="5" spans="1:12" ht="34.5" customHeight="1">
      <c r="A5" s="193"/>
      <c r="B5" s="373" t="s">
        <v>1378</v>
      </c>
      <c r="C5" s="224" t="s">
        <v>9</v>
      </c>
      <c r="D5" s="545" t="str">
        <f>DATA!D14</f>
        <v>SAI APPAREL (525530130931)</v>
      </c>
      <c r="E5" s="546"/>
      <c r="F5" s="197"/>
      <c r="G5" s="197"/>
      <c r="I5" s="374" t="s">
        <v>1378</v>
      </c>
      <c r="J5" s="224" t="s">
        <v>9</v>
      </c>
      <c r="K5" s="579" t="str">
        <f>D5</f>
        <v>SAI APPAREL (525530130931)</v>
      </c>
      <c r="L5" s="580"/>
    </row>
    <row r="6" spans="1:12" ht="31.5" customHeight="1">
      <c r="A6" s="193"/>
      <c r="B6" s="373" t="s">
        <v>1525</v>
      </c>
      <c r="C6" s="224" t="s">
        <v>9</v>
      </c>
      <c r="D6" s="554">
        <f>DATA!D17*1000</f>
        <v>1385000</v>
      </c>
      <c r="E6" s="555"/>
      <c r="F6" s="197"/>
      <c r="G6" s="197"/>
      <c r="I6" s="374" t="s">
        <v>1526</v>
      </c>
      <c r="J6" s="224" t="s">
        <v>9</v>
      </c>
      <c r="K6" s="581">
        <f>DATA!D20*1000</f>
        <v>1730000</v>
      </c>
      <c r="L6" s="582"/>
    </row>
    <row r="7" spans="1:12" ht="30.75" customHeight="1">
      <c r="A7" s="193"/>
      <c r="B7" s="373" t="s">
        <v>1440</v>
      </c>
      <c r="C7" s="224" t="s">
        <v>9</v>
      </c>
      <c r="D7" s="552">
        <f>DATA!D18</f>
        <v>3</v>
      </c>
      <c r="E7" s="553"/>
      <c r="F7" s="372" t="s">
        <v>1452</v>
      </c>
      <c r="I7" s="374" t="s">
        <v>1440</v>
      </c>
      <c r="J7" s="224" t="s">
        <v>9</v>
      </c>
      <c r="K7" s="583">
        <f>DATA!D21</f>
        <v>3</v>
      </c>
      <c r="L7" s="584"/>
    </row>
    <row r="8" spans="1:12" ht="51" customHeight="1">
      <c r="A8" s="193"/>
      <c r="B8" s="373" t="s">
        <v>1441</v>
      </c>
      <c r="C8" s="224" t="s">
        <v>9</v>
      </c>
      <c r="D8" s="552">
        <f>DATA!D19</f>
        <v>380</v>
      </c>
      <c r="E8" s="553"/>
      <c r="F8" s="372" t="s">
        <v>1452</v>
      </c>
      <c r="G8" s="367">
        <v>220</v>
      </c>
      <c r="I8" s="374" t="s">
        <v>1441</v>
      </c>
      <c r="J8" s="224" t="s">
        <v>9</v>
      </c>
      <c r="K8" s="583">
        <f>DATA!D22</f>
        <v>380</v>
      </c>
      <c r="L8" s="584"/>
    </row>
    <row r="9" spans="1:12" ht="30" customHeight="1" thickBot="1">
      <c r="A9" s="193"/>
      <c r="B9" s="379" t="s">
        <v>1537</v>
      </c>
      <c r="C9" s="369" t="s">
        <v>9</v>
      </c>
      <c r="D9" s="547">
        <f>IF(D7=1,D6/(380/3^0.5),(D6/(380*3^0.5)))</f>
        <v>2104.2897969148203</v>
      </c>
      <c r="E9" s="548"/>
      <c r="F9" s="196"/>
      <c r="G9" s="368">
        <v>380</v>
      </c>
      <c r="I9" s="380" t="s">
        <v>1537</v>
      </c>
      <c r="J9" s="369" t="s">
        <v>9</v>
      </c>
      <c r="K9" s="585">
        <f>IF(K7=1,K6/(380/3^0.5),(K6/(380*3^0.5)))</f>
        <v>2628.4630676264542</v>
      </c>
      <c r="L9" s="586"/>
    </row>
    <row r="10" spans="1:12" ht="24.75" customHeight="1">
      <c r="B10" s="381"/>
      <c r="C10" s="378"/>
      <c r="D10" s="382"/>
      <c r="E10" s="382"/>
      <c r="F10" s="196"/>
      <c r="G10" s="368"/>
      <c r="I10" s="381"/>
      <c r="J10" s="378"/>
      <c r="K10" s="382"/>
      <c r="L10" s="382"/>
    </row>
    <row r="11" spans="1:12" ht="16" thickBot="1">
      <c r="B11" s="375" t="s">
        <v>1538</v>
      </c>
      <c r="I11" s="375" t="s">
        <v>1532</v>
      </c>
    </row>
    <row r="12" spans="1:12" ht="34.5" customHeight="1">
      <c r="A12" s="193"/>
      <c r="B12" s="403" t="s">
        <v>1530</v>
      </c>
      <c r="C12" s="397" t="s">
        <v>9</v>
      </c>
      <c r="D12" s="556"/>
      <c r="E12" s="557"/>
      <c r="F12" s="197"/>
      <c r="G12" s="197"/>
      <c r="I12" s="396" t="s">
        <v>1530</v>
      </c>
      <c r="J12" s="397" t="s">
        <v>9</v>
      </c>
      <c r="K12" s="556" t="s">
        <v>1601</v>
      </c>
      <c r="L12" s="557"/>
    </row>
    <row r="13" spans="1:12" ht="31.5" customHeight="1">
      <c r="A13" s="193"/>
      <c r="B13" s="404" t="s">
        <v>1379</v>
      </c>
      <c r="C13" s="384" t="s">
        <v>9</v>
      </c>
      <c r="D13" s="560"/>
      <c r="E13" s="561"/>
      <c r="F13" s="197"/>
      <c r="G13" s="197"/>
      <c r="I13" s="398" t="s">
        <v>1379</v>
      </c>
      <c r="J13" s="384" t="s">
        <v>9</v>
      </c>
      <c r="K13" s="560" t="s">
        <v>1602</v>
      </c>
      <c r="L13" s="561"/>
    </row>
    <row r="14" spans="1:12" ht="30.75" customHeight="1">
      <c r="A14" s="193"/>
      <c r="B14" s="404" t="s">
        <v>1531</v>
      </c>
      <c r="C14" s="384" t="s">
        <v>9</v>
      </c>
      <c r="D14" s="568"/>
      <c r="E14" s="569"/>
      <c r="F14" s="372" t="s">
        <v>1452</v>
      </c>
      <c r="G14" s="376">
        <v>50</v>
      </c>
      <c r="I14" s="398" t="s">
        <v>1531</v>
      </c>
      <c r="J14" s="384" t="s">
        <v>9</v>
      </c>
      <c r="K14" s="570">
        <v>160</v>
      </c>
      <c r="L14" s="571"/>
    </row>
    <row r="15" spans="1:12" ht="57" customHeight="1">
      <c r="A15" s="193"/>
      <c r="B15" s="404" t="s">
        <v>1440</v>
      </c>
      <c r="C15" s="384" t="s">
        <v>9</v>
      </c>
      <c r="D15" s="390"/>
      <c r="E15" s="399"/>
      <c r="F15" s="372" t="s">
        <v>1452</v>
      </c>
      <c r="G15" s="376">
        <v>100</v>
      </c>
      <c r="I15" s="398" t="s">
        <v>1440</v>
      </c>
      <c r="J15" s="384" t="s">
        <v>9</v>
      </c>
      <c r="K15" s="390">
        <v>3</v>
      </c>
      <c r="L15" s="399"/>
    </row>
    <row r="16" spans="1:12" ht="44.25" customHeight="1">
      <c r="A16" s="193"/>
      <c r="B16" s="404" t="s">
        <v>1541</v>
      </c>
      <c r="C16" s="384"/>
      <c r="D16" s="572">
        <v>0</v>
      </c>
      <c r="E16" s="573"/>
      <c r="F16" s="372"/>
      <c r="G16" s="376">
        <v>160</v>
      </c>
      <c r="I16" s="398" t="s">
        <v>1533</v>
      </c>
      <c r="J16" s="384" t="s">
        <v>9</v>
      </c>
      <c r="K16" s="574">
        <f>K9</f>
        <v>2628.4630676264542</v>
      </c>
      <c r="L16" s="575"/>
    </row>
    <row r="17" spans="1:12" ht="34.5" customHeight="1">
      <c r="A17" s="193"/>
      <c r="B17" s="404" t="s">
        <v>1534</v>
      </c>
      <c r="C17" s="384" t="s">
        <v>9</v>
      </c>
      <c r="D17" s="562">
        <f>IF(D15=1,D14/(20/3^0.5),(D14/(20*3^0.5)))</f>
        <v>0</v>
      </c>
      <c r="E17" s="563"/>
      <c r="F17" s="372" t="s">
        <v>1452</v>
      </c>
      <c r="G17" s="377">
        <v>200</v>
      </c>
      <c r="I17" s="398" t="s">
        <v>1534</v>
      </c>
      <c r="J17" s="384" t="s">
        <v>9</v>
      </c>
      <c r="K17" s="566">
        <f>IF(K15=1,K14/(20/3^0.5),(K14/(20*3^0.5)))</f>
        <v>4.6188021535170067</v>
      </c>
      <c r="L17" s="567"/>
    </row>
    <row r="18" spans="1:12" ht="34.5" customHeight="1">
      <c r="A18" s="193"/>
      <c r="B18" s="404" t="s">
        <v>1535</v>
      </c>
      <c r="C18" s="384" t="s">
        <v>9</v>
      </c>
      <c r="D18" s="562">
        <f>IF(D15=1,D14/(380/3^0.5),(D14/(380*3^0.5)))*1000</f>
        <v>0</v>
      </c>
      <c r="E18" s="563"/>
      <c r="F18" s="372" t="s">
        <v>1452</v>
      </c>
      <c r="G18" s="377">
        <v>250</v>
      </c>
      <c r="I18" s="398" t="s">
        <v>1535</v>
      </c>
      <c r="J18" s="384" t="s">
        <v>9</v>
      </c>
      <c r="K18" s="566">
        <f>IF(K15=1,K14/(380/3^0.5),(K14/(380*3^0.5)))*1000</f>
        <v>243.0948501851056</v>
      </c>
      <c r="L18" s="567"/>
    </row>
    <row r="19" spans="1:12" ht="30" customHeight="1">
      <c r="A19" s="193"/>
      <c r="B19" s="405" t="s">
        <v>1527</v>
      </c>
      <c r="C19" s="383" t="s">
        <v>9</v>
      </c>
      <c r="D19" s="562">
        <f>IF(D15=1,D14/(380/3^0.5),(D14/(380*3^0.5)))</f>
        <v>0</v>
      </c>
      <c r="E19" s="563"/>
      <c r="F19" s="196"/>
      <c r="G19" s="368"/>
      <c r="I19" s="400" t="s">
        <v>1527</v>
      </c>
      <c r="J19" s="383" t="s">
        <v>9</v>
      </c>
      <c r="K19" s="566">
        <f>IF(K15=1,K14/(380/3^0.5),(K14/(380*3^0.5)))</f>
        <v>0.2430948501851056</v>
      </c>
      <c r="L19" s="567"/>
    </row>
    <row r="20" spans="1:12" ht="30" customHeight="1" thickBot="1">
      <c r="A20" s="193"/>
      <c r="B20" s="406" t="s">
        <v>1536</v>
      </c>
      <c r="C20" s="402" t="s">
        <v>9</v>
      </c>
      <c r="D20" s="558" t="e">
        <f>D16/D18</f>
        <v>#DIV/0!</v>
      </c>
      <c r="E20" s="559"/>
      <c r="F20" s="196"/>
      <c r="G20" s="368"/>
      <c r="I20" s="401" t="s">
        <v>1527</v>
      </c>
      <c r="J20" s="402" t="s">
        <v>9</v>
      </c>
      <c r="K20" s="564">
        <f>K16/K18</f>
        <v>10.8125</v>
      </c>
      <c r="L20" s="565"/>
    </row>
    <row r="21" spans="1:12" ht="9.75" customHeight="1">
      <c r="A21" s="193"/>
      <c r="B21" s="391" t="s">
        <v>1536</v>
      </c>
      <c r="C21" s="392" t="s">
        <v>9</v>
      </c>
      <c r="D21" s="543">
        <v>1</v>
      </c>
      <c r="E21" s="543"/>
      <c r="F21" s="393"/>
      <c r="G21" s="394"/>
      <c r="H21" s="395"/>
      <c r="I21" s="391" t="s">
        <v>1527</v>
      </c>
      <c r="J21" s="392" t="s">
        <v>9</v>
      </c>
      <c r="K21" s="543">
        <v>1</v>
      </c>
      <c r="L21" s="543"/>
    </row>
    <row r="22" spans="1:12" ht="6.75" customHeight="1">
      <c r="B22" s="381"/>
      <c r="C22" s="378"/>
      <c r="D22" s="389"/>
      <c r="E22" s="389"/>
      <c r="F22" s="196"/>
      <c r="G22" s="368"/>
      <c r="J22" s="378"/>
      <c r="K22" s="389"/>
      <c r="L22" s="389"/>
    </row>
    <row r="23" spans="1:12" ht="15" thickBot="1"/>
    <row r="24" spans="1:12" ht="200.25" customHeight="1" thickBot="1">
      <c r="B24" s="540"/>
      <c r="C24" s="541"/>
      <c r="D24" s="541"/>
      <c r="E24" s="542"/>
      <c r="I24" s="540"/>
      <c r="J24" s="541"/>
      <c r="K24" s="541"/>
      <c r="L24" s="542"/>
    </row>
    <row r="26" spans="1:12">
      <c r="D26" s="386"/>
    </row>
    <row r="27" spans="1:12">
      <c r="D27" s="38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opLeftCell="A4" zoomScale="70" zoomScaleNormal="70" workbookViewId="0">
      <selection activeCell="F20" sqref="F20"/>
    </sheetView>
  </sheetViews>
  <sheetFormatPr defaultColWidth="9.08984375" defaultRowHeight="14.5"/>
  <cols>
    <col min="1" max="1" width="1.36328125" style="234" customWidth="1"/>
    <col min="2" max="2" width="25.36328125" style="234" customWidth="1"/>
    <col min="3" max="3" width="3.36328125" style="234" customWidth="1"/>
    <col min="4" max="4" width="26.36328125" style="248" customWidth="1"/>
    <col min="5" max="5" width="6.453125" style="234" customWidth="1"/>
    <col min="6" max="6" width="12" style="234" bestFit="1" customWidth="1"/>
    <col min="7" max="8" width="9.08984375" style="234" hidden="1" customWidth="1"/>
    <col min="9" max="9" width="9.08984375" style="234"/>
    <col min="10" max="10" width="3.90625" style="234" customWidth="1"/>
    <col min="11" max="11" width="2.6328125" style="234" customWidth="1"/>
    <col min="12" max="16384" width="9.08984375" style="234"/>
  </cols>
  <sheetData>
    <row r="1" spans="2:11" ht="12.75" customHeight="1">
      <c r="B1" s="587"/>
      <c r="C1" s="587"/>
      <c r="D1" s="587"/>
    </row>
    <row r="2" spans="2:11" ht="15.75" customHeight="1">
      <c r="B2" s="235" t="s">
        <v>1442</v>
      </c>
      <c r="C2" s="236"/>
      <c r="D2" s="237"/>
    </row>
    <row r="3" spans="2:11" ht="20.149999999999999" customHeight="1">
      <c r="B3" s="238" t="s">
        <v>1348</v>
      </c>
      <c r="C3" s="239" t="s">
        <v>9</v>
      </c>
      <c r="D3" s="240">
        <v>2022</v>
      </c>
    </row>
    <row r="4" spans="2:11" ht="20.149999999999999" customHeight="1">
      <c r="B4" s="238" t="s">
        <v>1030</v>
      </c>
      <c r="C4" s="239" t="s">
        <v>9</v>
      </c>
      <c r="D4" s="241">
        <v>0.12</v>
      </c>
    </row>
    <row r="5" spans="2:11" ht="20.149999999999999" customHeight="1">
      <c r="B5" s="238" t="s">
        <v>1349</v>
      </c>
      <c r="C5" s="239" t="s">
        <v>9</v>
      </c>
      <c r="D5" s="414">
        <v>1084.1250458865841</v>
      </c>
      <c r="F5" s="410" t="s">
        <v>1599</v>
      </c>
      <c r="K5" s="409"/>
    </row>
    <row r="6" spans="2:11" ht="20.149999999999999" customHeight="1">
      <c r="B6" s="238" t="s">
        <v>1350</v>
      </c>
      <c r="C6" s="239" t="s">
        <v>9</v>
      </c>
      <c r="D6" s="243">
        <v>25</v>
      </c>
      <c r="F6" s="410"/>
    </row>
    <row r="7" spans="2:11" ht="20.149999999999999" customHeight="1">
      <c r="B7" s="238" t="s">
        <v>1351</v>
      </c>
      <c r="C7" s="239" t="s">
        <v>9</v>
      </c>
      <c r="D7" s="244">
        <v>2.2499999999999999E-2</v>
      </c>
    </row>
    <row r="8" spans="2:11" ht="20.149999999999999" customHeight="1">
      <c r="B8" s="238" t="s">
        <v>1443</v>
      </c>
      <c r="C8" s="239" t="s">
        <v>9</v>
      </c>
      <c r="D8" s="245">
        <f>D20-D17</f>
        <v>345</v>
      </c>
    </row>
    <row r="9" spans="2:11" ht="20.149999999999999" customHeight="1">
      <c r="B9" s="238" t="s">
        <v>1444</v>
      </c>
      <c r="C9" s="239" t="s">
        <v>9</v>
      </c>
      <c r="D9" s="245">
        <f>(D8*D25)*1000</f>
        <v>217695000</v>
      </c>
    </row>
    <row r="10" spans="2:11" ht="20.149999999999999" customHeight="1">
      <c r="B10" s="238" t="s">
        <v>1445</v>
      </c>
      <c r="C10" s="239" t="s">
        <v>9</v>
      </c>
      <c r="D10" s="245">
        <f ca="1">RAB!K28</f>
        <v>15367680.27</v>
      </c>
    </row>
    <row r="11" spans="2:11" ht="20.149999999999999" customHeight="1">
      <c r="B11" s="238" t="s">
        <v>1355</v>
      </c>
      <c r="C11" s="239" t="s">
        <v>9</v>
      </c>
      <c r="D11" s="242">
        <f ca="1">2%*D10</f>
        <v>307353.6054</v>
      </c>
    </row>
    <row r="12" spans="2:11" ht="9" customHeight="1">
      <c r="B12" s="588"/>
      <c r="C12" s="588"/>
      <c r="D12" s="588"/>
    </row>
    <row r="13" spans="2:11" ht="15.75" customHeight="1">
      <c r="B13" s="246"/>
      <c r="C13" s="246"/>
      <c r="D13" s="246"/>
    </row>
    <row r="14" spans="2:11" ht="33.75" customHeight="1">
      <c r="B14" s="357" t="s">
        <v>1378</v>
      </c>
      <c r="C14" s="358" t="s">
        <v>9</v>
      </c>
      <c r="D14" s="363" t="str">
        <f>RAB!G6</f>
        <v>SAI APPAREL (525530130931)</v>
      </c>
      <c r="E14" s="247" t="s">
        <v>1452</v>
      </c>
    </row>
    <row r="15" spans="2:11" ht="20.149999999999999" customHeight="1">
      <c r="B15" s="359" t="s">
        <v>1446</v>
      </c>
      <c r="C15" s="360" t="s">
        <v>9</v>
      </c>
      <c r="D15" s="364" t="s">
        <v>1616</v>
      </c>
      <c r="E15" s="247" t="s">
        <v>1452</v>
      </c>
    </row>
    <row r="16" spans="2:11" ht="20.149999999999999" customHeight="1">
      <c r="B16" s="359" t="s">
        <v>1447</v>
      </c>
      <c r="C16" s="360" t="s">
        <v>9</v>
      </c>
      <c r="D16" s="364" t="s">
        <v>1450</v>
      </c>
      <c r="E16" s="247" t="s">
        <v>1452</v>
      </c>
    </row>
    <row r="17" spans="2:6" ht="20.149999999999999" customHeight="1">
      <c r="B17" s="359" t="s">
        <v>1448</v>
      </c>
      <c r="C17" s="360" t="s">
        <v>9</v>
      </c>
      <c r="D17" s="364">
        <v>1385</v>
      </c>
      <c r="E17" s="247" t="s">
        <v>1452</v>
      </c>
      <c r="F17" s="496">
        <f>D17/(20*SQRT(3))</f>
        <v>39.981506141381587</v>
      </c>
    </row>
    <row r="18" spans="2:6" ht="20.149999999999999" hidden="1" customHeight="1">
      <c r="B18" s="359" t="s">
        <v>1539</v>
      </c>
      <c r="C18" s="360"/>
      <c r="D18" s="365">
        <f>IF((D17&lt;=11),1,3)</f>
        <v>3</v>
      </c>
      <c r="E18" s="247"/>
    </row>
    <row r="19" spans="2:6" ht="20.149999999999999" hidden="1" customHeight="1">
      <c r="B19" s="359" t="s">
        <v>1540</v>
      </c>
      <c r="C19" s="360"/>
      <c r="D19" s="365">
        <f>IF((D17&lt;=11),220,380)</f>
        <v>380</v>
      </c>
      <c r="E19" s="247"/>
    </row>
    <row r="20" spans="2:6" ht="20.149999999999999" customHeight="1">
      <c r="B20" s="359" t="s">
        <v>1449</v>
      </c>
      <c r="C20" s="360" t="s">
        <v>9</v>
      </c>
      <c r="D20" s="364">
        <v>1730</v>
      </c>
      <c r="E20" s="247" t="s">
        <v>1452</v>
      </c>
      <c r="F20" s="496">
        <f>D20/(20*SQRT(3))</f>
        <v>49.940798284902634</v>
      </c>
    </row>
    <row r="21" spans="2:6" ht="20.149999999999999" hidden="1" customHeight="1">
      <c r="B21" s="359" t="s">
        <v>1539</v>
      </c>
      <c r="C21" s="360"/>
      <c r="D21" s="365">
        <f>IF((D20&lt;=11),1,3)</f>
        <v>3</v>
      </c>
      <c r="E21" s="247"/>
    </row>
    <row r="22" spans="2:6" ht="20.149999999999999" hidden="1" customHeight="1">
      <c r="B22" s="359" t="s">
        <v>1540</v>
      </c>
      <c r="C22" s="360"/>
      <c r="D22" s="365">
        <f>IF((D20&lt;=11),220,380)</f>
        <v>380</v>
      </c>
      <c r="E22" s="247"/>
    </row>
    <row r="23" spans="2:6" ht="20.149999999999999" customHeight="1">
      <c r="B23" s="359" t="s">
        <v>1352</v>
      </c>
      <c r="C23" s="360" t="s">
        <v>9</v>
      </c>
      <c r="D23" s="364">
        <v>1553.67</v>
      </c>
      <c r="E23" s="247" t="s">
        <v>1452</v>
      </c>
    </row>
    <row r="24" spans="2:6" ht="20.149999999999999" customHeight="1">
      <c r="B24" s="359" t="s">
        <v>1353</v>
      </c>
      <c r="C24" s="360" t="s">
        <v>9</v>
      </c>
      <c r="D24" s="364">
        <v>1065.78</v>
      </c>
      <c r="E24" s="247" t="s">
        <v>1452</v>
      </c>
    </row>
    <row r="25" spans="2:6" ht="20.149999999999999" customHeight="1">
      <c r="B25" s="359" t="s">
        <v>1451</v>
      </c>
      <c r="C25" s="360" t="s">
        <v>9</v>
      </c>
      <c r="D25" s="365">
        <v>631</v>
      </c>
      <c r="E25" s="247" t="s">
        <v>1452</v>
      </c>
    </row>
    <row r="26" spans="2:6" ht="20.149999999999999" customHeight="1">
      <c r="B26" s="361" t="s">
        <v>1354</v>
      </c>
      <c r="C26" s="362" t="s">
        <v>9</v>
      </c>
      <c r="D26" s="366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F20" sqref="F20"/>
      <selection pane="bottomLeft" activeCell="F20" sqref="F20"/>
    </sheetView>
  </sheetViews>
  <sheetFormatPr defaultColWidth="9.08984375" defaultRowHeight="14.5"/>
  <cols>
    <col min="1" max="1" width="5" style="249" customWidth="1"/>
    <col min="2" max="2" width="6.36328125" style="249" customWidth="1"/>
    <col min="3" max="3" width="15.08984375" style="249" customWidth="1"/>
    <col min="4" max="4" width="15" style="249" customWidth="1"/>
    <col min="5" max="5" width="15.08984375" style="249" bestFit="1" customWidth="1"/>
    <col min="6" max="6" width="12.08984375" style="249" bestFit="1" customWidth="1"/>
    <col min="7" max="7" width="10" style="249" bestFit="1" customWidth="1"/>
    <col min="8" max="8" width="15.6328125" style="249" bestFit="1" customWidth="1"/>
    <col min="9" max="9" width="14.08984375" style="249" bestFit="1" customWidth="1"/>
    <col min="10" max="10" width="13.90625" style="249" bestFit="1" customWidth="1"/>
    <col min="11" max="11" width="15.6328125" style="249" customWidth="1"/>
    <col min="12" max="12" width="11.08984375" style="249" bestFit="1" customWidth="1"/>
    <col min="13" max="13" width="13.90625" style="249" bestFit="1" customWidth="1"/>
    <col min="14" max="14" width="12.90625" style="249" bestFit="1" customWidth="1"/>
    <col min="15" max="15" width="7" style="249" customWidth="1"/>
    <col min="16" max="17" width="12.90625" style="249" bestFit="1" customWidth="1"/>
    <col min="18" max="18" width="1.36328125" style="249" hidden="1" customWidth="1"/>
    <col min="19" max="19" width="3" style="251" hidden="1" customWidth="1"/>
    <col min="20" max="16384" width="9.08984375" style="249"/>
  </cols>
  <sheetData>
    <row r="1" spans="1:21">
      <c r="G1" s="250"/>
    </row>
    <row r="2" spans="1:21">
      <c r="G2" s="250"/>
      <c r="K2" s="250"/>
    </row>
    <row r="3" spans="1:21">
      <c r="B3" s="589" t="s">
        <v>1356</v>
      </c>
      <c r="C3" s="589"/>
      <c r="D3" s="589"/>
      <c r="E3" s="589"/>
      <c r="F3" s="252" t="str">
        <f>DATA!D14</f>
        <v>SAI APPAREL (525530130931)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49999999999999" customHeight="1">
      <c r="B5" s="590" t="s">
        <v>1348</v>
      </c>
      <c r="C5" s="590" t="s">
        <v>1357</v>
      </c>
      <c r="D5" s="591" t="s">
        <v>1358</v>
      </c>
      <c r="E5" s="591" t="s">
        <v>1359</v>
      </c>
      <c r="F5" s="590" t="s">
        <v>1360</v>
      </c>
      <c r="G5" s="590"/>
      <c r="H5" s="590"/>
      <c r="I5" s="590"/>
      <c r="J5" s="590"/>
      <c r="K5" s="590" t="s">
        <v>1361</v>
      </c>
      <c r="L5" s="590"/>
      <c r="M5" s="254"/>
      <c r="N5" s="594" t="s">
        <v>1362</v>
      </c>
      <c r="O5" s="591" t="s">
        <v>1363</v>
      </c>
      <c r="P5" s="591" t="s">
        <v>1364</v>
      </c>
      <c r="Q5" s="591" t="s">
        <v>1365</v>
      </c>
      <c r="R5" s="255"/>
      <c r="S5" s="256"/>
      <c r="T5" s="592" t="s">
        <v>1366</v>
      </c>
      <c r="U5" s="257"/>
    </row>
    <row r="6" spans="1:21" ht="20.149999999999999" customHeight="1">
      <c r="B6" s="590"/>
      <c r="C6" s="590"/>
      <c r="D6" s="590"/>
      <c r="E6" s="59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95"/>
      <c r="O6" s="590"/>
      <c r="P6" s="590"/>
      <c r="Q6" s="590"/>
      <c r="R6" s="255"/>
      <c r="S6" s="256"/>
      <c r="T6" s="590"/>
      <c r="U6" s="259"/>
    </row>
    <row r="7" spans="1:21" ht="20.149999999999999" customHeight="1">
      <c r="A7" s="260">
        <v>0</v>
      </c>
      <c r="B7" s="261">
        <v>2023</v>
      </c>
      <c r="C7" s="407">
        <f>DATA!D8*DATA!D26*6</f>
        <v>82800</v>
      </c>
      <c r="D7" s="263">
        <f>C7*4/24</f>
        <v>13800</v>
      </c>
      <c r="E7" s="263">
        <f>C7-D7</f>
        <v>69000</v>
      </c>
      <c r="F7" s="264">
        <f ca="1">DATA!D10/1000000</f>
        <v>15.367680269999999</v>
      </c>
      <c r="G7" s="265">
        <f ca="1">DATA!$D$11/1000000</f>
        <v>0.30735360540000001</v>
      </c>
      <c r="H7" s="265">
        <f>C7*DATA!$D$5/1000000</f>
        <v>89.765553799409162</v>
      </c>
      <c r="I7" s="265">
        <f>(C7*DATA!$D$5*DATA!$D$7)/1000000</f>
        <v>2.0197249604867062</v>
      </c>
      <c r="J7" s="263">
        <f ca="1">SUM(F7:I7)</f>
        <v>107.46031263529588</v>
      </c>
      <c r="K7" s="266">
        <f>DATA!D9/1000000</f>
        <v>217.69499999999999</v>
      </c>
      <c r="L7" s="263">
        <f>((D7*DATA!$D$23)/1000000)+((E7*DATA!$D$24)/1000000)</f>
        <v>94.979466000000002</v>
      </c>
      <c r="M7" s="263">
        <f>K7+L7</f>
        <v>312.674466</v>
      </c>
      <c r="N7" s="263">
        <f ca="1">M7-J7</f>
        <v>205.21415336470412</v>
      </c>
      <c r="O7" s="261">
        <v>1</v>
      </c>
      <c r="P7" s="263">
        <f ca="1">O7*N7</f>
        <v>205.21415336470412</v>
      </c>
      <c r="Q7" s="263">
        <f ca="1">P7</f>
        <v>205.21415336470412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49999999999999" customHeight="1">
      <c r="A8" s="260">
        <f>A7+1</f>
        <v>1</v>
      </c>
      <c r="B8" s="261">
        <f>B7+1</f>
        <v>2024</v>
      </c>
      <c r="C8" s="262">
        <f>DATA!D8*DATA!D26*12</f>
        <v>165600</v>
      </c>
      <c r="D8" s="263">
        <f>C8*4/24</f>
        <v>27600</v>
      </c>
      <c r="E8" s="263">
        <f t="shared" ref="E8:E32" si="0">C8-D8</f>
        <v>138000</v>
      </c>
      <c r="F8" s="261"/>
      <c r="G8" s="265">
        <f ca="1">DATA!$D$11/1000000</f>
        <v>0.30735360540000001</v>
      </c>
      <c r="H8" s="265">
        <f>C8*DATA!$D$5/1000000</f>
        <v>179.53110759881832</v>
      </c>
      <c r="I8" s="265">
        <f>(C8*DATA!$D$5*DATA!$D$7)/1000000</f>
        <v>4.0394499209734125</v>
      </c>
      <c r="J8" s="263">
        <f t="shared" ref="J8:J32" ca="1" si="1">SUM(F8:I8)</f>
        <v>183.87791112519176</v>
      </c>
      <c r="K8" s="268"/>
      <c r="L8" s="263">
        <f>((D8*DATA!$D$23)/1000000)+((E8*DATA!$D$24)/1000000)</f>
        <v>189.958932</v>
      </c>
      <c r="M8" s="263">
        <f t="shared" ref="M8:M32" si="2">K8+L8</f>
        <v>189.958932</v>
      </c>
      <c r="N8" s="263">
        <f ca="1">M8-J8</f>
        <v>6.0810208748082459</v>
      </c>
      <c r="O8" s="262">
        <f>1/(1+'[91]Asumsi I'!$C$3)^(KKF!A8)</f>
        <v>0.89285714285714279</v>
      </c>
      <c r="P8" s="263">
        <f ca="1">O8*N8</f>
        <v>5.4294829239359332</v>
      </c>
      <c r="Q8" s="263">
        <f ca="1">Q7+P8</f>
        <v>210.64363628864004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49999999999999" customHeight="1">
      <c r="A9" s="260">
        <f t="shared" ref="A9:B24" si="4">A8+1</f>
        <v>2</v>
      </c>
      <c r="B9" s="261">
        <f t="shared" si="4"/>
        <v>2025</v>
      </c>
      <c r="C9" s="269">
        <f>+C8</f>
        <v>165600</v>
      </c>
      <c r="D9" s="263">
        <f t="shared" ref="D9:D32" si="5">C9*4/24</f>
        <v>27600</v>
      </c>
      <c r="E9" s="263">
        <f t="shared" si="0"/>
        <v>138000</v>
      </c>
      <c r="F9" s="261"/>
      <c r="G9" s="265">
        <f ca="1">DATA!$D$11/1000000</f>
        <v>0.30735360540000001</v>
      </c>
      <c r="H9" s="265">
        <f>C9*DATA!$D$5/1000000</f>
        <v>179.53110759881832</v>
      </c>
      <c r="I9" s="265">
        <f>(C9*DATA!$D$5*DATA!$D$7)/1000000</f>
        <v>4.0394499209734125</v>
      </c>
      <c r="J9" s="263">
        <f t="shared" ca="1" si="1"/>
        <v>183.87791112519176</v>
      </c>
      <c r="K9" s="263"/>
      <c r="L9" s="263">
        <f>((D9*DATA!$D$23)/1000000)+((E9*DATA!$D$24)/1000000)</f>
        <v>189.958932</v>
      </c>
      <c r="M9" s="263">
        <f t="shared" si="2"/>
        <v>189.958932</v>
      </c>
      <c r="N9" s="263">
        <f t="shared" ref="N9:N32" ca="1" si="6">M9-J9</f>
        <v>6.0810208748082459</v>
      </c>
      <c r="O9" s="269">
        <f>1/(1+'[91]Asumsi I'!$C$3)^(KKF!A9)</f>
        <v>0.79719387755102034</v>
      </c>
      <c r="P9" s="263">
        <f t="shared" ref="P9:P32" ca="1" si="7">O9*N9</f>
        <v>4.847752610657083</v>
      </c>
      <c r="Q9" s="263">
        <f ca="1">Q8+P9</f>
        <v>215.49138889929714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49999999999999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165600</v>
      </c>
      <c r="D10" s="263">
        <f t="shared" si="5"/>
        <v>27600</v>
      </c>
      <c r="E10" s="263">
        <f t="shared" si="0"/>
        <v>138000</v>
      </c>
      <c r="F10" s="261"/>
      <c r="G10" s="265">
        <f ca="1">DATA!$D$11/1000000</f>
        <v>0.30735360540000001</v>
      </c>
      <c r="H10" s="265">
        <f>C10*DATA!$D$5/1000000</f>
        <v>179.53110759881832</v>
      </c>
      <c r="I10" s="265">
        <f>(C10*DATA!$D$5*DATA!$D$7)/1000000</f>
        <v>4.0394499209734125</v>
      </c>
      <c r="J10" s="263">
        <f t="shared" ca="1" si="1"/>
        <v>183.87791112519176</v>
      </c>
      <c r="K10" s="261"/>
      <c r="L10" s="263">
        <f>((D10*DATA!$D$23)/1000000)+((E10*DATA!$D$24)/1000000)</f>
        <v>189.958932</v>
      </c>
      <c r="M10" s="263">
        <f t="shared" si="2"/>
        <v>189.958932</v>
      </c>
      <c r="N10" s="263">
        <f t="shared" ca="1" si="6"/>
        <v>6.0810208748082459</v>
      </c>
      <c r="O10" s="262">
        <f>1/(1+'[91]Asumsi I'!$C$3)^(KKF!A10)</f>
        <v>0.71178024781341087</v>
      </c>
      <c r="P10" s="263">
        <f t="shared" ca="1" si="7"/>
        <v>4.3283505452295374</v>
      </c>
      <c r="Q10" s="263">
        <f t="shared" ref="Q10:Q30" ca="1" si="9">Q9+P10</f>
        <v>219.81973944452668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49999999999999" customHeight="1">
      <c r="A11" s="260">
        <f t="shared" si="4"/>
        <v>4</v>
      </c>
      <c r="B11" s="261">
        <f t="shared" si="4"/>
        <v>2027</v>
      </c>
      <c r="C11" s="262">
        <f>+C10</f>
        <v>165600</v>
      </c>
      <c r="D11" s="263">
        <f t="shared" si="5"/>
        <v>27600</v>
      </c>
      <c r="E11" s="263">
        <f t="shared" si="0"/>
        <v>138000</v>
      </c>
      <c r="F11" s="261"/>
      <c r="G11" s="265">
        <f ca="1">DATA!$D$11/1000000</f>
        <v>0.30735360540000001</v>
      </c>
      <c r="H11" s="265">
        <f>C11*DATA!$D$5/1000000</f>
        <v>179.53110759881832</v>
      </c>
      <c r="I11" s="265">
        <f>(C11*DATA!$D$5*DATA!$D$7)/1000000</f>
        <v>4.0394499209734125</v>
      </c>
      <c r="J11" s="263">
        <f t="shared" ca="1" si="1"/>
        <v>183.87791112519176</v>
      </c>
      <c r="K11" s="261"/>
      <c r="L11" s="263">
        <f>((D11*DATA!$D$23)/1000000)+((E11*DATA!$D$24)/1000000)</f>
        <v>189.958932</v>
      </c>
      <c r="M11" s="263">
        <f t="shared" si="2"/>
        <v>189.958932</v>
      </c>
      <c r="N11" s="263">
        <f t="shared" ca="1" si="6"/>
        <v>6.0810208748082459</v>
      </c>
      <c r="O11" s="262">
        <f>1/(1+'[91]Asumsi I'!$C$3)^(KKF!A11)</f>
        <v>0.63551807840483121</v>
      </c>
      <c r="P11" s="263">
        <f t="shared" ca="1" si="7"/>
        <v>3.864598701097802</v>
      </c>
      <c r="Q11" s="263">
        <f t="shared" ca="1" si="9"/>
        <v>223.68433814562448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49999999999999" customHeight="1">
      <c r="A12" s="260">
        <f t="shared" si="4"/>
        <v>5</v>
      </c>
      <c r="B12" s="261">
        <f t="shared" si="4"/>
        <v>2028</v>
      </c>
      <c r="C12" s="262">
        <f t="shared" si="8"/>
        <v>165600</v>
      </c>
      <c r="D12" s="263">
        <f t="shared" si="5"/>
        <v>27600</v>
      </c>
      <c r="E12" s="263">
        <f t="shared" si="0"/>
        <v>138000</v>
      </c>
      <c r="F12" s="261"/>
      <c r="G12" s="265">
        <f ca="1">DATA!$D$11/1000000</f>
        <v>0.30735360540000001</v>
      </c>
      <c r="H12" s="265">
        <f>C12*DATA!$D$5/1000000</f>
        <v>179.53110759881832</v>
      </c>
      <c r="I12" s="265">
        <f>(C12*DATA!$D$5*DATA!$D$7)/1000000</f>
        <v>4.0394499209734125</v>
      </c>
      <c r="J12" s="263">
        <f t="shared" ca="1" si="1"/>
        <v>183.87791112519176</v>
      </c>
      <c r="K12" s="261"/>
      <c r="L12" s="263">
        <f>((D12*DATA!$D$23)/1000000)+((E12*DATA!$D$24)/1000000)</f>
        <v>189.958932</v>
      </c>
      <c r="M12" s="263">
        <f t="shared" si="2"/>
        <v>189.958932</v>
      </c>
      <c r="N12" s="263">
        <f t="shared" ca="1" si="6"/>
        <v>6.0810208748082459</v>
      </c>
      <c r="O12" s="262">
        <f>1/(1+'[91]Asumsi I'!$C$3)^(KKF!A12)</f>
        <v>0.56742685571859919</v>
      </c>
      <c r="P12" s="263">
        <f t="shared" ca="1" si="7"/>
        <v>3.4505345545516084</v>
      </c>
      <c r="Q12" s="263">
        <f t="shared" ca="1" si="9"/>
        <v>227.13487270017609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49999999999999" customHeight="1">
      <c r="A13" s="260">
        <f t="shared" si="4"/>
        <v>6</v>
      </c>
      <c r="B13" s="261">
        <f t="shared" si="4"/>
        <v>2029</v>
      </c>
      <c r="C13" s="262">
        <f t="shared" si="8"/>
        <v>165600</v>
      </c>
      <c r="D13" s="263">
        <f t="shared" si="5"/>
        <v>27600</v>
      </c>
      <c r="E13" s="263">
        <f t="shared" si="0"/>
        <v>138000</v>
      </c>
      <c r="F13" s="261"/>
      <c r="G13" s="265">
        <f ca="1">DATA!$D$11/1000000</f>
        <v>0.30735360540000001</v>
      </c>
      <c r="H13" s="265">
        <f>C13*DATA!$D$5/1000000</f>
        <v>179.53110759881832</v>
      </c>
      <c r="I13" s="265">
        <f>(C13*DATA!$D$5*DATA!$D$7)/1000000</f>
        <v>4.0394499209734125</v>
      </c>
      <c r="J13" s="263">
        <f t="shared" ca="1" si="1"/>
        <v>183.87791112519176</v>
      </c>
      <c r="K13" s="261"/>
      <c r="L13" s="263">
        <f>((D13*DATA!$D$23)/1000000)+((E13*DATA!$D$24)/1000000)</f>
        <v>189.958932</v>
      </c>
      <c r="M13" s="263">
        <f t="shared" si="2"/>
        <v>189.958932</v>
      </c>
      <c r="N13" s="263">
        <f t="shared" ca="1" si="6"/>
        <v>6.0810208748082459</v>
      </c>
      <c r="O13" s="262">
        <f>1/(1+'[91]Asumsi I'!$C$3)^(KKF!A13)</f>
        <v>0.50663112117732068</v>
      </c>
      <c r="P13" s="263">
        <f t="shared" ca="1" si="7"/>
        <v>3.0808344237067931</v>
      </c>
      <c r="Q13" s="263">
        <f t="shared" ca="1" si="9"/>
        <v>230.21570712388288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49999999999999" customHeight="1">
      <c r="A14" s="260">
        <f t="shared" si="4"/>
        <v>7</v>
      </c>
      <c r="B14" s="261">
        <f t="shared" si="4"/>
        <v>2030</v>
      </c>
      <c r="C14" s="262">
        <f t="shared" si="8"/>
        <v>165600</v>
      </c>
      <c r="D14" s="263">
        <f t="shared" si="5"/>
        <v>27600</v>
      </c>
      <c r="E14" s="263">
        <f t="shared" si="0"/>
        <v>138000</v>
      </c>
      <c r="F14" s="261"/>
      <c r="G14" s="265">
        <f ca="1">DATA!$D$11/1000000</f>
        <v>0.30735360540000001</v>
      </c>
      <c r="H14" s="265">
        <f>C14*DATA!$D$5/1000000</f>
        <v>179.53110759881832</v>
      </c>
      <c r="I14" s="265">
        <f>(C14*DATA!$D$5*DATA!$D$7)/1000000</f>
        <v>4.0394499209734125</v>
      </c>
      <c r="J14" s="263">
        <f t="shared" ca="1" si="1"/>
        <v>183.87791112519176</v>
      </c>
      <c r="K14" s="261"/>
      <c r="L14" s="263">
        <f>((D14*DATA!$D$23)/1000000)+((E14*DATA!$D$24)/1000000)</f>
        <v>189.958932</v>
      </c>
      <c r="M14" s="263">
        <f t="shared" si="2"/>
        <v>189.958932</v>
      </c>
      <c r="N14" s="263">
        <f t="shared" ca="1" si="6"/>
        <v>6.0810208748082459</v>
      </c>
      <c r="O14" s="262">
        <f>1/(1+'[91]Asumsi I'!$C$3)^(KKF!A14)</f>
        <v>0.45234921533689343</v>
      </c>
      <c r="P14" s="263">
        <f t="shared" ca="1" si="7"/>
        <v>2.7507450211667792</v>
      </c>
      <c r="Q14" s="263">
        <f t="shared" ca="1" si="9"/>
        <v>232.96645214504966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49999999999999" customHeight="1">
      <c r="A15" s="260">
        <f t="shared" si="4"/>
        <v>8</v>
      </c>
      <c r="B15" s="261">
        <f t="shared" si="4"/>
        <v>2031</v>
      </c>
      <c r="C15" s="262">
        <f t="shared" si="8"/>
        <v>165600</v>
      </c>
      <c r="D15" s="263">
        <f t="shared" si="5"/>
        <v>27600</v>
      </c>
      <c r="E15" s="263">
        <f t="shared" si="0"/>
        <v>138000</v>
      </c>
      <c r="F15" s="261"/>
      <c r="G15" s="265">
        <f ca="1">DATA!$D$11/1000000</f>
        <v>0.30735360540000001</v>
      </c>
      <c r="H15" s="265">
        <f>C15*DATA!$D$5/1000000</f>
        <v>179.53110759881832</v>
      </c>
      <c r="I15" s="265">
        <f>(C15*DATA!$D$5*DATA!$D$7)/1000000</f>
        <v>4.0394499209734125</v>
      </c>
      <c r="J15" s="263">
        <f t="shared" ca="1" si="1"/>
        <v>183.87791112519176</v>
      </c>
      <c r="K15" s="261"/>
      <c r="L15" s="263">
        <f>((D15*DATA!$D$23)/1000000)+((E15*DATA!$D$24)/1000000)</f>
        <v>189.958932</v>
      </c>
      <c r="M15" s="263">
        <f t="shared" si="2"/>
        <v>189.958932</v>
      </c>
      <c r="N15" s="263">
        <f t="shared" ca="1" si="6"/>
        <v>6.0810208748082459</v>
      </c>
      <c r="O15" s="262">
        <f>1/(1+'[91]Asumsi I'!$C$3)^(KKF!A15)</f>
        <v>0.4038832279793691</v>
      </c>
      <c r="P15" s="263">
        <f t="shared" ca="1" si="7"/>
        <v>2.4560223403274812</v>
      </c>
      <c r="Q15" s="263">
        <f t="shared" ca="1" si="9"/>
        <v>235.42247448537714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49999999999999" customHeight="1">
      <c r="A16" s="260">
        <f t="shared" si="4"/>
        <v>9</v>
      </c>
      <c r="B16" s="261">
        <f t="shared" si="4"/>
        <v>2032</v>
      </c>
      <c r="C16" s="262">
        <f t="shared" si="8"/>
        <v>165600</v>
      </c>
      <c r="D16" s="263">
        <f t="shared" si="5"/>
        <v>27600</v>
      </c>
      <c r="E16" s="263">
        <f t="shared" si="0"/>
        <v>138000</v>
      </c>
      <c r="F16" s="261"/>
      <c r="G16" s="265">
        <f ca="1">DATA!$D$11/1000000</f>
        <v>0.30735360540000001</v>
      </c>
      <c r="H16" s="265">
        <f>C16*DATA!$D$5/1000000</f>
        <v>179.53110759881832</v>
      </c>
      <c r="I16" s="265">
        <f>(C16*DATA!$D$5*DATA!$D$7)/1000000</f>
        <v>4.0394499209734125</v>
      </c>
      <c r="J16" s="263">
        <f t="shared" ca="1" si="1"/>
        <v>183.87791112519176</v>
      </c>
      <c r="K16" s="261"/>
      <c r="L16" s="263">
        <f>((D16*DATA!$D$23)/1000000)+((E16*DATA!$D$24)/1000000)</f>
        <v>189.958932</v>
      </c>
      <c r="M16" s="263">
        <f t="shared" si="2"/>
        <v>189.958932</v>
      </c>
      <c r="N16" s="263">
        <f t="shared" ca="1" si="6"/>
        <v>6.0810208748082459</v>
      </c>
      <c r="O16" s="262">
        <f>1/(1+'[91]Asumsi I'!$C$3)^(KKF!A16)</f>
        <v>0.36061002498157957</v>
      </c>
      <c r="P16" s="263">
        <f t="shared" ca="1" si="7"/>
        <v>2.1928770895781082</v>
      </c>
      <c r="Q16" s="263">
        <f t="shared" ca="1" si="9"/>
        <v>237.61535157495524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49999999999999" customHeight="1">
      <c r="A17" s="260">
        <f t="shared" si="4"/>
        <v>10</v>
      </c>
      <c r="B17" s="261">
        <f t="shared" si="4"/>
        <v>2033</v>
      </c>
      <c r="C17" s="262">
        <f t="shared" si="8"/>
        <v>165600</v>
      </c>
      <c r="D17" s="263">
        <f t="shared" si="5"/>
        <v>27600</v>
      </c>
      <c r="E17" s="263">
        <f t="shared" si="0"/>
        <v>138000</v>
      </c>
      <c r="F17" s="261"/>
      <c r="G17" s="265">
        <f ca="1">DATA!$D$11/1000000</f>
        <v>0.30735360540000001</v>
      </c>
      <c r="H17" s="265">
        <f>C17*DATA!$D$5/1000000</f>
        <v>179.53110759881832</v>
      </c>
      <c r="I17" s="265">
        <f>(C17*DATA!$D$5*DATA!$D$7)/1000000</f>
        <v>4.0394499209734125</v>
      </c>
      <c r="J17" s="263">
        <f t="shared" ca="1" si="1"/>
        <v>183.87791112519176</v>
      </c>
      <c r="K17" s="261"/>
      <c r="L17" s="263">
        <f>((D17*DATA!$D$23)/1000000)+((E17*DATA!$D$24)/1000000)</f>
        <v>189.958932</v>
      </c>
      <c r="M17" s="263">
        <f t="shared" si="2"/>
        <v>189.958932</v>
      </c>
      <c r="N17" s="263">
        <f t="shared" ca="1" si="6"/>
        <v>6.0810208748082459</v>
      </c>
      <c r="O17" s="262">
        <f>1/(1+'[91]Asumsi I'!$C$3)^(KKF!A17)</f>
        <v>0.32197323659069599</v>
      </c>
      <c r="P17" s="263">
        <f t="shared" ca="1" si="7"/>
        <v>1.9579259728375964</v>
      </c>
      <c r="Q17" s="263">
        <f t="shared" ca="1" si="9"/>
        <v>239.57327754779283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49999999999999" customHeight="1">
      <c r="A18" s="260">
        <f t="shared" si="4"/>
        <v>11</v>
      </c>
      <c r="B18" s="261">
        <f t="shared" si="4"/>
        <v>2034</v>
      </c>
      <c r="C18" s="262">
        <f t="shared" si="8"/>
        <v>165600</v>
      </c>
      <c r="D18" s="263">
        <f t="shared" si="5"/>
        <v>27600</v>
      </c>
      <c r="E18" s="263">
        <f t="shared" si="0"/>
        <v>138000</v>
      </c>
      <c r="F18" s="261"/>
      <c r="G18" s="265">
        <f ca="1">DATA!$D$11/1000000</f>
        <v>0.30735360540000001</v>
      </c>
      <c r="H18" s="265">
        <f>C18*DATA!$D$5/1000000</f>
        <v>179.53110759881832</v>
      </c>
      <c r="I18" s="265">
        <f>(C18*DATA!$D$5*DATA!$D$7)/1000000</f>
        <v>4.0394499209734125</v>
      </c>
      <c r="J18" s="263">
        <f t="shared" ca="1" si="1"/>
        <v>183.87791112519176</v>
      </c>
      <c r="K18" s="261"/>
      <c r="L18" s="263">
        <f>((D18*DATA!$D$23)/1000000)+((E18*DATA!$D$24)/1000000)</f>
        <v>189.958932</v>
      </c>
      <c r="M18" s="263">
        <f t="shared" si="2"/>
        <v>189.958932</v>
      </c>
      <c r="N18" s="263">
        <f t="shared" ca="1" si="6"/>
        <v>6.0810208748082459</v>
      </c>
      <c r="O18" s="262">
        <f>1/(1+'[91]Asumsi I'!$C$3)^(KKF!A18)</f>
        <v>0.28747610409883567</v>
      </c>
      <c r="P18" s="263">
        <f t="shared" ca="1" si="7"/>
        <v>1.748148190033568</v>
      </c>
      <c r="Q18" s="263">
        <f t="shared" ca="1" si="9"/>
        <v>241.32142573782639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49999999999999" customHeight="1">
      <c r="A19" s="260">
        <f t="shared" si="4"/>
        <v>12</v>
      </c>
      <c r="B19" s="261">
        <f t="shared" si="4"/>
        <v>2035</v>
      </c>
      <c r="C19" s="262">
        <f t="shared" si="8"/>
        <v>165600</v>
      </c>
      <c r="D19" s="263">
        <f t="shared" si="5"/>
        <v>27600</v>
      </c>
      <c r="E19" s="263">
        <f t="shared" si="0"/>
        <v>138000</v>
      </c>
      <c r="F19" s="261"/>
      <c r="G19" s="265">
        <f ca="1">DATA!$D$11/1000000</f>
        <v>0.30735360540000001</v>
      </c>
      <c r="H19" s="265">
        <f>C19*DATA!$D$5/1000000</f>
        <v>179.53110759881832</v>
      </c>
      <c r="I19" s="265">
        <f>(C19*DATA!$D$5*DATA!$D$7)/1000000</f>
        <v>4.0394499209734125</v>
      </c>
      <c r="J19" s="263">
        <f t="shared" ca="1" si="1"/>
        <v>183.87791112519176</v>
      </c>
      <c r="K19" s="261"/>
      <c r="L19" s="263">
        <f>((D19*DATA!$D$23)/1000000)+((E19*DATA!$D$24)/1000000)</f>
        <v>189.958932</v>
      </c>
      <c r="M19" s="263">
        <f t="shared" si="2"/>
        <v>189.958932</v>
      </c>
      <c r="N19" s="263">
        <f t="shared" ca="1" si="6"/>
        <v>6.0810208748082459</v>
      </c>
      <c r="O19" s="262">
        <f>1/(1+'[91]Asumsi I'!$C$3)^(KKF!A19)</f>
        <v>0.25667509294538904</v>
      </c>
      <c r="P19" s="263">
        <f t="shared" ca="1" si="7"/>
        <v>1.5608465982442574</v>
      </c>
      <c r="Q19" s="263">
        <f t="shared" ca="1" si="9"/>
        <v>242.88227233607066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49999999999999" customHeight="1">
      <c r="A20" s="260">
        <f t="shared" si="4"/>
        <v>13</v>
      </c>
      <c r="B20" s="261">
        <f t="shared" si="4"/>
        <v>2036</v>
      </c>
      <c r="C20" s="262">
        <f t="shared" si="8"/>
        <v>165600</v>
      </c>
      <c r="D20" s="263">
        <f t="shared" si="5"/>
        <v>27600</v>
      </c>
      <c r="E20" s="263">
        <f t="shared" si="0"/>
        <v>138000</v>
      </c>
      <c r="F20" s="261"/>
      <c r="G20" s="265">
        <f ca="1">DATA!$D$11/1000000</f>
        <v>0.30735360540000001</v>
      </c>
      <c r="H20" s="265">
        <f>C20*DATA!$D$5/1000000</f>
        <v>179.53110759881832</v>
      </c>
      <c r="I20" s="265">
        <f>(C20*DATA!$D$5*DATA!$D$7)/1000000</f>
        <v>4.0394499209734125</v>
      </c>
      <c r="J20" s="263">
        <f t="shared" ca="1" si="1"/>
        <v>183.87791112519176</v>
      </c>
      <c r="K20" s="261"/>
      <c r="L20" s="263">
        <f>((D20*DATA!$D$23)/1000000)+((E20*DATA!$D$24)/1000000)</f>
        <v>189.958932</v>
      </c>
      <c r="M20" s="263">
        <f t="shared" si="2"/>
        <v>189.958932</v>
      </c>
      <c r="N20" s="263">
        <f t="shared" ca="1" si="6"/>
        <v>6.0810208748082459</v>
      </c>
      <c r="O20" s="262">
        <f>1/(1+'[91]Asumsi I'!$C$3)^(KKF!A20)</f>
        <v>0.22917419012981158</v>
      </c>
      <c r="P20" s="263">
        <f t="shared" ca="1" si="7"/>
        <v>1.3936130341466582</v>
      </c>
      <c r="Q20" s="263">
        <f t="shared" ca="1" si="9"/>
        <v>244.27588537021731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49999999999999" customHeight="1">
      <c r="A21" s="260">
        <f t="shared" si="4"/>
        <v>14</v>
      </c>
      <c r="B21" s="261">
        <f t="shared" si="4"/>
        <v>2037</v>
      </c>
      <c r="C21" s="262">
        <f t="shared" si="8"/>
        <v>165600</v>
      </c>
      <c r="D21" s="263">
        <f t="shared" si="5"/>
        <v>27600</v>
      </c>
      <c r="E21" s="263">
        <f t="shared" si="0"/>
        <v>138000</v>
      </c>
      <c r="F21" s="261"/>
      <c r="G21" s="265">
        <f ca="1">DATA!$D$11/1000000</f>
        <v>0.30735360540000001</v>
      </c>
      <c r="H21" s="265">
        <f>C21*DATA!$D$5/1000000</f>
        <v>179.53110759881832</v>
      </c>
      <c r="I21" s="265">
        <f>(C21*DATA!$D$5*DATA!$D$7)/1000000</f>
        <v>4.0394499209734125</v>
      </c>
      <c r="J21" s="263">
        <f t="shared" ca="1" si="1"/>
        <v>183.87791112519176</v>
      </c>
      <c r="K21" s="261"/>
      <c r="L21" s="263">
        <f>((D21*DATA!$D$23)/1000000)+((E21*DATA!$D$24)/1000000)</f>
        <v>189.958932</v>
      </c>
      <c r="M21" s="263">
        <f t="shared" si="2"/>
        <v>189.958932</v>
      </c>
      <c r="N21" s="263">
        <f t="shared" ca="1" si="6"/>
        <v>6.0810208748082459</v>
      </c>
      <c r="O21" s="262">
        <f>1/(1+'[91]Asumsi I'!$C$3)^(KKF!A21)</f>
        <v>0.20461981261590317</v>
      </c>
      <c r="P21" s="263">
        <f t="shared" ca="1" si="7"/>
        <v>1.2442973519166589</v>
      </c>
      <c r="Q21" s="263">
        <f t="shared" ca="1" si="9"/>
        <v>245.52018272213397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49999999999999" customHeight="1">
      <c r="A22" s="260">
        <f t="shared" si="4"/>
        <v>15</v>
      </c>
      <c r="B22" s="261">
        <f t="shared" si="4"/>
        <v>2038</v>
      </c>
      <c r="C22" s="262">
        <f t="shared" si="8"/>
        <v>165600</v>
      </c>
      <c r="D22" s="263">
        <f t="shared" si="5"/>
        <v>27600</v>
      </c>
      <c r="E22" s="263">
        <f t="shared" si="0"/>
        <v>138000</v>
      </c>
      <c r="F22" s="261"/>
      <c r="G22" s="265">
        <f ca="1">DATA!$D$11/1000000</f>
        <v>0.30735360540000001</v>
      </c>
      <c r="H22" s="265">
        <f>C22*DATA!$D$5/1000000</f>
        <v>179.53110759881832</v>
      </c>
      <c r="I22" s="265">
        <f>(C22*DATA!$D$5*DATA!$D$7)/1000000</f>
        <v>4.0394499209734125</v>
      </c>
      <c r="J22" s="263">
        <f t="shared" ca="1" si="1"/>
        <v>183.87791112519176</v>
      </c>
      <c r="K22" s="261"/>
      <c r="L22" s="263">
        <f>((D22*DATA!$D$23)/1000000)+((E22*DATA!$D$24)/1000000)</f>
        <v>189.958932</v>
      </c>
      <c r="M22" s="263">
        <f t="shared" si="2"/>
        <v>189.958932</v>
      </c>
      <c r="N22" s="263">
        <f t="shared" ca="1" si="6"/>
        <v>6.0810208748082459</v>
      </c>
      <c r="O22" s="262">
        <f>1/(1+'[91]Asumsi I'!$C$3)^(KKF!A22)</f>
        <v>0.18269626126419927</v>
      </c>
      <c r="P22" s="263">
        <f t="shared" ca="1" si="7"/>
        <v>1.110979778497017</v>
      </c>
      <c r="Q22" s="263">
        <f t="shared" ca="1" si="9"/>
        <v>246.63116250063098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49999999999999" customHeight="1">
      <c r="A23" s="260">
        <f t="shared" si="4"/>
        <v>16</v>
      </c>
      <c r="B23" s="261">
        <f t="shared" si="4"/>
        <v>2039</v>
      </c>
      <c r="C23" s="262">
        <f t="shared" si="8"/>
        <v>165600</v>
      </c>
      <c r="D23" s="263">
        <f t="shared" si="5"/>
        <v>27600</v>
      </c>
      <c r="E23" s="263">
        <f t="shared" si="0"/>
        <v>138000</v>
      </c>
      <c r="F23" s="261"/>
      <c r="G23" s="265">
        <f ca="1">DATA!$D$11/1000000</f>
        <v>0.30735360540000001</v>
      </c>
      <c r="H23" s="265">
        <f>C23*DATA!$D$5/1000000</f>
        <v>179.53110759881832</v>
      </c>
      <c r="I23" s="265">
        <f>(C23*DATA!$D$5*DATA!$D$7)/1000000</f>
        <v>4.0394499209734125</v>
      </c>
      <c r="J23" s="263">
        <f t="shared" ca="1" si="1"/>
        <v>183.87791112519176</v>
      </c>
      <c r="K23" s="261"/>
      <c r="L23" s="263">
        <f>((D23*DATA!$D$23)/1000000)+((E23*DATA!$D$24)/1000000)</f>
        <v>189.958932</v>
      </c>
      <c r="M23" s="263">
        <f t="shared" si="2"/>
        <v>189.958932</v>
      </c>
      <c r="N23" s="263">
        <f t="shared" ca="1" si="6"/>
        <v>6.0810208748082459</v>
      </c>
      <c r="O23" s="262">
        <f>1/(1+'[91]Asumsi I'!$C$3)^(KKF!A23)</f>
        <v>0.16312166184303503</v>
      </c>
      <c r="P23" s="263">
        <f t="shared" ca="1" si="7"/>
        <v>0.99194623080090771</v>
      </c>
      <c r="Q23" s="263">
        <f t="shared" ca="1" si="9"/>
        <v>247.6231087314319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49999999999999" customHeight="1">
      <c r="A24" s="260">
        <f t="shared" si="4"/>
        <v>17</v>
      </c>
      <c r="B24" s="261">
        <f t="shared" si="4"/>
        <v>2040</v>
      </c>
      <c r="C24" s="262">
        <f t="shared" si="8"/>
        <v>165600</v>
      </c>
      <c r="D24" s="263">
        <f t="shared" si="5"/>
        <v>27600</v>
      </c>
      <c r="E24" s="263">
        <f t="shared" si="0"/>
        <v>138000</v>
      </c>
      <c r="F24" s="261"/>
      <c r="G24" s="265">
        <f ca="1">DATA!$D$11/1000000</f>
        <v>0.30735360540000001</v>
      </c>
      <c r="H24" s="265">
        <f>C24*DATA!$D$5/1000000</f>
        <v>179.53110759881832</v>
      </c>
      <c r="I24" s="265">
        <f>(C24*DATA!$D$5*DATA!$D$7)/1000000</f>
        <v>4.0394499209734125</v>
      </c>
      <c r="J24" s="263">
        <f t="shared" ca="1" si="1"/>
        <v>183.87791112519176</v>
      </c>
      <c r="K24" s="261"/>
      <c r="L24" s="263">
        <f>((D24*DATA!$D$23)/1000000)+((E24*DATA!$D$24)/1000000)</f>
        <v>189.958932</v>
      </c>
      <c r="M24" s="263">
        <f t="shared" si="2"/>
        <v>189.958932</v>
      </c>
      <c r="N24" s="263">
        <f t="shared" ca="1" si="6"/>
        <v>6.0810208748082459</v>
      </c>
      <c r="O24" s="262">
        <f>1/(1+'[91]Asumsi I'!$C$3)^(KKF!A24)</f>
        <v>0.14564434093128129</v>
      </c>
      <c r="P24" s="263">
        <f t="shared" ca="1" si="7"/>
        <v>0.88566627750081051</v>
      </c>
      <c r="Q24" s="263">
        <f t="shared" ca="1" si="9"/>
        <v>248.5087750089327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49999999999999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165600</v>
      </c>
      <c r="D25" s="263">
        <f t="shared" si="5"/>
        <v>27600</v>
      </c>
      <c r="E25" s="263">
        <f t="shared" si="0"/>
        <v>138000</v>
      </c>
      <c r="F25" s="261"/>
      <c r="G25" s="265">
        <f ca="1">DATA!$D$11/1000000</f>
        <v>0.30735360540000001</v>
      </c>
      <c r="H25" s="265">
        <f>C25*DATA!$D$5/1000000</f>
        <v>179.53110759881832</v>
      </c>
      <c r="I25" s="265">
        <f>(C25*DATA!$D$5*DATA!$D$7)/1000000</f>
        <v>4.0394499209734125</v>
      </c>
      <c r="J25" s="263">
        <f t="shared" ca="1" si="1"/>
        <v>183.87791112519176</v>
      </c>
      <c r="K25" s="261"/>
      <c r="L25" s="263">
        <f>((D25*DATA!$D$23)/1000000)+((E25*DATA!$D$24)/1000000)</f>
        <v>189.958932</v>
      </c>
      <c r="M25" s="263">
        <f t="shared" si="2"/>
        <v>189.958932</v>
      </c>
      <c r="N25" s="263">
        <f t="shared" ca="1" si="6"/>
        <v>6.0810208748082459</v>
      </c>
      <c r="O25" s="262">
        <f>1/(1+'[91]Asumsi I'!$C$3)^(KKF!A25)</f>
        <v>0.13003959011721541</v>
      </c>
      <c r="P25" s="263">
        <f t="shared" ca="1" si="7"/>
        <v>0.790773462054295</v>
      </c>
      <c r="Q25" s="263">
        <f t="shared" ca="1" si="9"/>
        <v>249.29954847098699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49999999999999" customHeight="1">
      <c r="A26" s="260">
        <f t="shared" si="11"/>
        <v>19</v>
      </c>
      <c r="B26" s="261">
        <f t="shared" si="11"/>
        <v>2042</v>
      </c>
      <c r="C26" s="262">
        <f t="shared" si="8"/>
        <v>165600</v>
      </c>
      <c r="D26" s="263">
        <f t="shared" si="5"/>
        <v>27600</v>
      </c>
      <c r="E26" s="263">
        <f t="shared" si="0"/>
        <v>138000</v>
      </c>
      <c r="F26" s="261"/>
      <c r="G26" s="265">
        <f ca="1">DATA!$D$11/1000000</f>
        <v>0.30735360540000001</v>
      </c>
      <c r="H26" s="265">
        <f>C26*DATA!$D$5/1000000</f>
        <v>179.53110759881832</v>
      </c>
      <c r="I26" s="265">
        <f>(C26*DATA!$D$5*DATA!$D$7)/1000000</f>
        <v>4.0394499209734125</v>
      </c>
      <c r="J26" s="263">
        <f t="shared" ca="1" si="1"/>
        <v>183.87791112519176</v>
      </c>
      <c r="K26" s="261"/>
      <c r="L26" s="263">
        <f>((D26*DATA!$D$23)/1000000)+((E26*DATA!$D$24)/1000000)</f>
        <v>189.958932</v>
      </c>
      <c r="M26" s="263">
        <f t="shared" si="2"/>
        <v>189.958932</v>
      </c>
      <c r="N26" s="263">
        <f t="shared" ca="1" si="6"/>
        <v>6.0810208748082459</v>
      </c>
      <c r="O26" s="262">
        <f>1/(1+'[91]Asumsi I'!$C$3)^(KKF!A26)</f>
        <v>0.1161067768903709</v>
      </c>
      <c r="P26" s="263">
        <f t="shared" ca="1" si="7"/>
        <v>0.70604773397704912</v>
      </c>
      <c r="Q26" s="263">
        <f t="shared" ca="1" si="9"/>
        <v>250.00559620496404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49999999999999" customHeight="1">
      <c r="A27" s="260">
        <f t="shared" si="11"/>
        <v>20</v>
      </c>
      <c r="B27" s="261">
        <f t="shared" si="11"/>
        <v>2043</v>
      </c>
      <c r="C27" s="262">
        <f t="shared" si="8"/>
        <v>165600</v>
      </c>
      <c r="D27" s="263">
        <f t="shared" si="5"/>
        <v>27600</v>
      </c>
      <c r="E27" s="263">
        <f t="shared" si="0"/>
        <v>138000</v>
      </c>
      <c r="F27" s="261"/>
      <c r="G27" s="265">
        <f ca="1">DATA!$D$11/1000000</f>
        <v>0.30735360540000001</v>
      </c>
      <c r="H27" s="265">
        <f>C27*DATA!$D$5/1000000</f>
        <v>179.53110759881832</v>
      </c>
      <c r="I27" s="265">
        <f>(C27*DATA!$D$5*DATA!$D$7)/1000000</f>
        <v>4.0394499209734125</v>
      </c>
      <c r="J27" s="263">
        <f t="shared" ca="1" si="1"/>
        <v>183.87791112519176</v>
      </c>
      <c r="K27" s="261"/>
      <c r="L27" s="263">
        <f>((D27*DATA!$D$23)/1000000)+((E27*DATA!$D$24)/1000000)</f>
        <v>189.958932</v>
      </c>
      <c r="M27" s="263">
        <f t="shared" si="2"/>
        <v>189.958932</v>
      </c>
      <c r="N27" s="263">
        <f t="shared" ca="1" si="6"/>
        <v>6.0810208748082459</v>
      </c>
      <c r="O27" s="262">
        <f>1/(1+'[91]Asumsi I'!$C$3)^(KKF!A27)</f>
        <v>0.1036667650806883</v>
      </c>
      <c r="P27" s="263">
        <f t="shared" ca="1" si="7"/>
        <v>0.63039976247950802</v>
      </c>
      <c r="Q27" s="263">
        <f t="shared" ca="1" si="9"/>
        <v>250.63599596744353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49999999999999" customHeight="1">
      <c r="A28" s="260">
        <f t="shared" si="11"/>
        <v>21</v>
      </c>
      <c r="B28" s="261">
        <f t="shared" si="11"/>
        <v>2044</v>
      </c>
      <c r="C28" s="262">
        <f t="shared" si="8"/>
        <v>165600</v>
      </c>
      <c r="D28" s="263">
        <f t="shared" si="5"/>
        <v>27600</v>
      </c>
      <c r="E28" s="263">
        <f t="shared" si="0"/>
        <v>138000</v>
      </c>
      <c r="F28" s="261"/>
      <c r="G28" s="265">
        <f ca="1">DATA!$D$11/1000000</f>
        <v>0.30735360540000001</v>
      </c>
      <c r="H28" s="265">
        <f>C28*DATA!$D$5/1000000</f>
        <v>179.53110759881832</v>
      </c>
      <c r="I28" s="265">
        <f>(C28*DATA!$D$5*DATA!$D$7)/1000000</f>
        <v>4.0394499209734125</v>
      </c>
      <c r="J28" s="263">
        <f t="shared" ca="1" si="1"/>
        <v>183.87791112519176</v>
      </c>
      <c r="K28" s="261"/>
      <c r="L28" s="263">
        <f>((D28*DATA!$D$23)/1000000)+((E28*DATA!$D$24)/1000000)</f>
        <v>189.958932</v>
      </c>
      <c r="M28" s="263">
        <f t="shared" si="2"/>
        <v>189.958932</v>
      </c>
      <c r="N28" s="263">
        <f t="shared" ca="1" si="6"/>
        <v>6.0810208748082459</v>
      </c>
      <c r="O28" s="262">
        <f>1/(1+'[91]Asumsi I'!$C$3)^(KKF!A28)</f>
        <v>9.2559611679185971E-2</v>
      </c>
      <c r="P28" s="263">
        <f t="shared" ca="1" si="7"/>
        <v>0.56285693078527499</v>
      </c>
      <c r="Q28" s="263">
        <f t="shared" ca="1" si="9"/>
        <v>251.19885289822881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49999999999999" customHeight="1">
      <c r="A29" s="260">
        <f t="shared" si="11"/>
        <v>22</v>
      </c>
      <c r="B29" s="261">
        <f t="shared" si="11"/>
        <v>2045</v>
      </c>
      <c r="C29" s="262">
        <f t="shared" si="8"/>
        <v>165600</v>
      </c>
      <c r="D29" s="263">
        <f t="shared" si="5"/>
        <v>27600</v>
      </c>
      <c r="E29" s="263">
        <f t="shared" si="0"/>
        <v>138000</v>
      </c>
      <c r="F29" s="261"/>
      <c r="G29" s="265">
        <f ca="1">DATA!$D$11/1000000</f>
        <v>0.30735360540000001</v>
      </c>
      <c r="H29" s="265">
        <f>C29*DATA!$D$5/1000000</f>
        <v>179.53110759881832</v>
      </c>
      <c r="I29" s="265">
        <f>(C29*DATA!$D$5*DATA!$D$7)/1000000</f>
        <v>4.0394499209734125</v>
      </c>
      <c r="J29" s="263">
        <f t="shared" ca="1" si="1"/>
        <v>183.87791112519176</v>
      </c>
      <c r="K29" s="261"/>
      <c r="L29" s="263">
        <f>((D29*DATA!$D$23)/1000000)+((E29*DATA!$D$24)/1000000)</f>
        <v>189.958932</v>
      </c>
      <c r="M29" s="263">
        <f t="shared" si="2"/>
        <v>189.958932</v>
      </c>
      <c r="N29" s="263">
        <f t="shared" ca="1" si="6"/>
        <v>6.0810208748082459</v>
      </c>
      <c r="O29" s="262">
        <f>1/(1+'[91]Asumsi I'!$C$3)^(KKF!A29)</f>
        <v>8.2642510427844609E-2</v>
      </c>
      <c r="P29" s="263">
        <f t="shared" ca="1" si="7"/>
        <v>0.50255083105828124</v>
      </c>
      <c r="Q29" s="263">
        <f t="shared" ca="1" si="9"/>
        <v>251.70140372928708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49999999999999" customHeight="1">
      <c r="A30" s="260">
        <f t="shared" si="11"/>
        <v>23</v>
      </c>
      <c r="B30" s="261">
        <f t="shared" si="11"/>
        <v>2046</v>
      </c>
      <c r="C30" s="262">
        <f t="shared" si="8"/>
        <v>165600</v>
      </c>
      <c r="D30" s="263">
        <f t="shared" si="5"/>
        <v>27600</v>
      </c>
      <c r="E30" s="263">
        <f t="shared" si="0"/>
        <v>138000</v>
      </c>
      <c r="F30" s="261"/>
      <c r="G30" s="265">
        <f ca="1">DATA!$D$11/1000000</f>
        <v>0.30735360540000001</v>
      </c>
      <c r="H30" s="265">
        <f>C30*DATA!$D$5/1000000</f>
        <v>179.53110759881832</v>
      </c>
      <c r="I30" s="265">
        <f>(C30*DATA!$D$5*DATA!$D$7)/1000000</f>
        <v>4.0394499209734125</v>
      </c>
      <c r="J30" s="263">
        <f t="shared" ca="1" si="1"/>
        <v>183.87791112519176</v>
      </c>
      <c r="K30" s="261"/>
      <c r="L30" s="263">
        <f>((D30*DATA!$D$23)/1000000)+((E30*DATA!$D$24)/1000000)</f>
        <v>189.958932</v>
      </c>
      <c r="M30" s="263">
        <f t="shared" si="2"/>
        <v>189.958932</v>
      </c>
      <c r="N30" s="263">
        <f t="shared" ca="1" si="6"/>
        <v>6.0810208748082459</v>
      </c>
      <c r="O30" s="262">
        <f>1/(1+'[91]Asumsi I'!$C$3)^(KKF!A30)</f>
        <v>7.3787955739146982E-2</v>
      </c>
      <c r="P30" s="263">
        <f t="shared" ca="1" si="7"/>
        <v>0.44870609915917969</v>
      </c>
      <c r="Q30" s="263">
        <f t="shared" ca="1" si="9"/>
        <v>252.15010982844626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49999999999999" customHeight="1">
      <c r="A31" s="260">
        <f t="shared" si="11"/>
        <v>24</v>
      </c>
      <c r="B31" s="261">
        <f t="shared" si="11"/>
        <v>2047</v>
      </c>
      <c r="C31" s="262">
        <f t="shared" si="8"/>
        <v>165600</v>
      </c>
      <c r="D31" s="263">
        <f t="shared" si="5"/>
        <v>27600</v>
      </c>
      <c r="E31" s="263">
        <f t="shared" si="0"/>
        <v>138000</v>
      </c>
      <c r="F31" s="261"/>
      <c r="G31" s="265">
        <f ca="1">DATA!$D$11/1000000</f>
        <v>0.30735360540000001</v>
      </c>
      <c r="H31" s="265">
        <f>C31*DATA!$D$5/1000000</f>
        <v>179.53110759881832</v>
      </c>
      <c r="I31" s="265">
        <f>(C31*DATA!$D$5*DATA!$D$7)/1000000</f>
        <v>4.0394499209734125</v>
      </c>
      <c r="J31" s="263">
        <f t="shared" ca="1" si="1"/>
        <v>183.87791112519176</v>
      </c>
      <c r="K31" s="261"/>
      <c r="L31" s="263">
        <f>((D31*DATA!$D$23)/1000000)+((E31*DATA!$D$24)/1000000)</f>
        <v>189.958932</v>
      </c>
      <c r="M31" s="263">
        <f t="shared" si="2"/>
        <v>189.958932</v>
      </c>
      <c r="N31" s="263">
        <f t="shared" ca="1" si="6"/>
        <v>6.0810208748082459</v>
      </c>
      <c r="O31" s="262">
        <f>1/(1+'[91]Asumsi I'!$C$3)^(KKF!A31)</f>
        <v>6.5882103338524081E-2</v>
      </c>
      <c r="P31" s="263">
        <f t="shared" ca="1" si="7"/>
        <v>0.40063044567783895</v>
      </c>
      <c r="Q31" s="263">
        <f ca="1">Q30+P31</f>
        <v>252.55074027412411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49999999999999" customHeight="1">
      <c r="A32" s="260">
        <f t="shared" si="11"/>
        <v>25</v>
      </c>
      <c r="B32" s="261">
        <f>B30+1</f>
        <v>2047</v>
      </c>
      <c r="C32" s="262">
        <f t="shared" si="8"/>
        <v>165600</v>
      </c>
      <c r="D32" s="263">
        <f t="shared" si="5"/>
        <v>27600</v>
      </c>
      <c r="E32" s="263">
        <f t="shared" si="0"/>
        <v>138000</v>
      </c>
      <c r="F32" s="261"/>
      <c r="G32" s="265">
        <f ca="1">DATA!$D$11/1000000</f>
        <v>0.30735360540000001</v>
      </c>
      <c r="H32" s="265">
        <f>C32*DATA!$D$5/1000000</f>
        <v>179.53110759881832</v>
      </c>
      <c r="I32" s="265">
        <f>(C32*DATA!$D$5*DATA!$D$7)/1000000</f>
        <v>4.0394499209734125</v>
      </c>
      <c r="J32" s="263">
        <f t="shared" ca="1" si="1"/>
        <v>183.87791112519176</v>
      </c>
      <c r="K32" s="261"/>
      <c r="L32" s="263">
        <f>((D32*DATA!$D$23)/1000000)+((E32*DATA!$D$24)/1000000)</f>
        <v>189.958932</v>
      </c>
      <c r="M32" s="263">
        <f t="shared" si="2"/>
        <v>189.958932</v>
      </c>
      <c r="N32" s="263">
        <f t="shared" ca="1" si="6"/>
        <v>6.0810208748082459</v>
      </c>
      <c r="O32" s="262">
        <f>1/(1+'[91]Asumsi I'!$C$3)^(KKF!A32)</f>
        <v>5.8823306552253637E-2</v>
      </c>
      <c r="P32" s="263">
        <f t="shared" ca="1" si="7"/>
        <v>0.35770575506949903</v>
      </c>
      <c r="Q32" s="263">
        <f ca="1">Q31+P32</f>
        <v>252.90844602919361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49999999999999" customHeight="1">
      <c r="B33" s="270"/>
      <c r="C33" s="270"/>
      <c r="D33" s="270"/>
      <c r="E33" s="270"/>
      <c r="F33" s="593" t="s">
        <v>1373</v>
      </c>
      <c r="G33" s="593"/>
      <c r="H33" s="593"/>
      <c r="I33" s="271"/>
      <c r="J33" s="272">
        <f ca="1">SUM(J7:J32)</f>
        <v>4704.4080907650869</v>
      </c>
      <c r="K33" s="593" t="s">
        <v>1374</v>
      </c>
      <c r="L33" s="593"/>
      <c r="M33" s="272">
        <f>SUM(M7:M32)</f>
        <v>5061.6477659999982</v>
      </c>
      <c r="N33" s="270"/>
      <c r="O33" s="270"/>
      <c r="P33" s="273"/>
      <c r="Q33" s="273"/>
      <c r="S33" s="251">
        <f ca="1">COUNTIF(S7:S32,"a")</f>
        <v>0</v>
      </c>
    </row>
    <row r="34" spans="2:22" ht="20.149999999999999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17.671426368633284</v>
      </c>
      <c r="V34" s="278"/>
    </row>
    <row r="35" spans="2:22" ht="20.149999999999999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49999999999999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1.0759372206540043</v>
      </c>
    </row>
    <row r="37" spans="2:22" ht="20.149999999999999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225.8111125260657</v>
      </c>
    </row>
    <row r="38" spans="2:22" ht="20.149999999999999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43"/>
  <sheetViews>
    <sheetView showGridLines="0" tabSelected="1" zoomScale="70" zoomScaleNormal="70" zoomScaleSheetLayoutView="85" workbookViewId="0">
      <pane ySplit="13" topLeftCell="A14" activePane="bottomLeft" state="frozen"/>
      <selection activeCell="F20" sqref="F20"/>
      <selection pane="bottomLeft" activeCell="D16" sqref="D16"/>
    </sheetView>
  </sheetViews>
  <sheetFormatPr defaultColWidth="9.08984375" defaultRowHeight="14"/>
  <cols>
    <col min="1" max="1" width="8.36328125" style="283" customWidth="1"/>
    <col min="2" max="2" width="5.08984375" style="284" customWidth="1"/>
    <col min="3" max="3" width="53.453125" style="351" customWidth="1"/>
    <col min="4" max="4" width="13.6328125" style="351" customWidth="1"/>
    <col min="5" max="5" width="12.54296875" style="287" customWidth="1"/>
    <col min="6" max="6" width="7.6328125" style="287" customWidth="1"/>
    <col min="7" max="7" width="12.6328125" style="287" customWidth="1"/>
    <col min="8" max="8" width="18.08984375" style="288" customWidth="1"/>
    <col min="9" max="9" width="16.6328125" style="288" customWidth="1"/>
    <col min="10" max="11" width="16.6328125" style="289" customWidth="1"/>
    <col min="12" max="12" width="1.54296875" style="289" customWidth="1"/>
    <col min="13" max="13" width="16.90625" style="289" customWidth="1"/>
    <col min="14" max="14" width="15" style="289" customWidth="1"/>
    <col min="15" max="15" width="9.08984375" style="290" customWidth="1"/>
    <col min="16" max="16" width="12.6328125" style="291" customWidth="1"/>
    <col min="17" max="17" width="12.6328125" style="290" customWidth="1"/>
    <col min="18" max="18" width="2.453125" style="290" customWidth="1"/>
    <col min="19" max="22" width="10.90625" style="290" customWidth="1"/>
    <col min="23" max="24" width="9.08984375" style="290" customWidth="1"/>
    <col min="25" max="16384" width="9.08984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96" t="s">
        <v>1036</v>
      </c>
      <c r="P3" s="596"/>
      <c r="Q3" s="293"/>
      <c r="T3" s="291"/>
      <c r="U3" s="292" t="s">
        <v>1041</v>
      </c>
      <c r="V3" s="291"/>
    </row>
    <row r="4" spans="1:22" ht="15.75" customHeight="1">
      <c r="B4" s="597" t="s">
        <v>1023</v>
      </c>
      <c r="C4" s="597"/>
      <c r="D4" s="597"/>
      <c r="E4" s="597"/>
      <c r="F4" s="597"/>
      <c r="G4" s="597"/>
      <c r="H4" s="597"/>
      <c r="I4" s="597"/>
      <c r="J4" s="597"/>
      <c r="K4" s="597"/>
      <c r="O4" s="596"/>
      <c r="P4" s="59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3" t="s">
        <v>1637</v>
      </c>
      <c r="H6" s="614"/>
      <c r="I6" s="614"/>
      <c r="J6" s="614"/>
      <c r="K6" s="61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1631</v>
      </c>
      <c r="J7" s="297"/>
      <c r="K7" s="284"/>
      <c r="T7" s="291"/>
      <c r="U7" s="292"/>
      <c r="V7" s="291"/>
    </row>
    <row r="8" spans="1:22" ht="14.5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1625</v>
      </c>
      <c r="J9" s="297"/>
      <c r="T9" s="291"/>
      <c r="U9" s="292"/>
      <c r="V9" s="291"/>
    </row>
    <row r="10" spans="1:22" ht="14.5" thickBot="1">
      <c r="C10" s="286"/>
      <c r="D10" s="286"/>
      <c r="T10" s="291"/>
      <c r="U10" s="291"/>
      <c r="V10" s="291"/>
    </row>
    <row r="11" spans="1:22" ht="21" customHeight="1">
      <c r="B11" s="599" t="s">
        <v>0</v>
      </c>
      <c r="C11" s="601" t="s">
        <v>1</v>
      </c>
      <c r="D11" s="604" t="s">
        <v>42</v>
      </c>
      <c r="E11" s="604" t="s">
        <v>43</v>
      </c>
      <c r="F11" s="604" t="s">
        <v>2</v>
      </c>
      <c r="G11" s="606" t="s">
        <v>41</v>
      </c>
      <c r="H11" s="604" t="s">
        <v>3</v>
      </c>
      <c r="I11" s="604"/>
      <c r="J11" s="604"/>
      <c r="K11" s="62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00"/>
      <c r="C12" s="602"/>
      <c r="D12" s="605"/>
      <c r="E12" s="605"/>
      <c r="F12" s="605"/>
      <c r="G12" s="607"/>
      <c r="H12" s="609" t="s">
        <v>46</v>
      </c>
      <c r="I12" s="609" t="s">
        <v>5</v>
      </c>
      <c r="J12" s="605" t="s">
        <v>47</v>
      </c>
      <c r="K12" s="62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00"/>
      <c r="C13" s="603"/>
      <c r="D13" s="605"/>
      <c r="E13" s="605"/>
      <c r="F13" s="605"/>
      <c r="G13" s="608"/>
      <c r="H13" s="610"/>
      <c r="I13" s="610"/>
      <c r="J13" s="605"/>
      <c r="K13" s="62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3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 ht="14.5">
      <c r="A15" s="283"/>
      <c r="B15" s="415" t="s">
        <v>10</v>
      </c>
      <c r="C15" s="416" t="s">
        <v>1634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487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ref="H15:H16" ca="1" si="4">IF(OR(D15="MDU",D15="MDU-KD"),(IF($O$3="RAB NON MDU","PLN KD",G15*F15)),0)</f>
        <v>0</v>
      </c>
      <c r="I15" s="308">
        <f t="shared" ref="I15:I16" ca="1" si="5">IF(D15="HDW",G15*F15,0)</f>
        <v>0</v>
      </c>
      <c r="J15" s="308">
        <f t="shared" ref="J15:J16" ca="1" si="6">IF(D15="JASA",G15*F15,0)</f>
        <v>0</v>
      </c>
      <c r="K15" s="309">
        <f t="shared" ref="K15:K16" ca="1" si="7">SUM(H15:J15)</f>
        <v>0</v>
      </c>
      <c r="L15" s="289"/>
      <c r="M15" s="289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 ht="14.5">
      <c r="A16" s="283"/>
      <c r="B16" s="485">
        <v>1</v>
      </c>
      <c r="C16" s="497" t="s">
        <v>1327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Bh</v>
      </c>
      <c r="F16" s="487">
        <v>3</v>
      </c>
      <c r="G16" s="307">
        <f ca="1">IF(ISERROR(OFFSET('HARGA SATUAN'!$I$6,MATCH(RAB!C16,'HARGA SATUAN'!$C$7:$C$1504,0),0)),0,OFFSET('HARGA SATUAN'!$I$6,MATCH(RAB!C16,'HARGA SATUAN'!$C$7:$C$1504,0),0))</f>
        <v>4255800</v>
      </c>
      <c r="H16" s="308">
        <f t="shared" ca="1" si="4"/>
        <v>0</v>
      </c>
      <c r="I16" s="308">
        <f t="shared" ca="1" si="5"/>
        <v>12767400</v>
      </c>
      <c r="J16" s="308">
        <f t="shared" ca="1" si="6"/>
        <v>0</v>
      </c>
      <c r="K16" s="309">
        <f t="shared" ca="1" si="7"/>
        <v>12767400</v>
      </c>
      <c r="L16" s="289"/>
      <c r="M16" s="289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 ht="14.5">
      <c r="A17" s="283"/>
      <c r="B17" s="485">
        <v>2</v>
      </c>
      <c r="C17" s="486" t="s">
        <v>1636</v>
      </c>
      <c r="D17" s="305" t="s">
        <v>47</v>
      </c>
      <c r="E17" s="306" t="s">
        <v>14</v>
      </c>
      <c r="F17" s="487">
        <v>3</v>
      </c>
      <c r="G17" s="307">
        <v>154100</v>
      </c>
      <c r="H17" s="308">
        <f t="shared" ref="H17" si="8">IF(OR(D17="MDU",D17="MDU-KD"),(IF($O$3="RAB NON MDU","PLN KD",G17*F17)),0)</f>
        <v>0</v>
      </c>
      <c r="I17" s="308">
        <f t="shared" ref="I17" si="9">IF(D17="HDW",G17*F17,0)</f>
        <v>0</v>
      </c>
      <c r="J17" s="308">
        <f t="shared" ref="J17" si="10">IF(D17="JASA",G17*F17,0)</f>
        <v>462300</v>
      </c>
      <c r="K17" s="309">
        <f t="shared" ref="K17" si="11">SUM(H17:J17)</f>
        <v>462300</v>
      </c>
      <c r="L17" s="289"/>
      <c r="M17" s="289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14.5">
      <c r="A18" s="283"/>
      <c r="B18" s="485"/>
      <c r="C18" s="486"/>
      <c r="D18" s="305"/>
      <c r="E18" s="306"/>
      <c r="F18" s="487"/>
      <c r="G18" s="307"/>
      <c r="H18" s="308"/>
      <c r="I18" s="308"/>
      <c r="J18" s="308"/>
      <c r="K18" s="309"/>
      <c r="L18" s="289"/>
      <c r="M18" s="289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14.5">
      <c r="A19" s="283"/>
      <c r="B19" s="415" t="s">
        <v>1600</v>
      </c>
      <c r="C19" s="416" t="s">
        <v>1628</v>
      </c>
      <c r="D19" s="305"/>
      <c r="E19" s="306"/>
      <c r="F19" s="487"/>
      <c r="G19" s="307"/>
      <c r="H19" s="308"/>
      <c r="I19" s="308"/>
      <c r="J19" s="308"/>
      <c r="K19" s="309"/>
      <c r="L19" s="289"/>
      <c r="M19" s="289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14.5">
      <c r="A20" s="283"/>
      <c r="B20" s="485">
        <v>1</v>
      </c>
      <c r="C20" s="486" t="s">
        <v>1635</v>
      </c>
      <c r="D20" s="305" t="s">
        <v>47</v>
      </c>
      <c r="E20" s="306" t="s">
        <v>14</v>
      </c>
      <c r="F20" s="487">
        <v>3</v>
      </c>
      <c r="G20" s="307">
        <v>92460</v>
      </c>
      <c r="H20" s="308">
        <f t="shared" ref="H20" si="12">IF(OR(D20="MDU",D20="MDU-KD"),(IF($O$3="RAB NON MDU","PLN KD",G20*F20)),0)</f>
        <v>0</v>
      </c>
      <c r="I20" s="308">
        <f t="shared" ref="I20" si="13">IF(D20="HDW",G20*F20,0)</f>
        <v>0</v>
      </c>
      <c r="J20" s="308">
        <f t="shared" ref="J20" si="14">IF(D20="JASA",G20*F20,0)</f>
        <v>277380</v>
      </c>
      <c r="K20" s="309">
        <f t="shared" ref="K20" si="15">SUM(H20:J20)</f>
        <v>277380</v>
      </c>
      <c r="L20" s="289"/>
      <c r="M20" s="289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>
      <c r="B21" s="318"/>
      <c r="C21" s="317"/>
      <c r="D21" s="305" t="str">
        <f ca="1">IF(ISERROR(OFFSET('HARGA SATUAN'!$D$6,MATCH(RAB!C21,'HARGA SATUAN'!$C$7:$C$1504,0),0)),"",OFFSET('HARGA SATUAN'!$D$6,MATCH(RAB!C21,'HARGA SATUAN'!$C$7:$C$1504,0),0))</f>
        <v/>
      </c>
      <c r="E21" s="306" t="str">
        <f ca="1">IF(B21="+","Unit",IF(ISERROR(OFFSET('HARGA SATUAN'!$E$6,MATCH(RAB!C21,'HARGA SATUAN'!$C$7:$C$1504,0),0)),"",OFFSET('HARGA SATUAN'!$E$6,MATCH(RAB!C21,'HARGA SATUAN'!$C$7:$C$1504,0),0)))</f>
        <v/>
      </c>
      <c r="F21" s="313"/>
      <c r="G21" s="307">
        <f ca="1">IF(ISERROR(OFFSET('HARGA SATUAN'!$I$6,MATCH(RAB!C21,'HARGA SATUAN'!$C$7:$C$1504,0),0)),0,OFFSET('HARGA SATUAN'!$I$6,MATCH(RAB!C21,'HARGA SATUAN'!$C$7:$C$1504,0),0))</f>
        <v>0</v>
      </c>
      <c r="H21" s="308">
        <f t="shared" ref="H21:H22" ca="1" si="16">IF(OR(D21="MDU",D21="MDU-KD"),(IF($O$3="RAB NON MDU","PLN KD",G21*F21)),0)</f>
        <v>0</v>
      </c>
      <c r="I21" s="308">
        <f t="shared" ref="I21:I22" ca="1" si="17">IF(D21="HDW",G21*F21,0)</f>
        <v>0</v>
      </c>
      <c r="J21" s="308">
        <f t="shared" ref="J21:J22" ca="1" si="18">IF(D21="JASA",G21*F21,0)</f>
        <v>0</v>
      </c>
      <c r="K21" s="309"/>
    </row>
    <row r="22" spans="1:22">
      <c r="B22" s="319"/>
      <c r="C22" s="320" t="s">
        <v>475</v>
      </c>
      <c r="D22" s="305" t="str">
        <f ca="1">IF(ISERROR(OFFSET('HARGA SATUAN'!$D$6,MATCH(RAB!C22,'HARGA SATUAN'!$C$7:$C$1504,0),0)),"",OFFSET('HARGA SATUAN'!$D$6,MATCH(RAB!C22,'HARGA SATUAN'!$C$7:$C$1504,0),0))</f>
        <v/>
      </c>
      <c r="E22" s="306" t="str">
        <f ca="1">IF(B22="+","Unit",IF(ISERROR(OFFSET('HARGA SATUAN'!$E$6,MATCH(RAB!C22,'HARGA SATUAN'!$C$7:$C$1504,0),0)),"",OFFSET('HARGA SATUAN'!$E$6,MATCH(RAB!C22,'HARGA SATUAN'!$C$7:$C$1504,0),0)))</f>
        <v/>
      </c>
      <c r="F22" s="313"/>
      <c r="G22" s="307">
        <f ca="1">IF(ISERROR(OFFSET('HARGA SATUAN'!$I$6,MATCH(RAB!C22,'HARGA SATUAN'!$C$7:$C$1504,0),0)),0,OFFSET('HARGA SATUAN'!$I$6,MATCH(RAB!C22,'HARGA SATUAN'!$C$7:$C$1504,0),0))</f>
        <v>0</v>
      </c>
      <c r="H22" s="308">
        <f t="shared" ca="1" si="16"/>
        <v>0</v>
      </c>
      <c r="I22" s="308">
        <f t="shared" ca="1" si="17"/>
        <v>0</v>
      </c>
      <c r="J22" s="308">
        <f t="shared" ca="1" si="18"/>
        <v>0</v>
      </c>
      <c r="K22" s="309">
        <f t="shared" ref="K22" ca="1" si="19">SUM(H22:J22)</f>
        <v>0</v>
      </c>
    </row>
    <row r="23" spans="1:22">
      <c r="B23" s="322">
        <v>1</v>
      </c>
      <c r="C23" s="323" t="s">
        <v>1091</v>
      </c>
      <c r="D23" s="324" t="str">
        <f ca="1">IF(ISERROR(OFFSET('HARGA SATUAN'!$D$6,MATCH(RAB!C23,'HARGA SATUAN'!$C$7:$C$1504,0),0)),"",OFFSET('HARGA SATUAN'!$D$6,MATCH(RAB!C23,'HARGA SATUAN'!$C$7:$C$1504,0),0))</f>
        <v>JASA</v>
      </c>
      <c r="E23" s="325" t="str">
        <f ca="1">IF(ISERROR(OFFSET('HARGA SATUAN'!$E$6,MATCH(RAB!C23,'HARGA SATUAN'!$C$7:$C$1504,0),0)),"",OFFSET('HARGA SATUAN'!$E$6,MATCH(RAB!C23,'HARGA SATUAN'!$C$7:$C$1504,0),0))</f>
        <v>Lot</v>
      </c>
      <c r="F23" s="326">
        <v>1</v>
      </c>
      <c r="G23" s="327">
        <f ca="1">IF(ISERROR(OFFSET('HARGA SATUAN'!$I$6,MATCH(RAB!C23,'HARGA SATUAN'!$C$7:$C$1504,0),0)),0,OFFSET('HARGA SATUAN'!$I$6,MATCH(RAB!C23,'HARGA SATUAN'!$C$7:$C$1504,0),0))</f>
        <v>2.5000000000000001E-2</v>
      </c>
      <c r="H23" s="328"/>
      <c r="I23" s="328"/>
      <c r="J23" s="328">
        <f ca="1">SUM(K14:K22)*G23</f>
        <v>337677</v>
      </c>
      <c r="K23" s="494">
        <f ca="1">J23</f>
        <v>337677</v>
      </c>
      <c r="M23" s="314"/>
    </row>
    <row r="24" spans="1:22">
      <c r="B24" s="329"/>
      <c r="C24" s="330"/>
      <c r="D24" s="305" t="str">
        <f ca="1">IF(ISERROR(OFFSET('HARGA SATUAN'!$D$6,MATCH(RAB!C24,'HARGA SATUAN'!$C$7:$C$1504,0),0)),"",OFFSET('HARGA SATUAN'!$D$6,MATCH(RAB!C24,'HARGA SATUAN'!$C$7:$C$1504,0),0))</f>
        <v/>
      </c>
      <c r="E24" s="306" t="str">
        <f ca="1">IF(ISERROR(OFFSET('HARGA SATUAN'!$E$6,MATCH(RAB!C24,'HARGA SATUAN'!$C$7:$C$1504,0),0)),"",OFFSET('HARGA SATUAN'!$E$6,MATCH(RAB!C24,'HARGA SATUAN'!$C$7:$C$1504,0),0))</f>
        <v/>
      </c>
      <c r="F24" s="321"/>
      <c r="G24" s="307" t="str">
        <f ca="1">IF(ISERROR(OFFSET('HARGA SATUAN'!$I$6,MATCH(RAB!C24,'HARGA SATUAN'!$C$7:$C$1504,0),0)),"",OFFSET('HARGA SATUAN'!$I$6,MATCH(RAB!C24,'HARGA SATUAN'!$C$7:$C$1504,0),0))</f>
        <v/>
      </c>
      <c r="H24" s="308">
        <f ca="1">IF(OR(D24="MDU",D24="MDU-KD"),IF(G24="PLN",0,G24*F24),0)</f>
        <v>0</v>
      </c>
      <c r="I24" s="308">
        <f ca="1">IF(D24="HDW",IF(G24="PLN",0,G24*F24),0)</f>
        <v>0</v>
      </c>
      <c r="J24" s="308">
        <f ca="1">IF(D24="JASA",IF(G24="PLN",0,G24*F24),0)</f>
        <v>0</v>
      </c>
      <c r="K24" s="309">
        <f ca="1">SUM(H24:J24)</f>
        <v>0</v>
      </c>
    </row>
    <row r="25" spans="1:22" ht="14.5" thickBot="1">
      <c r="B25" s="331"/>
      <c r="C25" s="332"/>
      <c r="D25" s="333"/>
      <c r="E25" s="334"/>
      <c r="F25" s="334"/>
      <c r="G25" s="334"/>
      <c r="H25" s="335"/>
      <c r="I25" s="335"/>
      <c r="J25" s="335"/>
      <c r="K25" s="336"/>
    </row>
    <row r="26" spans="1:22">
      <c r="B26" s="337"/>
      <c r="C26" s="598" t="s">
        <v>1008</v>
      </c>
      <c r="D26" s="598"/>
      <c r="E26" s="598"/>
      <c r="F26" s="598"/>
      <c r="G26" s="338" t="s">
        <v>9</v>
      </c>
      <c r="H26" s="339">
        <f ca="1">SUM(H14:H24)</f>
        <v>0</v>
      </c>
      <c r="I26" s="339">
        <f ca="1">SUM(I14:I24)</f>
        <v>12767400</v>
      </c>
      <c r="J26" s="339">
        <f ca="1">SUM(J14:J24)</f>
        <v>1077357</v>
      </c>
      <c r="K26" s="339">
        <f ca="1">SUM(K14:K24)</f>
        <v>13844757</v>
      </c>
    </row>
    <row r="27" spans="1:22">
      <c r="B27" s="340"/>
      <c r="C27" s="615" t="s">
        <v>1455</v>
      </c>
      <c r="D27" s="615"/>
      <c r="E27" s="615"/>
      <c r="F27" s="615"/>
      <c r="G27" s="341" t="s">
        <v>9</v>
      </c>
      <c r="H27" s="342">
        <f ca="1">H26*0.11</f>
        <v>0</v>
      </c>
      <c r="I27" s="342">
        <f ca="1">I26*0.11</f>
        <v>1404414</v>
      </c>
      <c r="J27" s="342">
        <f ca="1">J26*0.11</f>
        <v>118509.27</v>
      </c>
      <c r="K27" s="342">
        <f ca="1">K26*0.11</f>
        <v>1522923.27</v>
      </c>
    </row>
    <row r="28" spans="1:22" ht="14.5" thickBot="1">
      <c r="B28" s="340"/>
      <c r="C28" s="612" t="s">
        <v>463</v>
      </c>
      <c r="D28" s="612"/>
      <c r="E28" s="612"/>
      <c r="F28" s="612"/>
      <c r="G28" s="343" t="s">
        <v>9</v>
      </c>
      <c r="H28" s="344">
        <f ca="1">SUM(H26:H27)</f>
        <v>0</v>
      </c>
      <c r="I28" s="344">
        <f ca="1">SUM(I26:I27)</f>
        <v>14171814</v>
      </c>
      <c r="J28" s="343">
        <f ca="1">SUM(J26:J27)</f>
        <v>1195866.27</v>
      </c>
      <c r="K28" s="343">
        <f ca="1">SUM(K26:K27)</f>
        <v>15367680.27</v>
      </c>
      <c r="M28" s="408"/>
    </row>
    <row r="29" spans="1:22">
      <c r="B29" s="616" t="str">
        <f ca="1">"Terbilang : "&amp;PROPER(IF(K28=0,"nol",IF(K28&lt;0,"minus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IF(--MID(TEXT(ABS(K28),"000000000000000"),1,3)=0,"",MID(TEXT(ABS(K28),"000000000000000"),1,1)&amp;" ratus "&amp;MID(TEXT(ABS(K28),"000000000000000"),2,1)&amp;" puluh "&amp;MID(TEXT(ABS(K28),"000000000000000"),3,1)&amp;" trilyun ")&amp; IF(--MID(TEXT(ABS(K28),"000000000000000"),4,3)=0,"",MID(TEXT(ABS(K28),"000000000000000"),4,1)&amp;" ratus "&amp;MID(TEXT(ABS(K28),"000000000000000"),5,1)&amp;" puluh "&amp;MID(TEXT(ABS(K28),"000000000000000"),6,1)&amp;" milyar ")&amp; IF(--MID(TEXT(ABS(K28),"000000000000000"),7,3)=0,"",MID(TEXT(ABS(K28),"000000000000000"),7,1)&amp;" ratus "&amp;MID(TEXT(ABS(K28),"000000000000000"),8,1)&amp;" puluh "&amp;MID(TEXT(ABS(K28),"000000000000000"),9,1)&amp;" juta ")&amp; IF(--MID(TEXT(ABS(K28),"000000000000000"),10,3)=0,"",IF(--MID(TEXT(ABS(K28),"000000000000000"),10,3)=1,"*",MID(TEXT(ABS(K28),"000000000000000"),10,1)&amp;" ratus "&amp;MID(TEXT(ABS(K28),"000000000000000"),11,1)&amp;" puluh ")&amp;MID(TEXT(ABS(K28),"000000000000000"),12,1)&amp;" ribu ")&amp; IF(--MID(TEXT(ABS(K28),"000000000000000"),13,3)=0,"",MID(TEXT(ABS(K28),"000000000000000"),13,1)&amp;" ratus "&amp;MID(TEXT(ABS(K28),"000000000000000"),14,1)&amp;" puluh "&amp;MID(TEXT(ABS(K28),"000000000000000"),15,1)),1,"satu"),2,"dua"),3,"tiga"),4,"empat"),5,"lima"),6,"enam"),7,"tujuh"),8,"delapan"),9,"sembilan"),"0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Belas Juta Tiga Ratus Enam Puluh Tujuh Ribu Enam Ratus Delapan Puluh Rupiah</v>
      </c>
      <c r="C29" s="617"/>
      <c r="D29" s="617"/>
      <c r="E29" s="617"/>
      <c r="F29" s="617"/>
      <c r="G29" s="617"/>
      <c r="H29" s="617"/>
      <c r="I29" s="617"/>
      <c r="J29" s="617"/>
      <c r="K29" s="618"/>
    </row>
    <row r="30" spans="1:22">
      <c r="B30" s="619"/>
      <c r="C30" s="620"/>
      <c r="D30" s="620"/>
      <c r="E30" s="620"/>
      <c r="F30" s="620"/>
      <c r="G30" s="620"/>
      <c r="H30" s="620"/>
      <c r="I30" s="620"/>
      <c r="J30" s="620"/>
      <c r="K30" s="621"/>
    </row>
    <row r="31" spans="1:22" ht="14.5" thickBot="1">
      <c r="B31" s="345" t="str">
        <f>"Harga yang dipakai adalah "&amp;'HARGA SATUAN'!I5&amp;""</f>
        <v>Harga yang dipakai adalah RAB HSS 2023</v>
      </c>
      <c r="C31" s="346"/>
      <c r="D31" s="347"/>
      <c r="E31" s="347"/>
      <c r="F31" s="347"/>
      <c r="G31" s="348"/>
      <c r="H31" s="348"/>
      <c r="I31" s="348"/>
      <c r="J31" s="348"/>
      <c r="K31" s="349"/>
    </row>
    <row r="32" spans="1:22">
      <c r="C32" s="350"/>
      <c r="E32" s="352"/>
      <c r="F32" s="352"/>
      <c r="G32" s="352"/>
    </row>
    <row r="33" spans="3:11">
      <c r="C33" s="284"/>
      <c r="E33" s="352"/>
      <c r="F33" s="352"/>
      <c r="G33" s="352"/>
      <c r="H33" s="622"/>
      <c r="I33" s="622"/>
      <c r="J33" s="623"/>
      <c r="K33" s="623"/>
    </row>
    <row r="34" spans="3:11">
      <c r="C34" s="284"/>
      <c r="E34" s="352"/>
      <c r="F34" s="352"/>
      <c r="G34" s="352"/>
      <c r="H34" s="353"/>
      <c r="I34" s="611" t="s">
        <v>1629</v>
      </c>
      <c r="J34" s="611"/>
      <c r="K34" s="611"/>
    </row>
    <row r="35" spans="3:11">
      <c r="C35" s="284"/>
      <c r="E35" s="352"/>
      <c r="F35" s="352"/>
      <c r="G35" s="352"/>
      <c r="H35" s="353"/>
      <c r="I35" s="611" t="s">
        <v>1609</v>
      </c>
      <c r="J35" s="611"/>
      <c r="K35" s="611"/>
    </row>
    <row r="36" spans="3:11">
      <c r="C36" s="284"/>
      <c r="E36" s="352"/>
      <c r="F36" s="352"/>
      <c r="G36" s="352"/>
      <c r="H36" s="354"/>
      <c r="I36" s="355"/>
      <c r="J36" s="355"/>
      <c r="K36" s="355"/>
    </row>
    <row r="37" spans="3:11">
      <c r="C37" s="284"/>
      <c r="E37" s="352"/>
      <c r="F37" s="352"/>
      <c r="G37" s="352"/>
      <c r="H37" s="354"/>
      <c r="I37" s="354"/>
      <c r="J37" s="354"/>
      <c r="K37" s="354"/>
    </row>
    <row r="38" spans="3:11">
      <c r="C38" s="284"/>
      <c r="E38" s="352"/>
      <c r="F38" s="352"/>
      <c r="G38" s="352"/>
      <c r="H38" s="354"/>
      <c r="I38" s="354"/>
      <c r="J38" s="354"/>
      <c r="K38" s="354"/>
    </row>
    <row r="39" spans="3:11">
      <c r="C39" s="284"/>
      <c r="E39" s="352"/>
      <c r="F39" s="352"/>
      <c r="G39" s="352"/>
      <c r="H39" s="354"/>
      <c r="I39" s="354"/>
      <c r="J39" s="354"/>
      <c r="K39" s="354"/>
    </row>
    <row r="40" spans="3:11">
      <c r="C40" s="284"/>
      <c r="E40" s="352"/>
      <c r="F40" s="352"/>
      <c r="G40" s="352"/>
      <c r="H40" s="356"/>
      <c r="I40" s="611" t="s">
        <v>1610</v>
      </c>
      <c r="J40" s="611"/>
      <c r="K40" s="611"/>
    </row>
    <row r="41" spans="3:11">
      <c r="C41" s="350"/>
      <c r="E41" s="352"/>
      <c r="F41" s="352"/>
      <c r="G41" s="352"/>
      <c r="H41" s="354"/>
      <c r="I41" s="354"/>
      <c r="J41" s="354"/>
      <c r="K41" s="354"/>
    </row>
    <row r="42" spans="3:11">
      <c r="C42" s="350"/>
      <c r="E42" s="352"/>
      <c r="F42" s="352"/>
      <c r="G42" s="352"/>
      <c r="H42" s="354"/>
      <c r="I42" s="354"/>
      <c r="J42" s="354"/>
      <c r="K42" s="354"/>
    </row>
    <row r="43" spans="3:11">
      <c r="C43" s="350"/>
      <c r="E43" s="352"/>
      <c r="F43" s="352"/>
      <c r="G43" s="352"/>
      <c r="H43" s="354"/>
      <c r="I43" s="354"/>
      <c r="J43" s="354"/>
      <c r="K43" s="354"/>
    </row>
  </sheetData>
  <sheetProtection sort="0" autoFilter="0"/>
  <protectedRanges>
    <protectedRange sqref="B21" name="Range1_1"/>
    <protectedRange sqref="F21:F22 F14" name="Range1_1_2_2"/>
    <protectedRange sqref="C21" name="Range1_1_1"/>
    <protectedRange sqref="B15:C20" name="Range1_6_1"/>
    <protectedRange sqref="F15:F20" name="Range1_1_3_1_2_1"/>
  </protectedRanges>
  <mergeCells count="22">
    <mergeCell ref="I35:K35"/>
    <mergeCell ref="I40:K40"/>
    <mergeCell ref="C28:F28"/>
    <mergeCell ref="G6:K6"/>
    <mergeCell ref="I34:K34"/>
    <mergeCell ref="C27:F27"/>
    <mergeCell ref="B29:K30"/>
    <mergeCell ref="H33:K33"/>
    <mergeCell ref="H11:K11"/>
    <mergeCell ref="H12:H13"/>
    <mergeCell ref="J12:J13"/>
    <mergeCell ref="K12:K13"/>
    <mergeCell ref="O3:P4"/>
    <mergeCell ref="B4:K4"/>
    <mergeCell ref="C26:F26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E1:E3 E5:E13 H12:I12 O13 S14:V20 E14:K22 E23:G23 H23:K25 E24:H24 E25:F25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24:G65490 E29:E65490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2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2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zoomScale="70" zoomScaleNormal="70" zoomScaleSheetLayoutView="70" workbookViewId="0">
      <selection activeCell="F20" sqref="F20"/>
    </sheetView>
  </sheetViews>
  <sheetFormatPr defaultColWidth="9.36328125" defaultRowHeight="12"/>
  <cols>
    <col min="1" max="2" width="1.453125" style="421" customWidth="1"/>
    <col min="3" max="3" width="7.453125" style="421" customWidth="1"/>
    <col min="4" max="23" width="5.6328125" style="421" customWidth="1"/>
    <col min="24" max="24" width="7.81640625" style="421" customWidth="1"/>
    <col min="25" max="30" width="5.6328125" style="421" customWidth="1"/>
    <col min="31" max="31" width="0.90625" style="421" customWidth="1"/>
    <col min="32" max="118" width="5.6328125" style="421" customWidth="1"/>
    <col min="119" max="16384" width="9.36328125" style="421"/>
  </cols>
  <sheetData>
    <row r="1" spans="3:30" ht="12.5" thickBot="1"/>
    <row r="2" spans="3:30" ht="17.25" customHeight="1">
      <c r="C2" s="49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626" t="s">
        <v>1438</v>
      </c>
      <c r="X2" s="627"/>
      <c r="Y2" s="627"/>
      <c r="Z2" s="627"/>
      <c r="AA2" s="627"/>
      <c r="AB2" s="627"/>
      <c r="AC2" s="627"/>
      <c r="AD2" s="628"/>
    </row>
    <row r="3" spans="3:30">
      <c r="C3" s="423"/>
      <c r="W3" s="629"/>
      <c r="X3" s="630"/>
      <c r="Y3" s="630"/>
      <c r="Z3" s="630"/>
      <c r="AA3" s="630"/>
      <c r="AB3" s="630"/>
      <c r="AC3" s="630"/>
      <c r="AD3" s="631"/>
    </row>
    <row r="4" spans="3:30" ht="15.5">
      <c r="C4" s="423"/>
      <c r="D4" s="495" t="s">
        <v>1630</v>
      </c>
      <c r="G4" s="424"/>
      <c r="W4" s="425" t="s">
        <v>987</v>
      </c>
      <c r="AD4" s="426"/>
    </row>
    <row r="5" spans="3:30">
      <c r="C5" s="423"/>
      <c r="D5" s="433"/>
      <c r="W5" s="427" t="s">
        <v>991</v>
      </c>
      <c r="X5" s="632" t="s">
        <v>990</v>
      </c>
      <c r="Y5" s="632"/>
      <c r="Z5" s="632"/>
      <c r="AA5" s="632" t="s">
        <v>988</v>
      </c>
      <c r="AB5" s="632"/>
      <c r="AC5" s="632" t="s">
        <v>989</v>
      </c>
      <c r="AD5" s="633"/>
    </row>
    <row r="6" spans="3:30">
      <c r="C6" s="423"/>
      <c r="W6" s="427">
        <v>1</v>
      </c>
      <c r="X6" s="632" t="s">
        <v>993</v>
      </c>
      <c r="Y6" s="632"/>
      <c r="Z6" s="632"/>
      <c r="AA6" s="632"/>
      <c r="AB6" s="632"/>
      <c r="AC6" s="632"/>
      <c r="AD6" s="633"/>
    </row>
    <row r="7" spans="3:30">
      <c r="C7" s="423"/>
      <c r="W7" s="427">
        <v>2</v>
      </c>
      <c r="X7" s="632" t="s">
        <v>994</v>
      </c>
      <c r="Y7" s="632"/>
      <c r="Z7" s="632"/>
      <c r="AA7" s="632"/>
      <c r="AB7" s="632"/>
      <c r="AC7" s="632"/>
      <c r="AD7" s="633"/>
    </row>
    <row r="8" spans="3:30">
      <c r="C8" s="423"/>
      <c r="W8" s="427">
        <v>3</v>
      </c>
      <c r="X8" s="632" t="s">
        <v>995</v>
      </c>
      <c r="Y8" s="632"/>
      <c r="Z8" s="632"/>
      <c r="AA8" s="632"/>
      <c r="AB8" s="632"/>
      <c r="AC8" s="632"/>
      <c r="AD8" s="633"/>
    </row>
    <row r="9" spans="3:30">
      <c r="C9" s="423"/>
      <c r="W9" s="427">
        <v>4</v>
      </c>
      <c r="X9" s="632" t="s">
        <v>996</v>
      </c>
      <c r="Y9" s="632"/>
      <c r="Z9" s="632"/>
      <c r="AA9" s="632"/>
      <c r="AB9" s="632"/>
      <c r="AC9" s="632"/>
      <c r="AD9" s="633"/>
    </row>
    <row r="10" spans="3:30">
      <c r="C10" s="423"/>
      <c r="W10" s="427">
        <v>5</v>
      </c>
      <c r="X10" s="632" t="s">
        <v>997</v>
      </c>
      <c r="Y10" s="632"/>
      <c r="Z10" s="632"/>
      <c r="AA10" s="632"/>
      <c r="AB10" s="632"/>
      <c r="AC10" s="632"/>
      <c r="AD10" s="633"/>
    </row>
    <row r="11" spans="3:30">
      <c r="C11" s="423"/>
      <c r="W11" s="427">
        <v>6</v>
      </c>
      <c r="X11" s="632" t="s">
        <v>998</v>
      </c>
      <c r="Y11" s="632"/>
      <c r="Z11" s="632"/>
      <c r="AA11" s="632"/>
      <c r="AB11" s="632"/>
      <c r="AC11" s="632"/>
      <c r="AD11" s="633"/>
    </row>
    <row r="12" spans="3:30">
      <c r="C12" s="423"/>
      <c r="W12" s="427">
        <v>7</v>
      </c>
      <c r="X12" s="632" t="s">
        <v>999</v>
      </c>
      <c r="Y12" s="632"/>
      <c r="Z12" s="632"/>
      <c r="AA12" s="632"/>
      <c r="AB12" s="632"/>
      <c r="AC12" s="632"/>
      <c r="AD12" s="633"/>
    </row>
    <row r="13" spans="3:30" ht="12.75" customHeight="1">
      <c r="C13" s="423"/>
      <c r="W13" s="427">
        <v>8</v>
      </c>
      <c r="X13" s="632" t="s">
        <v>1000</v>
      </c>
      <c r="Y13" s="632"/>
      <c r="Z13" s="632"/>
      <c r="AA13" s="632"/>
      <c r="AB13" s="632"/>
      <c r="AC13" s="632"/>
      <c r="AD13" s="633"/>
    </row>
    <row r="14" spans="3:30">
      <c r="C14" s="423"/>
      <c r="W14" s="427">
        <v>9</v>
      </c>
      <c r="X14" s="632" t="s">
        <v>1001</v>
      </c>
      <c r="Y14" s="632"/>
      <c r="Z14" s="632"/>
      <c r="AA14" s="632"/>
      <c r="AB14" s="632"/>
      <c r="AC14" s="632"/>
      <c r="AD14" s="633"/>
    </row>
    <row r="15" spans="3:30">
      <c r="C15" s="423"/>
      <c r="W15" s="427">
        <v>10</v>
      </c>
      <c r="X15" s="632" t="s">
        <v>1010</v>
      </c>
      <c r="Y15" s="632"/>
      <c r="Z15" s="632"/>
      <c r="AA15" s="632"/>
      <c r="AB15" s="632"/>
      <c r="AC15" s="632"/>
      <c r="AD15" s="633"/>
    </row>
    <row r="16" spans="3:30">
      <c r="C16" s="423"/>
      <c r="W16" s="427">
        <v>11</v>
      </c>
      <c r="X16" s="632" t="s">
        <v>1454</v>
      </c>
      <c r="Y16" s="632"/>
      <c r="Z16" s="632"/>
      <c r="AA16" s="632"/>
      <c r="AB16" s="632"/>
      <c r="AC16" s="632"/>
      <c r="AD16" s="633"/>
    </row>
    <row r="17" spans="3:30">
      <c r="C17" s="423"/>
      <c r="S17" s="429"/>
      <c r="W17" s="427">
        <v>12</v>
      </c>
      <c r="X17" s="632" t="s">
        <v>1011</v>
      </c>
      <c r="Y17" s="632"/>
      <c r="Z17" s="632"/>
      <c r="AA17" s="632"/>
      <c r="AB17" s="632"/>
      <c r="AC17" s="632"/>
      <c r="AD17" s="633"/>
    </row>
    <row r="18" spans="3:30">
      <c r="C18" s="430"/>
      <c r="D18" s="431"/>
      <c r="E18" s="431"/>
      <c r="W18" s="427">
        <v>13</v>
      </c>
      <c r="X18" s="632"/>
      <c r="Y18" s="632"/>
      <c r="Z18" s="632"/>
      <c r="AA18" s="632"/>
      <c r="AB18" s="632"/>
      <c r="AC18" s="632"/>
      <c r="AD18" s="633"/>
    </row>
    <row r="19" spans="3:30">
      <c r="C19" s="423"/>
      <c r="W19" s="432"/>
      <c r="X19" s="636"/>
      <c r="Y19" s="636"/>
      <c r="Z19" s="636"/>
      <c r="AA19" s="636"/>
      <c r="AB19" s="636"/>
      <c r="AC19" s="636"/>
      <c r="AD19" s="637"/>
    </row>
    <row r="20" spans="3:30">
      <c r="C20" s="423"/>
      <c r="Q20" s="433"/>
      <c r="W20" s="638" t="s">
        <v>992</v>
      </c>
      <c r="X20" s="639"/>
      <c r="Y20" s="639"/>
      <c r="Z20" s="639"/>
      <c r="AA20" s="639"/>
      <c r="AB20" s="639"/>
      <c r="AC20" s="639"/>
      <c r="AD20" s="640"/>
    </row>
    <row r="21" spans="3:30">
      <c r="C21" s="423"/>
      <c r="W21" s="641" t="s">
        <v>985</v>
      </c>
      <c r="X21" s="642"/>
      <c r="Y21" s="642"/>
      <c r="Z21" s="643"/>
      <c r="AA21" s="644" t="s">
        <v>986</v>
      </c>
      <c r="AB21" s="645"/>
      <c r="AC21" s="645"/>
      <c r="AD21" s="646"/>
    </row>
    <row r="22" spans="3:30">
      <c r="C22" s="423"/>
      <c r="S22" s="434"/>
      <c r="W22" s="490" t="s">
        <v>1632</v>
      </c>
      <c r="X22" s="491"/>
      <c r="Y22" s="435">
        <v>3</v>
      </c>
      <c r="Z22" s="436" t="s">
        <v>1058</v>
      </c>
      <c r="AA22" s="437" t="s">
        <v>1633</v>
      </c>
      <c r="AB22" s="438"/>
      <c r="AC22" s="439">
        <v>3</v>
      </c>
      <c r="AD22" s="440" t="s">
        <v>1058</v>
      </c>
    </row>
    <row r="23" spans="3:30">
      <c r="C23" s="423"/>
      <c r="W23" s="490"/>
      <c r="X23" s="491"/>
      <c r="Y23" s="435"/>
      <c r="Z23" s="436"/>
      <c r="AA23" s="437"/>
      <c r="AB23" s="438"/>
      <c r="AC23" s="439"/>
      <c r="AD23" s="440"/>
    </row>
    <row r="24" spans="3:30">
      <c r="C24" s="423"/>
      <c r="W24" s="441"/>
      <c r="X24" s="442"/>
      <c r="Y24" s="435"/>
      <c r="Z24" s="436"/>
      <c r="AA24" s="437"/>
      <c r="AB24" s="438"/>
      <c r="AC24" s="439"/>
      <c r="AD24" s="440"/>
    </row>
    <row r="25" spans="3:30">
      <c r="C25" s="423"/>
      <c r="W25" s="441"/>
      <c r="X25" s="442"/>
      <c r="Y25" s="436"/>
      <c r="Z25" s="435"/>
      <c r="AA25" s="437"/>
      <c r="AB25" s="438"/>
      <c r="AC25" s="439"/>
      <c r="AD25" s="440"/>
    </row>
    <row r="26" spans="3:30">
      <c r="C26" s="423"/>
      <c r="W26" s="441"/>
      <c r="X26" s="442"/>
      <c r="Y26" s="436"/>
      <c r="Z26" s="435"/>
      <c r="AA26" s="437"/>
      <c r="AB26" s="438"/>
      <c r="AC26" s="439"/>
      <c r="AD26" s="440"/>
    </row>
    <row r="27" spans="3:30">
      <c r="C27" s="423"/>
      <c r="W27" s="441"/>
      <c r="X27" s="442"/>
      <c r="Y27" s="436"/>
      <c r="Z27" s="435"/>
      <c r="AA27" s="437"/>
      <c r="AB27" s="438"/>
      <c r="AC27" s="439"/>
      <c r="AD27" s="440"/>
    </row>
    <row r="28" spans="3:30">
      <c r="C28" s="423"/>
      <c r="W28" s="441"/>
      <c r="X28" s="442"/>
      <c r="Y28" s="436"/>
      <c r="Z28" s="435"/>
      <c r="AA28" s="437"/>
      <c r="AB28" s="438"/>
      <c r="AC28" s="439"/>
      <c r="AD28" s="440"/>
    </row>
    <row r="29" spans="3:30">
      <c r="C29" s="423"/>
      <c r="W29" s="441"/>
      <c r="X29" s="442"/>
      <c r="Y29" s="436"/>
      <c r="Z29" s="435"/>
      <c r="AA29" s="437"/>
      <c r="AB29" s="438"/>
      <c r="AC29" s="439"/>
      <c r="AD29" s="440"/>
    </row>
    <row r="30" spans="3:30" ht="11.25" customHeight="1">
      <c r="C30" s="423"/>
      <c r="W30" s="441"/>
      <c r="X30" s="442"/>
      <c r="Y30" s="436"/>
      <c r="Z30" s="435"/>
      <c r="AA30" s="437"/>
      <c r="AB30" s="438"/>
      <c r="AC30" s="439"/>
      <c r="AD30" s="440"/>
    </row>
    <row r="31" spans="3:30">
      <c r="C31" s="423"/>
      <c r="U31" s="443"/>
      <c r="W31" s="490"/>
      <c r="X31" s="491"/>
      <c r="Y31" s="436"/>
      <c r="Z31" s="435"/>
      <c r="AA31" s="634"/>
      <c r="AB31" s="635"/>
      <c r="AC31" s="439"/>
      <c r="AD31" s="440"/>
    </row>
    <row r="32" spans="3:30">
      <c r="C32" s="423"/>
      <c r="U32" s="443"/>
      <c r="W32" s="441"/>
      <c r="X32" s="442"/>
      <c r="Y32" s="436"/>
      <c r="Z32" s="435"/>
      <c r="AA32" s="634"/>
      <c r="AB32" s="635"/>
      <c r="AC32" s="439"/>
      <c r="AD32" s="440"/>
    </row>
    <row r="33" spans="3:33">
      <c r="C33" s="423"/>
      <c r="U33" s="443"/>
      <c r="W33" s="441"/>
      <c r="X33" s="442"/>
      <c r="Y33" s="436"/>
      <c r="Z33" s="435"/>
      <c r="AA33" s="437"/>
      <c r="AB33" s="438"/>
      <c r="AC33" s="439"/>
      <c r="AD33" s="440"/>
    </row>
    <row r="34" spans="3:33">
      <c r="C34" s="423"/>
      <c r="W34" s="441"/>
      <c r="X34" s="442"/>
      <c r="Y34" s="435"/>
      <c r="Z34" s="436"/>
      <c r="AA34" s="634"/>
      <c r="AB34" s="635"/>
      <c r="AC34" s="439"/>
      <c r="AD34" s="440"/>
    </row>
    <row r="35" spans="3:33">
      <c r="C35" s="423"/>
      <c r="Q35" s="421" t="s">
        <v>1603</v>
      </c>
      <c r="W35" s="441"/>
      <c r="X35" s="442"/>
      <c r="Y35" s="435"/>
      <c r="Z35" s="436"/>
      <c r="AA35" s="634"/>
      <c r="AB35" s="635"/>
      <c r="AC35" s="439"/>
      <c r="AD35" s="440"/>
    </row>
    <row r="36" spans="3:33">
      <c r="C36" s="423"/>
      <c r="W36" s="441"/>
      <c r="X36" s="442"/>
      <c r="Y36" s="435"/>
      <c r="Z36" s="436"/>
      <c r="AA36" s="634"/>
      <c r="AB36" s="635"/>
      <c r="AC36" s="439"/>
      <c r="AD36" s="440"/>
    </row>
    <row r="37" spans="3:33">
      <c r="C37" s="423"/>
      <c r="I37" s="431"/>
      <c r="W37" s="441"/>
      <c r="X37" s="442"/>
      <c r="Y37" s="435"/>
      <c r="Z37" s="435"/>
      <c r="AA37" s="634"/>
      <c r="AB37" s="635"/>
      <c r="AC37" s="439"/>
      <c r="AD37" s="440"/>
    </row>
    <row r="38" spans="3:33" ht="12.75" customHeight="1">
      <c r="C38" s="423"/>
      <c r="W38" s="441"/>
      <c r="X38" s="442"/>
      <c r="Y38" s="435"/>
      <c r="Z38" s="436"/>
      <c r="AA38" s="634"/>
      <c r="AB38" s="635"/>
      <c r="AC38" s="439"/>
      <c r="AD38" s="445"/>
    </row>
    <row r="39" spans="3:33" ht="12.75" customHeight="1">
      <c r="C39" s="423"/>
      <c r="W39" s="659" t="s">
        <v>1627</v>
      </c>
      <c r="X39" s="660"/>
      <c r="Y39" s="660"/>
      <c r="Z39" s="661"/>
      <c r="AA39" s="647"/>
      <c r="AB39" s="648"/>
      <c r="AC39" s="439"/>
      <c r="AD39" s="445"/>
    </row>
    <row r="40" spans="3:33" ht="12" customHeight="1">
      <c r="C40" s="423"/>
      <c r="W40" s="441"/>
      <c r="X40" s="442"/>
      <c r="Y40" s="435"/>
      <c r="Z40" s="436"/>
      <c r="AA40" s="649"/>
      <c r="AB40" s="650"/>
      <c r="AC40" s="439"/>
      <c r="AD40" s="445"/>
      <c r="AG40" s="452"/>
    </row>
    <row r="41" spans="3:33" ht="12" customHeight="1">
      <c r="C41" s="423"/>
      <c r="W41" s="441"/>
      <c r="X41" s="442"/>
      <c r="Y41" s="435"/>
      <c r="Z41" s="436"/>
      <c r="AA41" s="649"/>
      <c r="AB41" s="650"/>
      <c r="AC41" s="446"/>
      <c r="AD41" s="447"/>
    </row>
    <row r="42" spans="3:33" ht="12" customHeight="1">
      <c r="C42" s="423"/>
      <c r="W42" s="441"/>
      <c r="X42" s="442"/>
      <c r="Y42" s="435"/>
      <c r="Z42" s="436"/>
      <c r="AA42" s="649"/>
      <c r="AB42" s="650"/>
      <c r="AC42" s="446"/>
      <c r="AD42" s="447"/>
    </row>
    <row r="43" spans="3:33" ht="12" customHeight="1">
      <c r="C43" s="423"/>
      <c r="W43" s="441"/>
      <c r="X43" s="444"/>
      <c r="Y43" s="435"/>
      <c r="Z43" s="436"/>
      <c r="AA43" s="649"/>
      <c r="AB43" s="650"/>
      <c r="AC43" s="446"/>
      <c r="AD43" s="447"/>
    </row>
    <row r="44" spans="3:33" ht="12" customHeight="1">
      <c r="C44" s="423"/>
      <c r="V44" s="448"/>
      <c r="W44" s="653" t="s">
        <v>1611</v>
      </c>
      <c r="X44" s="654"/>
      <c r="Y44" s="654"/>
      <c r="Z44" s="654"/>
      <c r="AA44" s="654"/>
      <c r="AB44" s="654"/>
      <c r="AC44" s="654"/>
      <c r="AD44" s="655"/>
    </row>
    <row r="45" spans="3:33">
      <c r="C45" s="449"/>
      <c r="D45" s="450"/>
      <c r="E45" s="450"/>
      <c r="F45" s="450"/>
      <c r="G45" s="450"/>
      <c r="H45" s="450"/>
      <c r="I45" s="450"/>
      <c r="N45" s="450"/>
      <c r="O45" s="450"/>
      <c r="P45" s="450"/>
      <c r="Q45" s="450"/>
      <c r="R45" s="450"/>
      <c r="S45" s="450"/>
      <c r="T45" s="450"/>
      <c r="U45" s="450"/>
      <c r="V45" s="448"/>
      <c r="W45" s="656"/>
      <c r="X45" s="657"/>
      <c r="Y45" s="657"/>
      <c r="Z45" s="657"/>
      <c r="AA45" s="657"/>
      <c r="AB45" s="657"/>
      <c r="AC45" s="657"/>
      <c r="AD45" s="658"/>
    </row>
    <row r="46" spans="3:33">
      <c r="C46" s="449"/>
      <c r="D46" s="450"/>
      <c r="E46" s="450"/>
      <c r="F46" s="450"/>
      <c r="G46" s="450"/>
      <c r="H46" s="450"/>
      <c r="I46" s="450"/>
      <c r="N46" s="450"/>
      <c r="O46" s="450"/>
      <c r="P46" s="450"/>
      <c r="Q46" s="450"/>
      <c r="R46" s="450"/>
      <c r="S46" s="450"/>
      <c r="T46" s="450"/>
      <c r="U46" s="450"/>
      <c r="V46" s="448"/>
      <c r="W46" s="651" t="s">
        <v>11</v>
      </c>
      <c r="X46" s="652"/>
      <c r="Y46" s="632"/>
      <c r="Z46" s="632"/>
      <c r="AA46" s="632"/>
      <c r="AB46" s="632"/>
      <c r="AC46" s="632"/>
      <c r="AD46" s="633"/>
    </row>
    <row r="47" spans="3:33">
      <c r="C47" s="449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450"/>
      <c r="T47" s="450"/>
      <c r="U47" s="450"/>
      <c r="V47" s="448"/>
      <c r="W47" s="651" t="s">
        <v>984</v>
      </c>
      <c r="X47" s="652"/>
      <c r="Y47" s="632">
        <v>1</v>
      </c>
      <c r="Z47" s="632"/>
      <c r="AA47" s="632"/>
      <c r="AB47" s="632" t="s">
        <v>12</v>
      </c>
      <c r="AC47" s="632"/>
      <c r="AD47" s="428" t="s">
        <v>13</v>
      </c>
    </row>
    <row r="48" spans="3:33">
      <c r="C48" s="449"/>
      <c r="D48" s="450"/>
      <c r="E48" s="450"/>
      <c r="F48" s="450"/>
      <c r="G48" s="450"/>
      <c r="H48" s="450"/>
      <c r="I48" s="450"/>
      <c r="J48" s="450"/>
      <c r="K48" s="450"/>
      <c r="L48" s="450"/>
      <c r="M48" s="450"/>
      <c r="N48" s="450"/>
      <c r="O48" s="450"/>
      <c r="P48" s="450"/>
      <c r="Q48" s="450"/>
      <c r="R48" s="450"/>
      <c r="S48" s="450"/>
      <c r="T48" s="450"/>
      <c r="U48" s="450"/>
      <c r="V48" s="448"/>
      <c r="W48" s="651" t="s">
        <v>15</v>
      </c>
      <c r="X48" s="652"/>
      <c r="Y48" s="668"/>
      <c r="Z48" s="668"/>
      <c r="AA48" s="668"/>
      <c r="AB48" s="632" t="s">
        <v>16</v>
      </c>
      <c r="AC48" s="632"/>
      <c r="AD48" s="451"/>
    </row>
    <row r="49" spans="3:30" ht="12.75" customHeight="1">
      <c r="C49" s="449"/>
      <c r="D49" s="450"/>
      <c r="E49" s="450"/>
      <c r="F49" s="450"/>
      <c r="G49" s="450"/>
      <c r="H49" s="450"/>
      <c r="I49" s="450"/>
      <c r="J49" s="450"/>
      <c r="K49" s="450"/>
      <c r="L49" s="450"/>
      <c r="M49" s="450"/>
      <c r="R49" s="450"/>
      <c r="S49" s="450"/>
      <c r="T49" s="450"/>
      <c r="U49" s="450"/>
      <c r="V49" s="448"/>
      <c r="W49" s="669" t="s">
        <v>17</v>
      </c>
      <c r="X49" s="669"/>
      <c r="Y49" s="669"/>
      <c r="Z49" s="669"/>
      <c r="AA49" s="669"/>
      <c r="AB49" s="669"/>
      <c r="AC49" s="669"/>
      <c r="AD49" s="670"/>
    </row>
    <row r="50" spans="3:30">
      <c r="C50" s="449"/>
      <c r="D50" s="452"/>
      <c r="E50" s="450"/>
      <c r="F50" s="450"/>
      <c r="G50" s="450"/>
      <c r="I50" s="450"/>
      <c r="J50" s="450"/>
      <c r="K50" s="450"/>
      <c r="L50" s="450"/>
      <c r="M50" s="450"/>
      <c r="R50" s="450"/>
      <c r="S50" s="450"/>
      <c r="T50" s="450"/>
      <c r="U50" s="450"/>
      <c r="V50" s="453"/>
      <c r="W50" s="671" t="str">
        <f>RAB!G6</f>
        <v>SAI APPAREL (525530130931)</v>
      </c>
      <c r="X50" s="671"/>
      <c r="Y50" s="671"/>
      <c r="Z50" s="671"/>
      <c r="AA50" s="671"/>
      <c r="AB50" s="671"/>
      <c r="AC50" s="671"/>
      <c r="AD50" s="672"/>
    </row>
    <row r="51" spans="3:30" ht="19.5" customHeight="1">
      <c r="C51" s="449"/>
      <c r="D51" s="454"/>
      <c r="E51" s="454"/>
      <c r="F51" s="454"/>
      <c r="G51" s="454"/>
      <c r="I51" s="450"/>
      <c r="J51" s="450"/>
      <c r="K51" s="450"/>
      <c r="L51" s="450"/>
      <c r="M51" s="450"/>
      <c r="N51" s="450"/>
      <c r="O51" s="450"/>
      <c r="P51" s="450"/>
      <c r="Q51" s="450"/>
      <c r="R51" s="450"/>
      <c r="S51" s="450"/>
      <c r="T51" s="450"/>
      <c r="U51" s="450"/>
      <c r="V51" s="453"/>
      <c r="W51" s="671"/>
      <c r="X51" s="671"/>
      <c r="Y51" s="671"/>
      <c r="Z51" s="671"/>
      <c r="AA51" s="671"/>
      <c r="AB51" s="671"/>
      <c r="AC51" s="671"/>
      <c r="AD51" s="672"/>
    </row>
    <row r="52" spans="3:30">
      <c r="C52" s="449"/>
      <c r="D52" s="455"/>
      <c r="E52" s="455"/>
      <c r="F52" s="455"/>
      <c r="G52" s="455"/>
      <c r="I52" s="450"/>
      <c r="J52" s="450"/>
      <c r="K52" s="450"/>
      <c r="L52" s="417"/>
      <c r="M52" s="450"/>
      <c r="N52" s="450"/>
      <c r="O52" s="450"/>
      <c r="P52" s="450"/>
      <c r="Q52" s="450"/>
      <c r="R52" s="450"/>
      <c r="S52" s="450"/>
      <c r="T52" s="450"/>
      <c r="U52" s="450"/>
      <c r="V52" s="448"/>
      <c r="W52" s="673"/>
      <c r="X52" s="673"/>
      <c r="Y52" s="673"/>
      <c r="Z52" s="673"/>
      <c r="AA52" s="673"/>
      <c r="AB52" s="673"/>
      <c r="AC52" s="673"/>
      <c r="AD52" s="674"/>
    </row>
    <row r="53" spans="3:30">
      <c r="C53" s="449"/>
      <c r="D53" s="454"/>
      <c r="E53" s="454"/>
      <c r="F53" s="454"/>
      <c r="G53" s="454"/>
      <c r="I53" s="450"/>
      <c r="J53" s="450"/>
      <c r="K53" s="450"/>
      <c r="L53" s="450"/>
      <c r="M53" s="450"/>
      <c r="N53" s="450"/>
      <c r="O53" s="450"/>
      <c r="P53" s="450"/>
      <c r="Q53" s="450"/>
      <c r="R53" s="450"/>
      <c r="S53" s="450"/>
      <c r="T53" s="450"/>
      <c r="V53" s="448"/>
      <c r="W53" s="667" t="s">
        <v>18</v>
      </c>
      <c r="X53" s="652"/>
      <c r="Y53" s="667" t="s">
        <v>1604</v>
      </c>
      <c r="Z53" s="651"/>
      <c r="AA53" s="652"/>
      <c r="AB53" s="632"/>
      <c r="AC53" s="632"/>
      <c r="AD53" s="633"/>
    </row>
    <row r="54" spans="3:30">
      <c r="C54" s="449"/>
      <c r="D54" s="454"/>
      <c r="E54" s="454"/>
      <c r="F54" s="454"/>
      <c r="G54" s="454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0"/>
      <c r="V54" s="448"/>
      <c r="W54" s="667" t="s">
        <v>19</v>
      </c>
      <c r="X54" s="652"/>
      <c r="Y54" s="667" t="s">
        <v>1605</v>
      </c>
      <c r="Z54" s="651"/>
      <c r="AA54" s="652"/>
      <c r="AB54" s="632"/>
      <c r="AC54" s="632"/>
      <c r="AD54" s="633"/>
    </row>
    <row r="55" spans="3:30">
      <c r="C55" s="449"/>
      <c r="D55" s="418"/>
      <c r="E55" s="418"/>
      <c r="F55" s="418"/>
      <c r="G55" s="418"/>
      <c r="I55" s="450"/>
      <c r="J55" s="450"/>
      <c r="K55" s="450"/>
      <c r="L55" s="450"/>
      <c r="M55" s="450"/>
      <c r="N55" s="450"/>
      <c r="O55" s="450"/>
      <c r="P55" s="450"/>
      <c r="Q55" s="450"/>
      <c r="R55" s="450"/>
      <c r="S55" s="450"/>
      <c r="T55" s="450"/>
      <c r="V55" s="448"/>
      <c r="W55" s="667" t="s">
        <v>20</v>
      </c>
      <c r="X55" s="652"/>
      <c r="Y55" s="667" t="s">
        <v>1605</v>
      </c>
      <c r="Z55" s="651"/>
      <c r="AA55" s="652"/>
      <c r="AB55" s="632"/>
      <c r="AC55" s="632"/>
      <c r="AD55" s="633"/>
    </row>
    <row r="56" spans="3:30" ht="12.5" thickBot="1">
      <c r="C56" s="456"/>
      <c r="D56" s="457"/>
      <c r="E56" s="457"/>
      <c r="F56" s="457"/>
      <c r="G56" s="457"/>
      <c r="H56" s="457"/>
      <c r="I56" s="457"/>
      <c r="J56" s="457"/>
      <c r="K56" s="457"/>
      <c r="L56" s="457"/>
      <c r="M56" s="457"/>
      <c r="N56" s="457"/>
      <c r="O56" s="457"/>
      <c r="P56" s="457"/>
      <c r="Q56" s="457"/>
      <c r="R56" s="457"/>
      <c r="S56" s="457"/>
      <c r="T56" s="457"/>
      <c r="U56" s="458"/>
      <c r="V56" s="459"/>
      <c r="W56" s="662" t="s">
        <v>21</v>
      </c>
      <c r="X56" s="663"/>
      <c r="Y56" s="662" t="s">
        <v>1606</v>
      </c>
      <c r="Z56" s="664"/>
      <c r="AA56" s="663"/>
      <c r="AB56" s="665"/>
      <c r="AC56" s="665"/>
      <c r="AD56" s="666"/>
    </row>
  </sheetData>
  <mergeCells count="85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W39:Z39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topLeftCell="C19" zoomScale="85" zoomScaleNormal="40" zoomScaleSheetLayoutView="85" workbookViewId="0">
      <selection activeCell="Z33" sqref="Z33"/>
    </sheetView>
  </sheetViews>
  <sheetFormatPr defaultColWidth="9.36328125" defaultRowHeight="13"/>
  <cols>
    <col min="1" max="1" width="1.6328125" style="460" customWidth="1"/>
    <col min="2" max="2" width="10.6328125" style="460" customWidth="1"/>
    <col min="3" max="3" width="2.54296875" style="460" customWidth="1"/>
    <col min="4" max="20" width="9.36328125" style="460"/>
    <col min="21" max="21" width="14.54296875" style="460" customWidth="1"/>
    <col min="22" max="22" width="3.08984375" style="460" customWidth="1"/>
    <col min="23" max="26" width="9.36328125" style="460"/>
    <col min="27" max="27" width="2.6328125" style="460" customWidth="1"/>
    <col min="28" max="30" width="4.6328125" style="460" customWidth="1"/>
    <col min="31" max="31" width="1.6328125" style="460" customWidth="1"/>
    <col min="32" max="16384" width="9.36328125" style="460"/>
  </cols>
  <sheetData>
    <row r="1" spans="2:31" ht="13.5" thickBot="1"/>
    <row r="2" spans="2:31" ht="13.5" thickBot="1">
      <c r="B2" s="461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  <c r="AE2" s="464"/>
    </row>
    <row r="3" spans="2:31" ht="12.75" customHeight="1" thickTop="1">
      <c r="B3" s="465"/>
      <c r="C3" s="675" t="str">
        <f>"PETA LOKASI "&amp;RAB!G6</f>
        <v>PETA LOKASI SAI APPAREL (525530130931)</v>
      </c>
      <c r="D3" s="676"/>
      <c r="E3" s="676"/>
      <c r="F3" s="676"/>
      <c r="G3" s="676"/>
      <c r="H3" s="676"/>
      <c r="I3" s="676"/>
      <c r="J3" s="676"/>
      <c r="K3" s="676"/>
      <c r="L3" s="676"/>
      <c r="M3" s="676"/>
      <c r="N3" s="676"/>
      <c r="O3" s="676"/>
      <c r="P3" s="676"/>
      <c r="Q3" s="676"/>
      <c r="R3" s="676"/>
      <c r="S3" s="676"/>
      <c r="T3" s="676"/>
      <c r="U3" s="676"/>
      <c r="V3" s="676"/>
      <c r="W3" s="676"/>
      <c r="X3" s="676"/>
      <c r="Y3" s="676"/>
      <c r="Z3" s="676"/>
      <c r="AA3" s="676"/>
      <c r="AB3" s="677"/>
      <c r="AC3" s="466"/>
      <c r="AD3" s="464"/>
      <c r="AE3" s="464"/>
    </row>
    <row r="4" spans="2:31" ht="13.5" customHeight="1" thickBot="1">
      <c r="B4" s="465"/>
      <c r="C4" s="678"/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80"/>
      <c r="AC4" s="466"/>
      <c r="AD4" s="464"/>
      <c r="AE4" s="464"/>
    </row>
    <row r="5" spans="2:31" ht="12.75" customHeight="1" thickTop="1">
      <c r="B5" s="465"/>
      <c r="C5" s="467"/>
      <c r="AD5" s="464"/>
      <c r="AE5" s="464"/>
    </row>
    <row r="6" spans="2:31" ht="12.75" customHeight="1">
      <c r="B6" s="465"/>
      <c r="Y6" s="468"/>
      <c r="Z6" s="468"/>
      <c r="AA6" s="468"/>
      <c r="AB6" s="469"/>
      <c r="AC6" s="469"/>
      <c r="AD6" s="464"/>
      <c r="AE6" s="464"/>
    </row>
    <row r="7" spans="2:31" ht="12.75" customHeight="1">
      <c r="B7" s="465"/>
      <c r="Y7" s="468"/>
      <c r="Z7" s="468"/>
      <c r="AA7" s="468"/>
      <c r="AB7" s="469"/>
      <c r="AC7" s="469"/>
      <c r="AD7" s="464"/>
      <c r="AE7" s="464"/>
    </row>
    <row r="8" spans="2:31" ht="12.75" customHeight="1">
      <c r="B8" s="465"/>
      <c r="AD8" s="464"/>
      <c r="AE8" s="464"/>
    </row>
    <row r="9" spans="2:31" ht="12.75" customHeight="1">
      <c r="B9" s="465"/>
      <c r="AD9" s="464"/>
      <c r="AE9" s="464"/>
    </row>
    <row r="10" spans="2:31">
      <c r="B10" s="465"/>
      <c r="AD10" s="464"/>
      <c r="AE10" s="464"/>
    </row>
    <row r="11" spans="2:31">
      <c r="B11" s="465"/>
      <c r="AD11" s="464"/>
      <c r="AE11" s="464"/>
    </row>
    <row r="12" spans="2:31">
      <c r="B12" s="465"/>
      <c r="AD12" s="464"/>
      <c r="AE12" s="464"/>
    </row>
    <row r="13" spans="2:31">
      <c r="B13" s="465"/>
      <c r="AD13" s="464"/>
      <c r="AE13" s="464"/>
    </row>
    <row r="14" spans="2:31">
      <c r="B14" s="465"/>
      <c r="D14" s="470"/>
      <c r="AD14" s="464"/>
      <c r="AE14" s="464"/>
    </row>
    <row r="15" spans="2:31">
      <c r="B15" s="465"/>
      <c r="AD15" s="464"/>
      <c r="AE15" s="464"/>
    </row>
    <row r="16" spans="2:31">
      <c r="B16" s="465"/>
      <c r="AD16" s="464"/>
      <c r="AE16" s="464"/>
    </row>
    <row r="17" spans="2:31">
      <c r="B17" s="465"/>
      <c r="AD17" s="464"/>
      <c r="AE17" s="464"/>
    </row>
    <row r="18" spans="2:31">
      <c r="B18" s="465"/>
      <c r="AD18" s="464"/>
      <c r="AE18" s="464"/>
    </row>
    <row r="19" spans="2:31">
      <c r="B19" s="465"/>
      <c r="AD19" s="464"/>
      <c r="AE19" s="464"/>
    </row>
    <row r="20" spans="2:31">
      <c r="B20" s="465"/>
      <c r="AD20" s="464"/>
      <c r="AE20" s="464"/>
    </row>
    <row r="21" spans="2:31">
      <c r="B21" s="465"/>
      <c r="AD21" s="464"/>
      <c r="AE21" s="464"/>
    </row>
    <row r="22" spans="2:31">
      <c r="B22" s="465"/>
      <c r="AD22" s="464"/>
      <c r="AE22" s="464"/>
    </row>
    <row r="23" spans="2:31">
      <c r="B23" s="465"/>
      <c r="AD23" s="464"/>
      <c r="AE23" s="464"/>
    </row>
    <row r="24" spans="2:31">
      <c r="B24" s="465"/>
      <c r="AD24" s="464"/>
      <c r="AE24" s="464"/>
    </row>
    <row r="25" spans="2:31">
      <c r="B25" s="465"/>
      <c r="AD25" s="464"/>
      <c r="AE25" s="464"/>
    </row>
    <row r="26" spans="2:31">
      <c r="B26" s="465"/>
      <c r="AD26" s="464"/>
      <c r="AE26" s="464"/>
    </row>
    <row r="27" spans="2:31">
      <c r="B27" s="465"/>
      <c r="AD27" s="464"/>
      <c r="AE27" s="464"/>
    </row>
    <row r="28" spans="2:31">
      <c r="B28" s="465"/>
      <c r="AD28" s="464"/>
      <c r="AE28" s="464"/>
    </row>
    <row r="29" spans="2:31">
      <c r="B29" s="465"/>
      <c r="AD29" s="464"/>
      <c r="AE29" s="464"/>
    </row>
    <row r="30" spans="2:31">
      <c r="B30" s="465"/>
      <c r="AD30" s="464"/>
      <c r="AE30" s="464"/>
    </row>
    <row r="31" spans="2:31">
      <c r="B31" s="465"/>
      <c r="AD31" s="464"/>
      <c r="AE31" s="464"/>
    </row>
    <row r="32" spans="2:31">
      <c r="B32" s="465"/>
      <c r="AD32" s="464"/>
      <c r="AE32" s="464"/>
    </row>
    <row r="33" spans="2:31">
      <c r="B33" s="465"/>
      <c r="AD33" s="464"/>
      <c r="AE33" s="464"/>
    </row>
    <row r="34" spans="2:31">
      <c r="B34" s="465"/>
      <c r="AD34" s="464"/>
      <c r="AE34" s="464"/>
    </row>
    <row r="35" spans="2:31">
      <c r="B35" s="465"/>
      <c r="AD35" s="464"/>
      <c r="AE35" s="464"/>
    </row>
    <row r="36" spans="2:31">
      <c r="B36" s="465"/>
      <c r="AD36" s="464"/>
      <c r="AE36" s="464"/>
    </row>
    <row r="37" spans="2:31">
      <c r="B37" s="465"/>
      <c r="AD37" s="464"/>
      <c r="AE37" s="464"/>
    </row>
    <row r="38" spans="2:31">
      <c r="B38" s="465"/>
      <c r="AD38" s="464"/>
      <c r="AE38" s="464"/>
    </row>
    <row r="39" spans="2:31">
      <c r="B39" s="465"/>
      <c r="AD39" s="464"/>
      <c r="AE39" s="464"/>
    </row>
    <row r="40" spans="2:31">
      <c r="B40" s="465"/>
      <c r="AD40" s="464"/>
      <c r="AE40" s="464"/>
    </row>
    <row r="41" spans="2:31">
      <c r="B41" s="465"/>
      <c r="AD41" s="464"/>
      <c r="AE41" s="464"/>
    </row>
    <row r="42" spans="2:31">
      <c r="B42" s="465"/>
      <c r="AD42" s="464"/>
      <c r="AE42" s="464"/>
    </row>
    <row r="43" spans="2:31">
      <c r="B43" s="465"/>
      <c r="AD43" s="464"/>
      <c r="AE43" s="464"/>
    </row>
    <row r="44" spans="2:31">
      <c r="B44" s="465"/>
      <c r="AD44" s="464"/>
      <c r="AE44" s="464"/>
    </row>
    <row r="45" spans="2:31">
      <c r="B45" s="465"/>
      <c r="AD45" s="464"/>
      <c r="AE45" s="464"/>
    </row>
    <row r="46" spans="2:31">
      <c r="B46" s="465"/>
      <c r="AD46" s="464"/>
      <c r="AE46" s="464"/>
    </row>
    <row r="47" spans="2:31">
      <c r="B47" s="465"/>
      <c r="AD47" s="464"/>
      <c r="AE47" s="464"/>
    </row>
    <row r="48" spans="2:31">
      <c r="B48" s="465"/>
      <c r="AD48" s="464"/>
      <c r="AE48" s="464"/>
    </row>
    <row r="49" spans="2:31">
      <c r="B49" s="465"/>
      <c r="AD49" s="464"/>
      <c r="AE49" s="464"/>
    </row>
    <row r="50" spans="2:31">
      <c r="B50" s="465"/>
      <c r="AD50" s="464"/>
      <c r="AE50" s="464"/>
    </row>
    <row r="51" spans="2:31">
      <c r="B51" s="465"/>
      <c r="AD51" s="464"/>
      <c r="AE51" s="464"/>
    </row>
    <row r="52" spans="2:31">
      <c r="B52" s="465"/>
      <c r="AD52" s="464"/>
      <c r="AE52" s="464"/>
    </row>
    <row r="53" spans="2:31">
      <c r="B53" s="465"/>
      <c r="AD53" s="464"/>
      <c r="AE53" s="464"/>
    </row>
    <row r="54" spans="2:31">
      <c r="B54" s="465"/>
      <c r="AD54" s="464"/>
      <c r="AE54" s="464"/>
    </row>
    <row r="55" spans="2:31">
      <c r="B55" s="465"/>
      <c r="AD55" s="464"/>
      <c r="AE55" s="464"/>
    </row>
    <row r="56" spans="2:31">
      <c r="B56" s="465"/>
      <c r="R56" s="471"/>
      <c r="S56" s="471"/>
      <c r="T56" s="471"/>
      <c r="U56" s="472"/>
      <c r="V56" s="472"/>
      <c r="W56" s="472"/>
      <c r="X56" s="472"/>
      <c r="Y56" s="472"/>
      <c r="Z56" s="472"/>
      <c r="AA56" s="472"/>
      <c r="AB56" s="472"/>
      <c r="AC56" s="472"/>
      <c r="AD56" s="473"/>
      <c r="AE56" s="464"/>
    </row>
    <row r="57" spans="2:31">
      <c r="B57" s="465"/>
      <c r="R57" s="474"/>
      <c r="S57" s="471"/>
      <c r="T57" s="471"/>
      <c r="U57" s="472"/>
      <c r="V57" s="475"/>
      <c r="W57" s="472"/>
      <c r="X57" s="472"/>
      <c r="Y57" s="472"/>
      <c r="Z57" s="472"/>
      <c r="AA57" s="475"/>
      <c r="AB57" s="475"/>
      <c r="AC57" s="475"/>
      <c r="AD57" s="476"/>
      <c r="AE57" s="464"/>
    </row>
    <row r="58" spans="2:31">
      <c r="B58" s="465"/>
      <c r="U58" s="472"/>
      <c r="V58" s="475"/>
      <c r="W58" s="472"/>
      <c r="X58" s="472"/>
      <c r="Y58" s="472"/>
      <c r="Z58" s="472"/>
      <c r="AA58" s="475"/>
      <c r="AB58" s="472"/>
      <c r="AC58" s="472"/>
      <c r="AD58" s="473"/>
      <c r="AE58" s="464"/>
    </row>
    <row r="59" spans="2:31">
      <c r="B59" s="465"/>
      <c r="U59" s="472"/>
      <c r="V59" s="475"/>
      <c r="W59" s="472"/>
      <c r="X59" s="472"/>
      <c r="Y59" s="472"/>
      <c r="Z59" s="472"/>
      <c r="AA59" s="472"/>
      <c r="AB59" s="472"/>
      <c r="AC59" s="472"/>
      <c r="AD59" s="473"/>
      <c r="AE59" s="464"/>
    </row>
    <row r="60" spans="2:31">
      <c r="B60" s="465"/>
      <c r="U60" s="472"/>
      <c r="V60" s="475"/>
      <c r="W60" s="472"/>
      <c r="X60" s="472"/>
      <c r="Y60" s="472"/>
      <c r="Z60" s="472"/>
      <c r="AA60" s="472"/>
      <c r="AB60" s="472"/>
      <c r="AC60" s="472"/>
      <c r="AD60" s="473"/>
      <c r="AE60" s="464"/>
    </row>
    <row r="61" spans="2:31">
      <c r="B61" s="465"/>
      <c r="U61" s="472"/>
      <c r="V61" s="475"/>
      <c r="W61" s="472"/>
      <c r="X61" s="472"/>
      <c r="Y61" s="472"/>
      <c r="Z61" s="472"/>
      <c r="AA61" s="472"/>
      <c r="AB61" s="472"/>
      <c r="AC61" s="472"/>
      <c r="AD61" s="473"/>
      <c r="AE61" s="464"/>
    </row>
    <row r="62" spans="2:31">
      <c r="B62" s="465"/>
      <c r="U62" s="472"/>
      <c r="V62" s="475"/>
      <c r="W62" s="472"/>
      <c r="X62" s="472"/>
      <c r="Y62" s="472"/>
      <c r="Z62" s="472"/>
      <c r="AA62" s="475"/>
      <c r="AB62" s="472"/>
      <c r="AC62" s="472"/>
      <c r="AD62" s="473"/>
      <c r="AE62" s="464"/>
    </row>
    <row r="63" spans="2:31">
      <c r="B63" s="465"/>
      <c r="U63" s="472"/>
      <c r="V63" s="475"/>
      <c r="W63" s="472"/>
      <c r="X63" s="472"/>
      <c r="Y63" s="472"/>
      <c r="Z63" s="472"/>
      <c r="AA63" s="472"/>
      <c r="AB63" s="472"/>
      <c r="AC63" s="472"/>
      <c r="AD63" s="473"/>
      <c r="AE63" s="464"/>
    </row>
    <row r="64" spans="2:31">
      <c r="B64" s="465"/>
      <c r="U64" s="472"/>
      <c r="V64" s="475"/>
      <c r="W64" s="472"/>
      <c r="X64" s="472"/>
      <c r="Y64" s="472"/>
      <c r="Z64" s="472"/>
      <c r="AA64" s="472"/>
      <c r="AB64" s="472"/>
      <c r="AC64" s="472"/>
      <c r="AD64" s="473"/>
      <c r="AE64" s="464"/>
    </row>
    <row r="65" spans="2:31">
      <c r="B65" s="465"/>
      <c r="U65" s="472"/>
      <c r="V65" s="475"/>
      <c r="W65" s="472"/>
      <c r="X65" s="472"/>
      <c r="Y65" s="472"/>
      <c r="Z65" s="472"/>
      <c r="AA65" s="472"/>
      <c r="AB65" s="472"/>
      <c r="AC65" s="472"/>
      <c r="AD65" s="473"/>
      <c r="AE65" s="464"/>
    </row>
    <row r="66" spans="2:31">
      <c r="B66" s="465"/>
      <c r="U66" s="472"/>
      <c r="V66" s="475"/>
      <c r="W66" s="472"/>
      <c r="X66" s="472"/>
      <c r="Y66" s="472"/>
      <c r="Z66" s="472"/>
      <c r="AA66" s="472"/>
      <c r="AB66" s="472"/>
      <c r="AC66" s="472"/>
      <c r="AD66" s="473"/>
      <c r="AE66" s="464"/>
    </row>
    <row r="67" spans="2:31" ht="13.5" thickBot="1">
      <c r="B67" s="477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478"/>
      <c r="N67" s="478"/>
      <c r="O67" s="478"/>
      <c r="P67" s="478"/>
      <c r="Q67" s="478"/>
      <c r="R67" s="478"/>
      <c r="S67" s="478"/>
      <c r="T67" s="478"/>
      <c r="U67" s="479"/>
      <c r="V67" s="480"/>
      <c r="W67" s="479"/>
      <c r="X67" s="479"/>
      <c r="Y67" s="479"/>
      <c r="Z67" s="479"/>
      <c r="AA67" s="479"/>
      <c r="AB67" s="479"/>
      <c r="AC67" s="479"/>
      <c r="AD67" s="481"/>
      <c r="AE67" s="464"/>
    </row>
    <row r="68" spans="2:31" ht="6" customHeight="1" thickBot="1">
      <c r="B68" s="478"/>
      <c r="C68" s="478"/>
      <c r="D68" s="478"/>
      <c r="E68" s="478"/>
      <c r="F68" s="478"/>
      <c r="G68" s="478"/>
      <c r="H68" s="478"/>
      <c r="I68" s="478"/>
      <c r="J68" s="478"/>
      <c r="K68" s="478"/>
      <c r="L68" s="478"/>
      <c r="M68" s="478"/>
      <c r="N68" s="478"/>
      <c r="O68" s="478"/>
      <c r="P68" s="478"/>
      <c r="Q68" s="478"/>
      <c r="R68" s="478"/>
      <c r="S68" s="478"/>
      <c r="T68" s="478"/>
      <c r="U68" s="478"/>
      <c r="V68" s="478"/>
      <c r="W68" s="478"/>
      <c r="X68" s="478"/>
      <c r="Y68" s="478"/>
      <c r="Z68" s="478"/>
      <c r="AA68" s="478"/>
      <c r="AB68" s="478"/>
      <c r="AC68" s="478"/>
      <c r="AD68" s="478"/>
      <c r="AE68" s="482"/>
    </row>
    <row r="75" spans="2:31">
      <c r="M75" s="483"/>
    </row>
    <row r="76" spans="2:31" ht="15" customHeight="1">
      <c r="E76" s="484"/>
      <c r="M76" s="483"/>
    </row>
    <row r="77" spans="2:31" ht="15" customHeight="1">
      <c r="E77" s="484"/>
      <c r="M77" s="483"/>
    </row>
    <row r="78" spans="2:31" ht="15" customHeight="1">
      <c r="E78" s="484"/>
      <c r="M78" s="483"/>
    </row>
    <row r="79" spans="2:31" ht="15" customHeight="1">
      <c r="E79" s="484"/>
      <c r="M79" s="483"/>
    </row>
    <row r="80" spans="2:31" ht="15" customHeight="1">
      <c r="E80" s="484"/>
      <c r="M80" s="483"/>
    </row>
    <row r="81" spans="5:13" ht="15" customHeight="1">
      <c r="E81" s="484"/>
      <c r="M81" s="483"/>
    </row>
    <row r="82" spans="5:13" ht="15" customHeight="1">
      <c r="E82" s="484"/>
      <c r="M82" s="483"/>
    </row>
    <row r="83" spans="5:13" ht="15" customHeight="1">
      <c r="E83" s="484"/>
      <c r="M83" s="483"/>
    </row>
    <row r="84" spans="5:13" ht="15" customHeight="1">
      <c r="E84" s="484"/>
      <c r="M84" s="483"/>
    </row>
    <row r="85" spans="5:13" ht="15" customHeight="1">
      <c r="E85" s="484"/>
      <c r="M85" s="483"/>
    </row>
    <row r="86" spans="5:13" ht="15" customHeight="1">
      <c r="E86" s="484"/>
      <c r="M86" s="483"/>
    </row>
    <row r="87" spans="5:13" ht="15" customHeight="1">
      <c r="E87" s="484"/>
      <c r="M87" s="483"/>
    </row>
    <row r="88" spans="5:13" ht="15" customHeight="1">
      <c r="E88" s="484"/>
      <c r="M88" s="483"/>
    </row>
    <row r="89" spans="5:13" ht="15" customHeight="1">
      <c r="E89" s="484"/>
      <c r="M89" s="483"/>
    </row>
    <row r="90" spans="5:13" ht="15" customHeight="1">
      <c r="E90" s="484"/>
      <c r="M90" s="483"/>
    </row>
    <row r="91" spans="5:13" ht="15" customHeight="1">
      <c r="E91" s="484"/>
      <c r="M91" s="483"/>
    </row>
    <row r="92" spans="5:13" ht="15" customHeight="1">
      <c r="E92" s="484"/>
      <c r="M92" s="483"/>
    </row>
    <row r="93" spans="5:13" ht="15" customHeight="1">
      <c r="E93" s="484"/>
      <c r="M93" s="483"/>
    </row>
    <row r="94" spans="5:13" ht="15" customHeight="1">
      <c r="E94" s="484"/>
      <c r="M94" s="483"/>
    </row>
    <row r="95" spans="5:13" ht="15" customHeight="1">
      <c r="E95" s="484"/>
      <c r="M95" s="483"/>
    </row>
    <row r="96" spans="5:13" ht="15" customHeight="1">
      <c r="E96" s="484"/>
      <c r="M96" s="483"/>
    </row>
    <row r="97" spans="5:13" ht="15" customHeight="1">
      <c r="E97" s="484"/>
      <c r="M97" s="483"/>
    </row>
    <row r="98" spans="5:13" ht="15" customHeight="1">
      <c r="E98" s="484"/>
    </row>
    <row r="99" spans="5:13" ht="15" customHeight="1">
      <c r="E99" s="484"/>
    </row>
    <row r="100" spans="5:13" ht="15" customHeight="1">
      <c r="E100" s="484"/>
    </row>
    <row r="101" spans="5:13" ht="15" customHeight="1">
      <c r="E101" s="484"/>
    </row>
    <row r="102" spans="5:13" ht="15" customHeight="1">
      <c r="E102" s="484"/>
    </row>
    <row r="103" spans="5:13" ht="15" customHeight="1">
      <c r="E103" s="484"/>
    </row>
    <row r="104" spans="5:13" ht="15" customHeight="1">
      <c r="E104" s="484"/>
    </row>
    <row r="105" spans="5:13" ht="15" customHeight="1">
      <c r="E105" s="484"/>
    </row>
    <row r="106" spans="5:13" ht="15" customHeight="1">
      <c r="E106" s="484"/>
    </row>
    <row r="107" spans="5:13" ht="15" customHeight="1">
      <c r="E107" s="484"/>
    </row>
    <row r="108" spans="5:13" ht="15" customHeight="1">
      <c r="E108" s="484"/>
    </row>
    <row r="109" spans="5:13" ht="15" customHeight="1">
      <c r="E109" s="484"/>
    </row>
    <row r="110" spans="5:13" ht="15" customHeight="1">
      <c r="E110" s="484"/>
    </row>
    <row r="111" spans="5:13" ht="15" customHeight="1">
      <c r="E111" s="484"/>
    </row>
    <row r="112" spans="5:13" ht="15" customHeight="1">
      <c r="E112" s="484"/>
    </row>
    <row r="113" spans="5:5" ht="15" customHeight="1">
      <c r="E113" s="484"/>
    </row>
    <row r="114" spans="5:5" ht="15" customHeight="1">
      <c r="E114" s="484"/>
    </row>
    <row r="115" spans="5:5" ht="15" customHeight="1">
      <c r="E115" s="484"/>
    </row>
    <row r="116" spans="5:5" ht="15" customHeight="1">
      <c r="E116" s="484"/>
    </row>
    <row r="117" spans="5:5" ht="15" customHeight="1">
      <c r="E117" s="484"/>
    </row>
    <row r="118" spans="5:5" ht="15" customHeight="1">
      <c r="E118" s="484"/>
    </row>
    <row r="119" spans="5:5" ht="15" customHeight="1">
      <c r="E119" s="484"/>
    </row>
    <row r="120" spans="5:5" ht="15" customHeight="1">
      <c r="E120" s="484"/>
    </row>
    <row r="121" spans="5:5" ht="15" customHeight="1">
      <c r="E121" s="484"/>
    </row>
    <row r="122" spans="5:5">
      <c r="E122" s="484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6328125" defaultRowHeight="13"/>
  <cols>
    <col min="1" max="2" width="1.6328125" style="200" customWidth="1"/>
    <col min="3" max="3" width="10.6328125" style="200" customWidth="1"/>
    <col min="4" max="4" width="2.54296875" style="200" customWidth="1"/>
    <col min="5" max="21" width="9.36328125" style="200"/>
    <col min="22" max="22" width="14.54296875" style="200" customWidth="1"/>
    <col min="23" max="23" width="3.08984375" style="200" customWidth="1"/>
    <col min="24" max="27" width="9.36328125" style="200"/>
    <col min="28" max="28" width="2.6328125" style="200" customWidth="1"/>
    <col min="29" max="31" width="4.6328125" style="200" customWidth="1"/>
    <col min="32" max="32" width="1.6328125" style="200" customWidth="1"/>
    <col min="33" max="16384" width="9.363281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1" t="s">
        <v>1626</v>
      </c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3"/>
      <c r="AD4" s="206"/>
      <c r="AE4" s="205"/>
      <c r="AF4" s="205"/>
    </row>
    <row r="5" spans="2:32" ht="13.5" customHeight="1" thickBot="1">
      <c r="B5" s="204"/>
      <c r="C5" s="204"/>
      <c r="D5" s="684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19"/>
    </row>
    <row r="76" spans="2:32" ht="15" customHeight="1">
      <c r="F76" s="420"/>
      <c r="N76" s="419"/>
    </row>
    <row r="77" spans="2:32" ht="15" customHeight="1">
      <c r="F77" s="420"/>
      <c r="N77" s="419"/>
    </row>
    <row r="78" spans="2:32" ht="15" customHeight="1">
      <c r="F78" s="420"/>
      <c r="N78" s="419"/>
    </row>
    <row r="79" spans="2:32" ht="15" customHeight="1">
      <c r="F79" s="420"/>
      <c r="N79" s="419"/>
    </row>
    <row r="80" spans="2:32" ht="15" customHeight="1">
      <c r="F80" s="420"/>
      <c r="N80" s="419"/>
    </row>
    <row r="81" spans="6:14" ht="15" customHeight="1">
      <c r="F81" s="420"/>
      <c r="N81" s="419"/>
    </row>
    <row r="82" spans="6:14" ht="15" customHeight="1">
      <c r="F82" s="420"/>
      <c r="N82" s="419"/>
    </row>
    <row r="83" spans="6:14" ht="15" customHeight="1">
      <c r="F83" s="420"/>
      <c r="N83" s="419"/>
    </row>
    <row r="84" spans="6:14" ht="15" customHeight="1">
      <c r="F84" s="420"/>
      <c r="N84" s="419"/>
    </row>
    <row r="85" spans="6:14" ht="15" customHeight="1">
      <c r="F85" s="420"/>
      <c r="N85" s="419"/>
    </row>
    <row r="86" spans="6:14" ht="15" customHeight="1">
      <c r="F86" s="420"/>
      <c r="N86" s="419"/>
    </row>
    <row r="87" spans="6:14" ht="15" customHeight="1">
      <c r="F87" s="420"/>
      <c r="N87" s="419"/>
    </row>
    <row r="88" spans="6:14" ht="15" customHeight="1">
      <c r="F88" s="420"/>
      <c r="N88" s="419"/>
    </row>
    <row r="89" spans="6:14" ht="15" customHeight="1">
      <c r="F89" s="420"/>
      <c r="N89" s="419"/>
    </row>
    <row r="90" spans="6:14" ht="15" customHeight="1">
      <c r="F90" s="420"/>
      <c r="N90" s="419"/>
    </row>
    <row r="91" spans="6:14" ht="15" customHeight="1">
      <c r="F91" s="420"/>
      <c r="N91" s="419"/>
    </row>
    <row r="92" spans="6:14" ht="15" customHeight="1">
      <c r="F92" s="420"/>
      <c r="N92" s="419"/>
    </row>
    <row r="93" spans="6:14" ht="15" customHeight="1">
      <c r="F93" s="420"/>
      <c r="N93" s="419"/>
    </row>
    <row r="94" spans="6:14" ht="15" customHeight="1">
      <c r="F94" s="420"/>
      <c r="N94" s="419"/>
    </row>
    <row r="95" spans="6:14" ht="15" customHeight="1">
      <c r="F95" s="420"/>
      <c r="N95" s="419"/>
    </row>
    <row r="96" spans="6:14" ht="15" customHeight="1">
      <c r="F96" s="420"/>
      <c r="N96" s="419"/>
    </row>
    <row r="97" spans="6:14" ht="15" customHeight="1">
      <c r="F97" s="420"/>
      <c r="N97" s="419"/>
    </row>
    <row r="98" spans="6:14" ht="15" customHeight="1">
      <c r="F98" s="420"/>
    </row>
    <row r="99" spans="6:14" ht="15" customHeight="1">
      <c r="F99" s="420"/>
    </row>
    <row r="100" spans="6:14" ht="15" customHeight="1">
      <c r="F100" s="420"/>
    </row>
    <row r="101" spans="6:14" ht="15" customHeight="1">
      <c r="F101" s="420"/>
    </row>
    <row r="102" spans="6:14" ht="15" customHeight="1">
      <c r="F102" s="420"/>
    </row>
    <row r="103" spans="6:14" ht="15" customHeight="1">
      <c r="F103" s="420"/>
    </row>
    <row r="104" spans="6:14" ht="15" customHeight="1">
      <c r="F104" s="420"/>
    </row>
    <row r="105" spans="6:14" ht="15" customHeight="1">
      <c r="F105" s="420"/>
    </row>
    <row r="106" spans="6:14" ht="15" customHeight="1">
      <c r="F106" s="420"/>
    </row>
    <row r="107" spans="6:14" ht="15" customHeight="1">
      <c r="F107" s="420"/>
    </row>
    <row r="108" spans="6:14" ht="15" customHeight="1">
      <c r="F108" s="420"/>
    </row>
    <row r="109" spans="6:14" ht="15" customHeight="1">
      <c r="F109" s="420"/>
    </row>
    <row r="110" spans="6:14" ht="15" customHeight="1">
      <c r="F110" s="420"/>
    </row>
    <row r="111" spans="6:14" ht="15" customHeight="1">
      <c r="F111" s="420"/>
    </row>
    <row r="112" spans="6:14" ht="15" customHeight="1">
      <c r="F112" s="420"/>
    </row>
    <row r="113" spans="6:6" ht="15" customHeight="1">
      <c r="F113" s="420"/>
    </row>
    <row r="114" spans="6:6" ht="15" customHeight="1">
      <c r="F114" s="420"/>
    </row>
    <row r="115" spans="6:6" ht="15" customHeight="1">
      <c r="F115" s="420"/>
    </row>
    <row r="116" spans="6:6" ht="15" customHeight="1">
      <c r="F116" s="420"/>
    </row>
    <row r="117" spans="6:6" ht="15" customHeight="1">
      <c r="F117" s="420"/>
    </row>
    <row r="118" spans="6:6" ht="15" customHeight="1">
      <c r="F118" s="420"/>
    </row>
    <row r="119" spans="6:6" ht="15" customHeight="1">
      <c r="F119" s="420"/>
    </row>
    <row r="120" spans="6:6" ht="15" customHeight="1">
      <c r="F120" s="420"/>
    </row>
    <row r="121" spans="6:6" ht="15" customHeight="1">
      <c r="F121" s="420"/>
    </row>
    <row r="122" spans="6:6">
      <c r="F122" s="42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85">
        <v>1</v>
      </c>
    </row>
    <row r="2" spans="1:11" ht="48" customHeight="1">
      <c r="A2" s="385">
        <v>3</v>
      </c>
    </row>
    <row r="4" spans="1:11" ht="48" customHeight="1">
      <c r="C4" s="385">
        <v>1</v>
      </c>
    </row>
    <row r="5" spans="1:11" ht="48" customHeight="1">
      <c r="C5" s="385">
        <v>3</v>
      </c>
    </row>
    <row r="7" spans="1:11" ht="48" customHeight="1">
      <c r="E7" s="385">
        <v>1</v>
      </c>
    </row>
    <row r="8" spans="1:11" ht="48" customHeight="1">
      <c r="E8" s="385">
        <v>3</v>
      </c>
    </row>
    <row r="10" spans="1:11" ht="48" customHeight="1">
      <c r="G10" s="385">
        <v>3</v>
      </c>
    </row>
    <row r="11" spans="1:11" ht="48" customHeight="1">
      <c r="G11" s="385">
        <v>1</v>
      </c>
    </row>
    <row r="13" spans="1:11" ht="48" customHeight="1">
      <c r="I13" s="385">
        <v>3</v>
      </c>
    </row>
    <row r="14" spans="1:11" ht="48" customHeight="1">
      <c r="I14" s="385">
        <v>1</v>
      </c>
    </row>
    <row r="16" spans="1:11" ht="48" customHeight="1">
      <c r="K16" s="385">
        <v>3</v>
      </c>
    </row>
    <row r="17" spans="11:21" ht="48" customHeight="1">
      <c r="K17" s="385">
        <v>1</v>
      </c>
    </row>
    <row r="19" spans="11:21" ht="48" customHeight="1">
      <c r="M19" s="385">
        <v>3</v>
      </c>
    </row>
    <row r="20" spans="11:21" ht="48" customHeight="1">
      <c r="M20" s="385">
        <v>1</v>
      </c>
    </row>
    <row r="22" spans="11:21" ht="48" customHeight="1">
      <c r="O22" s="385">
        <v>3</v>
      </c>
    </row>
    <row r="23" spans="11:21" ht="48" customHeight="1">
      <c r="O23" s="385">
        <v>1</v>
      </c>
    </row>
    <row r="25" spans="11:21" ht="57" customHeight="1">
      <c r="Q25" s="385">
        <v>3</v>
      </c>
    </row>
    <row r="26" spans="11:21" ht="57" customHeight="1">
      <c r="Q26" s="385">
        <v>1</v>
      </c>
    </row>
    <row r="28" spans="11:21" ht="57" customHeight="1">
      <c r="S28" s="385">
        <v>3</v>
      </c>
    </row>
    <row r="29" spans="11:21" ht="57" customHeight="1">
      <c r="S29" s="385">
        <v>1</v>
      </c>
    </row>
    <row r="31" spans="11:21" ht="57" customHeight="1">
      <c r="U31" s="385">
        <v>3</v>
      </c>
    </row>
    <row r="32" spans="11:21" ht="57" customHeight="1">
      <c r="U32" s="38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2023-12-19T02:19:21Z</cp:lastPrinted>
  <dcterms:created xsi:type="dcterms:W3CDTF">2011-02-06T11:57:38Z</dcterms:created>
  <dcterms:modified xsi:type="dcterms:W3CDTF">2024-05-30T08:02:44Z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