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yerly.herman\Desktop\"/>
    </mc:Choice>
  </mc:AlternateContent>
  <xr:revisionPtr revIDLastSave="0" documentId="13_ncr:1_{BBC37B21-9E9C-4155-97F3-EC4D8F17E56D}" xr6:coauthVersionLast="47" xr6:coauthVersionMax="47" xr10:uidLastSave="{00000000-0000-0000-0000-000000000000}"/>
  <bookViews>
    <workbookView xWindow="-120" yWindow="-120" windowWidth="20730" windowHeight="1131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F48" i="11" l="1"/>
  <c r="F47" i="11"/>
  <c r="F46" i="11"/>
  <c r="F45" i="11"/>
  <c r="F44" i="11"/>
  <c r="D42" i="11"/>
  <c r="I42" i="11" s="1"/>
  <c r="E42" i="11"/>
  <c r="G42" i="11"/>
  <c r="D43" i="11"/>
  <c r="J43" i="11" s="1"/>
  <c r="E43" i="11"/>
  <c r="G43" i="11"/>
  <c r="D44" i="11"/>
  <c r="J44" i="11" s="1"/>
  <c r="E44" i="11"/>
  <c r="D45" i="11"/>
  <c r="J45" i="11" s="1"/>
  <c r="E45" i="11"/>
  <c r="D46" i="11"/>
  <c r="J46" i="11" s="1"/>
  <c r="E46" i="11"/>
  <c r="D47" i="11"/>
  <c r="J47" i="11" s="1"/>
  <c r="E47" i="11"/>
  <c r="D48" i="11"/>
  <c r="I48" i="11" s="1"/>
  <c r="E48" i="11"/>
  <c r="F74" i="11"/>
  <c r="F73" i="11"/>
  <c r="F72" i="11"/>
  <c r="F71" i="11"/>
  <c r="F68" i="11"/>
  <c r="F67" i="11"/>
  <c r="F66" i="11"/>
  <c r="F65" i="11"/>
  <c r="F62" i="11"/>
  <c r="F61" i="11"/>
  <c r="F60" i="11"/>
  <c r="F59" i="11"/>
  <c r="F58" i="11"/>
  <c r="F57" i="11"/>
  <c r="D55" i="11"/>
  <c r="H55" i="11" s="1"/>
  <c r="E55" i="11"/>
  <c r="G55" i="11"/>
  <c r="D56" i="11"/>
  <c r="J56" i="11" s="1"/>
  <c r="E56" i="11"/>
  <c r="G56" i="11"/>
  <c r="D57" i="11"/>
  <c r="H57" i="11" s="1"/>
  <c r="E57" i="11"/>
  <c r="D58" i="11"/>
  <c r="H58" i="11" s="1"/>
  <c r="E58" i="11"/>
  <c r="D59" i="11"/>
  <c r="J59" i="11" s="1"/>
  <c r="E59" i="11"/>
  <c r="D60" i="11"/>
  <c r="J60" i="11" s="1"/>
  <c r="E60" i="11"/>
  <c r="D61" i="11"/>
  <c r="J61" i="11" s="1"/>
  <c r="E61" i="11"/>
  <c r="D62" i="11"/>
  <c r="E62" i="11"/>
  <c r="D63" i="11"/>
  <c r="J63" i="11" s="1"/>
  <c r="E63" i="11"/>
  <c r="G63" i="11"/>
  <c r="D64" i="11"/>
  <c r="J64" i="11" s="1"/>
  <c r="E64" i="11"/>
  <c r="G64" i="11"/>
  <c r="D65" i="11"/>
  <c r="J65" i="11" s="1"/>
  <c r="E65" i="11"/>
  <c r="D66" i="11"/>
  <c r="J66" i="11" s="1"/>
  <c r="E66" i="11"/>
  <c r="D67" i="11"/>
  <c r="J67" i="11" s="1"/>
  <c r="E67" i="11"/>
  <c r="D68" i="11"/>
  <c r="E68" i="11"/>
  <c r="D69" i="11"/>
  <c r="J69" i="11" s="1"/>
  <c r="E69" i="11"/>
  <c r="G69" i="11"/>
  <c r="D70" i="11"/>
  <c r="J70" i="11" s="1"/>
  <c r="E70" i="11"/>
  <c r="G70" i="11"/>
  <c r="D71" i="11"/>
  <c r="J71" i="11" s="1"/>
  <c r="E71" i="11"/>
  <c r="D72" i="11"/>
  <c r="J72" i="11" s="1"/>
  <c r="E72" i="11"/>
  <c r="D73" i="11"/>
  <c r="J73" i="11" s="1"/>
  <c r="E73" i="11"/>
  <c r="D74" i="11"/>
  <c r="E74" i="11"/>
  <c r="D75" i="11"/>
  <c r="J75" i="11" s="1"/>
  <c r="E75" i="11"/>
  <c r="G75" i="11"/>
  <c r="F54" i="11"/>
  <c r="F53" i="11"/>
  <c r="F52" i="11"/>
  <c r="F51" i="11"/>
  <c r="I43" i="11" l="1"/>
  <c r="H43" i="11"/>
  <c r="H42" i="11"/>
  <c r="H47" i="11"/>
  <c r="H46" i="11"/>
  <c r="J57" i="11"/>
  <c r="H45" i="11"/>
  <c r="H48" i="11"/>
  <c r="H44" i="11"/>
  <c r="K43" i="11"/>
  <c r="J42" i="11"/>
  <c r="K42" i="11" s="1"/>
  <c r="H63" i="11"/>
  <c r="I63" i="11"/>
  <c r="H71" i="11"/>
  <c r="J55" i="11"/>
  <c r="H67" i="11"/>
  <c r="H59" i="11"/>
  <c r="I55" i="11"/>
  <c r="J58" i="11"/>
  <c r="I69" i="11"/>
  <c r="I68" i="11"/>
  <c r="I64" i="11"/>
  <c r="I75" i="11"/>
  <c r="I74" i="11"/>
  <c r="I56" i="11"/>
  <c r="H74" i="11"/>
  <c r="H70" i="11"/>
  <c r="H66" i="11"/>
  <c r="H62" i="11"/>
  <c r="H56" i="11"/>
  <c r="I70" i="11"/>
  <c r="I62" i="11"/>
  <c r="H75" i="11"/>
  <c r="H73" i="11"/>
  <c r="H69" i="11"/>
  <c r="H65" i="11"/>
  <c r="H61" i="11"/>
  <c r="H72" i="11"/>
  <c r="H68" i="11"/>
  <c r="H64" i="11"/>
  <c r="H60" i="11"/>
  <c r="K69" i="11" l="1"/>
  <c r="K63" i="11"/>
  <c r="K55" i="11"/>
  <c r="K70" i="11"/>
  <c r="K75" i="11"/>
  <c r="K64" i="11"/>
  <c r="K56" i="11"/>
  <c r="F25" i="11" l="1"/>
  <c r="G28" i="11" l="1"/>
  <c r="G29" i="11"/>
  <c r="D28" i="11"/>
  <c r="H28" i="11" s="1"/>
  <c r="E28" i="11"/>
  <c r="D29" i="11"/>
  <c r="J29" i="11" s="1"/>
  <c r="E29" i="11"/>
  <c r="D30" i="11"/>
  <c r="E30" i="11"/>
  <c r="D31" i="11"/>
  <c r="H31" i="11" s="1"/>
  <c r="E31" i="11"/>
  <c r="D32" i="11"/>
  <c r="H32" i="11" s="1"/>
  <c r="E32" i="11"/>
  <c r="D33" i="11"/>
  <c r="J33" i="11" s="1"/>
  <c r="E33" i="11"/>
  <c r="D34" i="11"/>
  <c r="I34" i="11" s="1"/>
  <c r="E34" i="11"/>
  <c r="F34" i="11"/>
  <c r="F33" i="11"/>
  <c r="F32" i="11"/>
  <c r="F31" i="11"/>
  <c r="F30" i="11"/>
  <c r="H34" i="11" l="1"/>
  <c r="J32" i="11"/>
  <c r="H30" i="11"/>
  <c r="I29" i="11"/>
  <c r="J28" i="11"/>
  <c r="H33" i="11"/>
  <c r="J31" i="11"/>
  <c r="H29" i="11"/>
  <c r="I28" i="11"/>
  <c r="K28" i="11" s="1"/>
  <c r="J30" i="11"/>
  <c r="K29" i="11" l="1"/>
  <c r="D26" i="11" l="1"/>
  <c r="H26" i="11" s="1"/>
  <c r="E26" i="11"/>
  <c r="D27" i="11"/>
  <c r="E27" i="11"/>
  <c r="J26" i="11" l="1"/>
  <c r="I27" i="11"/>
  <c r="H27" i="11"/>
  <c r="D16" i="60"/>
  <c r="F21" i="11" l="1"/>
  <c r="F20" i="11"/>
  <c r="F19" i="11"/>
  <c r="F18" i="11"/>
  <c r="G6" i="11" l="1"/>
  <c r="F41" i="11" l="1"/>
  <c r="F40" i="11"/>
  <c r="F39" i="11"/>
  <c r="F38" i="11"/>
  <c r="F37" i="11"/>
  <c r="D25" i="11"/>
  <c r="I25" i="11" s="1"/>
  <c r="E25" i="11"/>
  <c r="D36" i="11"/>
  <c r="I36" i="11" s="1"/>
  <c r="E36" i="11"/>
  <c r="G36" i="11"/>
  <c r="D37" i="11"/>
  <c r="E37" i="11"/>
  <c r="D38" i="11"/>
  <c r="H38" i="11" s="1"/>
  <c r="E38" i="11"/>
  <c r="D39" i="11"/>
  <c r="E39" i="11"/>
  <c r="D40" i="11"/>
  <c r="J40" i="11" s="1"/>
  <c r="E40" i="11"/>
  <c r="D41" i="11"/>
  <c r="I41" i="11" s="1"/>
  <c r="E41" i="11"/>
  <c r="J38" i="11" l="1"/>
  <c r="H41" i="11"/>
  <c r="H25" i="11"/>
  <c r="H40" i="11"/>
  <c r="J39" i="11"/>
  <c r="J36" i="11"/>
  <c r="H37" i="11"/>
  <c r="H39" i="11"/>
  <c r="H36" i="11"/>
  <c r="J37" i="11"/>
  <c r="D50" i="11"/>
  <c r="J50" i="11" s="1"/>
  <c r="E50" i="11"/>
  <c r="G50" i="11"/>
  <c r="D51" i="11"/>
  <c r="H51" i="11" s="1"/>
  <c r="E51" i="11"/>
  <c r="D52" i="11"/>
  <c r="H52" i="11" s="1"/>
  <c r="E52" i="11"/>
  <c r="D53" i="11"/>
  <c r="J53" i="11" s="1"/>
  <c r="E53" i="11"/>
  <c r="D54" i="11"/>
  <c r="E54" i="11"/>
  <c r="G22" i="11"/>
  <c r="K36" i="11" l="1"/>
  <c r="J52" i="11"/>
  <c r="J51" i="11"/>
  <c r="H53" i="11"/>
  <c r="I50" i="11"/>
  <c r="I54" i="11"/>
  <c r="H54" i="11"/>
  <c r="H50" i="11"/>
  <c r="K50" i="11" l="1"/>
  <c r="D23" i="11" l="1"/>
  <c r="I23" i="11" s="1"/>
  <c r="E23" i="11"/>
  <c r="G23" i="11"/>
  <c r="D24" i="11"/>
  <c r="I24" i="11" s="1"/>
  <c r="E24" i="11"/>
  <c r="H23" i="11" l="1"/>
  <c r="J24" i="11"/>
  <c r="J23" i="11"/>
  <c r="K23" i="11" l="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E21" i="11"/>
  <c r="K22" i="11" l="1"/>
  <c r="I15" i="11"/>
  <c r="J15" i="11"/>
  <c r="I17" i="11"/>
  <c r="I19" i="11"/>
  <c r="J17" i="11"/>
  <c r="I21" i="11"/>
  <c r="I16" i="11"/>
  <c r="H21" i="11"/>
  <c r="I20" i="11"/>
  <c r="J19" i="11"/>
  <c r="J18" i="11"/>
  <c r="I18" i="11"/>
  <c r="H16" i="11"/>
  <c r="K15" i="11" l="1"/>
  <c r="K17" i="11"/>
  <c r="K16" i="11"/>
  <c r="W49" i="64"/>
  <c r="D76" i="11" l="1"/>
  <c r="I76" i="11" s="1"/>
  <c r="E76" i="11"/>
  <c r="G76" i="11"/>
  <c r="J76" i="11" l="1"/>
  <c r="H76" i="11"/>
  <c r="K76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7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7" i="11"/>
  <c r="D78" i="11"/>
  <c r="H78" i="11" s="1"/>
  <c r="E7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N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N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N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N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N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N812" i="10" s="1"/>
  <c r="K812" i="10"/>
  <c r="M812" i="10" s="1"/>
  <c r="O812" i="10"/>
  <c r="P812" i="10" s="1"/>
  <c r="J813" i="10"/>
  <c r="L813" i="10" s="1"/>
  <c r="K813" i="10"/>
  <c r="M813" i="10" s="1"/>
  <c r="N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N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N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N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N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N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N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N960" i="10" s="1"/>
  <c r="K960" i="10"/>
  <c r="M960" i="10" s="1"/>
  <c r="O960" i="10"/>
  <c r="P960" i="10" s="1"/>
  <c r="J961" i="10"/>
  <c r="L961" i="10" s="1"/>
  <c r="K961" i="10"/>
  <c r="M961" i="10" s="1"/>
  <c r="N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N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N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N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N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N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N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N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N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N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N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N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N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M1418" i="10" s="1"/>
  <c r="N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N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74" i="10"/>
  <c r="N857" i="10"/>
  <c r="N700" i="10"/>
  <c r="N965" i="10"/>
  <c r="N676" i="10"/>
  <c r="N824" i="10"/>
  <c r="N822" i="10"/>
  <c r="N968" i="10"/>
  <c r="N661" i="10"/>
  <c r="N912" i="10"/>
  <c r="N970" i="10"/>
  <c r="N863" i="10"/>
  <c r="N838" i="10"/>
  <c r="N831" i="10"/>
  <c r="N664" i="10"/>
  <c r="N986" i="10"/>
  <c r="N922" i="10"/>
  <c r="N908" i="10"/>
  <c r="N892" i="10"/>
  <c r="N993" i="10"/>
  <c r="N1045" i="10"/>
  <c r="N937" i="10"/>
  <c r="N845" i="10"/>
  <c r="N909" i="10"/>
  <c r="N896" i="10"/>
  <c r="N712" i="10"/>
  <c r="N689" i="10"/>
  <c r="N681" i="10"/>
  <c r="N693" i="10"/>
  <c r="N677" i="10"/>
  <c r="N668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7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57" i="11" s="1"/>
  <c r="I57" i="11" s="1"/>
  <c r="K57" i="11" s="1"/>
  <c r="I398" i="10"/>
  <c r="I414" i="10"/>
  <c r="G37" i="11" s="1"/>
  <c r="I37" i="11" s="1"/>
  <c r="K37" i="11" s="1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27" i="11" s="1"/>
  <c r="J27" i="11" s="1"/>
  <c r="K27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26" i="11" s="1"/>
  <c r="I26" i="11" s="1"/>
  <c r="K26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44" i="11" s="1"/>
  <c r="I44" i="11" s="1"/>
  <c r="K44" i="11" s="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G20" i="11" s="1"/>
  <c r="H20" i="11" s="1"/>
  <c r="K20" i="11" s="1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60" i="11" s="1"/>
  <c r="I60" i="11" s="1"/>
  <c r="K60" i="11" s="1"/>
  <c r="I571" i="10"/>
  <c r="I634" i="10"/>
  <c r="I654" i="10"/>
  <c r="I673" i="10"/>
  <c r="I697" i="10"/>
  <c r="I717" i="10"/>
  <c r="I737" i="10"/>
  <c r="I771" i="10"/>
  <c r="I791" i="10"/>
  <c r="I815" i="10"/>
  <c r="G74" i="11" s="1"/>
  <c r="J74" i="11" s="1"/>
  <c r="K74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G33" i="11" s="1"/>
  <c r="I33" i="11" s="1"/>
  <c r="K33" i="11" s="1"/>
  <c r="I562" i="10"/>
  <c r="I660" i="10"/>
  <c r="I686" i="10"/>
  <c r="I712" i="10"/>
  <c r="I744" i="10"/>
  <c r="I781" i="10"/>
  <c r="I812" i="10"/>
  <c r="I844" i="10"/>
  <c r="G68" i="11" s="1"/>
  <c r="J68" i="11" s="1"/>
  <c r="K68" i="11" s="1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G18" i="11" s="1"/>
  <c r="H18" i="11" s="1"/>
  <c r="K18" i="11" s="1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G24" i="11" s="1"/>
  <c r="H24" i="11" s="1"/>
  <c r="K24" i="11" s="1"/>
  <c r="I246" i="10"/>
  <c r="I263" i="10"/>
  <c r="I288" i="10"/>
  <c r="I309" i="10"/>
  <c r="I329" i="10"/>
  <c r="I353" i="10"/>
  <c r="I373" i="10"/>
  <c r="I394" i="10"/>
  <c r="I418" i="10"/>
  <c r="I438" i="10"/>
  <c r="G58" i="11" s="1"/>
  <c r="I58" i="11" s="1"/>
  <c r="K58" i="11" s="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41" i="11" s="1"/>
  <c r="J41" i="11" s="1"/>
  <c r="K41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54" i="11" s="1"/>
  <c r="J54" i="11" s="1"/>
  <c r="K54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25" i="11" s="1"/>
  <c r="J25" i="11" s="1"/>
  <c r="K25" i="11" s="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67" i="11" s="1"/>
  <c r="I67" i="11" s="1"/>
  <c r="K67" i="11" s="1"/>
  <c r="I507" i="10"/>
  <c r="I566" i="10"/>
  <c r="I663" i="10"/>
  <c r="I716" i="10"/>
  <c r="I785" i="10"/>
  <c r="I848" i="10"/>
  <c r="I890" i="10"/>
  <c r="I998" i="10"/>
  <c r="I1054" i="10"/>
  <c r="G21" i="11" s="1"/>
  <c r="J21" i="11" s="1"/>
  <c r="K21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G62" i="11" s="1"/>
  <c r="J62" i="11" s="1"/>
  <c r="K62" i="11" s="1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34" i="11" s="1"/>
  <c r="J34" i="11" s="1"/>
  <c r="K34" i="11" s="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45" i="11" s="1"/>
  <c r="I45" i="11" s="1"/>
  <c r="K45" i="11" s="1"/>
  <c r="I578" i="10"/>
  <c r="I670" i="10"/>
  <c r="G48" i="11" s="1"/>
  <c r="J48" i="11" s="1"/>
  <c r="K48" i="11" s="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G66" i="11" s="1"/>
  <c r="I66" i="11" s="1"/>
  <c r="K66" i="11" s="1"/>
  <c r="I26" i="10"/>
  <c r="G19" i="11" s="1"/>
  <c r="H19" i="11" s="1"/>
  <c r="K19" i="11" s="1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G65" i="11" s="1"/>
  <c r="I65" i="11" s="1"/>
  <c r="K65" i="11" s="1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61" i="11" s="1"/>
  <c r="I61" i="11" s="1"/>
  <c r="K61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G59" i="11" s="1"/>
  <c r="I59" i="11" s="1"/>
  <c r="K59" i="11" s="1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5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096" i="10"/>
  <c r="G8" i="29"/>
  <c r="N1359" i="10"/>
  <c r="N1208" i="10"/>
  <c r="N1060" i="10"/>
  <c r="N1003" i="10"/>
  <c r="N1052" i="10"/>
  <c r="N1021" i="10"/>
  <c r="N976" i="10"/>
  <c r="N1292" i="10"/>
  <c r="N1213" i="10"/>
  <c r="N1199" i="10"/>
  <c r="N1175" i="10"/>
  <c r="N1108" i="10"/>
  <c r="N102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50" i="10"/>
  <c r="N849" i="10"/>
  <c r="N844" i="10"/>
  <c r="N830" i="10"/>
  <c r="N829" i="10"/>
  <c r="N826" i="10"/>
  <c r="N934" i="10"/>
  <c r="N933" i="10"/>
  <c r="N932" i="10"/>
  <c r="N930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45" i="10"/>
  <c r="N1144" i="10"/>
  <c r="N1041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27" i="10"/>
  <c r="N818" i="10"/>
  <c r="N817" i="10"/>
  <c r="N947" i="10"/>
  <c r="N918" i="10"/>
  <c r="N917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27" i="10"/>
  <c r="N920" i="10"/>
  <c r="N904" i="10"/>
  <c r="N895" i="10"/>
  <c r="N852" i="10"/>
  <c r="N841" i="10"/>
  <c r="N836" i="10"/>
  <c r="N825" i="10"/>
  <c r="N821" i="10"/>
  <c r="N816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8" i="10"/>
  <c r="N1141" i="10"/>
  <c r="N1140" i="10"/>
  <c r="N1137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064" i="10"/>
  <c r="N1049" i="10"/>
  <c r="N1325" i="10"/>
  <c r="N1293" i="10"/>
  <c r="N1236" i="10"/>
  <c r="N1216" i="10"/>
  <c r="N1171" i="10"/>
  <c r="N1138" i="10"/>
  <c r="N1125" i="10"/>
  <c r="N1076" i="10"/>
  <c r="N1002" i="10"/>
  <c r="N1302" i="10"/>
  <c r="N1257" i="10"/>
  <c r="N1249" i="10"/>
  <c r="N1240" i="10"/>
  <c r="N1160" i="10"/>
  <c r="N1159" i="10"/>
  <c r="N111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 s="1"/>
  <c r="M108" i="10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N884" i="10" l="1"/>
  <c r="G73" i="11"/>
  <c r="I73" i="11" s="1"/>
  <c r="K73" i="11" s="1"/>
  <c r="G53" i="11"/>
  <c r="I53" i="11" s="1"/>
  <c r="K53" i="11" s="1"/>
  <c r="G47" i="11"/>
  <c r="I47" i="11" s="1"/>
  <c r="K47" i="11" s="1"/>
  <c r="G32" i="11"/>
  <c r="I32" i="11" s="1"/>
  <c r="K32" i="11" s="1"/>
  <c r="G40" i="11"/>
  <c r="I40" i="11" s="1"/>
  <c r="K40" i="11" s="1"/>
  <c r="G72" i="11"/>
  <c r="I72" i="11" s="1"/>
  <c r="K72" i="11" s="1"/>
  <c r="G52" i="11"/>
  <c r="I52" i="11" s="1"/>
  <c r="K52" i="11" s="1"/>
  <c r="N1454" i="10"/>
  <c r="N1267" i="10"/>
  <c r="G30" i="11"/>
  <c r="I30" i="11" s="1"/>
  <c r="K30" i="11" s="1"/>
  <c r="G38" i="11"/>
  <c r="I38" i="11" s="1"/>
  <c r="K38" i="11" s="1"/>
  <c r="G46" i="11"/>
  <c r="I46" i="11" s="1"/>
  <c r="K46" i="11" s="1"/>
  <c r="G31" i="11"/>
  <c r="I31" i="11" s="1"/>
  <c r="K31" i="11" s="1"/>
  <c r="G39" i="11"/>
  <c r="I39" i="11" s="1"/>
  <c r="K39" i="11" s="1"/>
  <c r="N1260" i="10"/>
  <c r="N1247" i="10"/>
  <c r="N1081" i="10"/>
  <c r="N1077" i="10"/>
  <c r="N1073" i="10"/>
  <c r="N1000" i="10"/>
  <c r="N889" i="10"/>
  <c r="N840" i="10"/>
  <c r="N633" i="10"/>
  <c r="G71" i="11"/>
  <c r="I71" i="11" s="1"/>
  <c r="K71" i="11" s="1"/>
  <c r="G51" i="11"/>
  <c r="I51" i="11" s="1"/>
  <c r="K51" i="11" s="1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8" i="11"/>
  <c r="I78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78" i="11"/>
  <c r="E236" i="29" l="1"/>
  <c r="J77" i="11"/>
  <c r="K77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0" i="11"/>
  <c r="H81" i="11" s="1"/>
  <c r="I80" i="11"/>
  <c r="I81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82" i="11"/>
  <c r="I8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80" i="11"/>
  <c r="K81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80" i="11"/>
  <c r="J8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82" i="11"/>
  <c r="B83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<sst xmlns="http://schemas.openxmlformats.org/spreadsheetml/2006/main" count="4741" uniqueCount="1629">
  <si>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</si>
  <si>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</si>
  <si>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</si>
  <si>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</si>
  <si>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</si>
  <si>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</si>
  <si>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</si>
  <si>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</si>
  <si>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</si>
  <si>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</si>
  <si>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</si>
  <si>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</si>
  <si>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</si>
  <si>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</si>
  <si>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</si>
  <si>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</si>
  <si>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</si>
  <si>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</si>
  <si>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</si>
  <si>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</si>
  <si>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</si>
  <si>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</si>
  <si>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</si>
  <si>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</si>
  <si>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</si>
  <si>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</si>
  <si>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</si>
  <si>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</si>
  <si>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</si>
  <si>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</si>
  <si>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</si>
  <si>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</si>
  <si>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</si>
  <si>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</si>
  <si>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</si>
  <si>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</si>
  <si>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</si>
  <si>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</si>
  <si>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</si>
  <si>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</si>
  <si>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</si>
  <si>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</si>
  <si>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</si>
  <si>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</si>
  <si>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</si>
  <si>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</si>
  <si>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</si>
  <si>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</si>
  <si>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</si>
  <si>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</si>
  <si>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</si>
  <si>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</si>
  <si>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</si>
  <si>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</si>
  <si>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</si>
  <si>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</si>
  <si>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</si>
  <si>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</si>
  <si>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</si>
  <si>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</si>
  <si>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</si>
  <si>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</si>
  <si>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</si>
  <si>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</si>
  <si>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</si>
  <si>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</si>
  <si>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</si>
  <si>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</si>
  <si>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</si>
  <si>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</si>
  <si>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</si>
  <si>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</si>
  <si>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</si>
  <si>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</si>
  <si>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</si>
  <si>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</si>
  <si>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</si>
  <si>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</si>
  <si>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</si>
  <si>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</si>
  <si>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</si>
  <si>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</si>
  <si>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</si>
  <si>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</si>
  <si>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</si>
  <si>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</si>
  <si>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</si>
  <si>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</si>
  <si>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</si>
  <si>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</si>
  <si>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</si>
  <si>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</si>
  <si>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</si>
  <si>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</si>
  <si>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</si>
  <si>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</si>
  <si>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</si>
  <si>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</si>
  <si>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</si>
  <si>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</si>
  <si>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</si>
  <si>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</si>
  <si>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</si>
  <si>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</si>
  <si>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</si>
  <si>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</si>
  <si>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</si>
  <si>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</si>
  <si>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</si>
  <si>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</si>
  <si>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</si>
  <si>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</si>
  <si>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</si>
  <si>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</si>
  <si>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</si>
  <si>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</si>
  <si>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</si>
  <si>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</si>
  <si>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</si>
  <si>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</si>
  <si>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</si>
  <si>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</si>
  <si>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</si>
  <si>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</si>
  <si>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</si>
  <si>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</si>
  <si>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</si>
  <si>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</si>
  <si>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</si>
  <si>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</si>
  <si>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</si>
  <si>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</si>
  <si>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</si>
  <si>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</si>
  <si>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</si>
  <si>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</si>
  <si>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</si>
  <si>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</si>
  <si>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</si>
  <si>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</si>
  <si>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</si>
  <si>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</si>
  <si>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</si>
  <si>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</si>
  <si>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</si>
  <si>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</si>
  <si>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</si>
  <si>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</si>
  <si>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</si>
  <si>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</si>
  <si>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</si>
  <si>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</si>
  <si>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</si>
  <si>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</si>
  <si>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</si>
  <si>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</si>
  <si>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</si>
  <si>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</si>
  <si>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</si>
  <si>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</si>
  <si>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</si>
  <si>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</si>
  <si>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</si>
  <si>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</si>
  <si>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</si>
  <si>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</si>
  <si>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</si>
  <si>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</si>
  <si>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</si>
  <si>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</si>
  <si>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</si>
  <si>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</si>
  <si>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</si>
  <si>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</si>
  <si>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</si>
  <si>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</si>
  <si>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</si>
  <si>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</si>
  <si>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</si>
  <si>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</si>
  <si>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</si>
  <si>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</si>
  <si>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</si>
  <si>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</si>
  <si>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</si>
  <si>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</si>
  <si>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</si>
  <si>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</si>
  <si>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</si>
  <si>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</si>
  <si>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</si>
  <si>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</si>
  <si>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</si>
  <si>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</si>
  <si>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</si>
  <si>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</si>
  <si>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</si>
  <si>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</si>
  <si>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</si>
  <si>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</si>
  <si>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</si>
  <si>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</si>
  <si>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</si>
  <si>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</si>
  <si>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</si>
  <si>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</si>
  <si>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</si>
  <si>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</si>
  <si>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</si>
  <si>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</si>
  <si>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</si>
  <si>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</si>
  <si>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</si>
  <si>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</si>
  <si>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</si>
  <si>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</si>
  <si>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</si>
  <si>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</si>
  <si>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</si>
  <si>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</si>
  <si>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</si>
  <si>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</si>
  <si>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</si>
  <si>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</si>
  <si>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</si>
  <si>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</si>
  <si>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</si>
  <si>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</si>
  <si>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</si>
  <si>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</si>
  <si>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</si>
  <si>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</si>
  <si>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</si>
  <si>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</si>
  <si>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</si>
  <si>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</si>
  <si>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</si>
  <si>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</si>
  <si>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</si>
  <si>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</si>
  <si>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</si>
  <si>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</si>
  <si>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</si>
  <si>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</si>
  <si>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</si>
  <si>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</si>
  <si>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</si>
  <si>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</si>
  <si>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</si>
  <si>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</si>
  <si>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</si>
  <si>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</si>
  <si>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</si>
  <si>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</si>
  <si>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</si>
  <si>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</si>
  <si>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</si>
  <si>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</si>
  <si>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</si>
  <si>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</si>
  <si>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</si>
  <si>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</si>
  <si>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</si>
  <si>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</si>
  <si>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</si>
  <si>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</si>
  <si>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</si>
  <si>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</si>
  <si>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</si>
  <si>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</si>
  <si>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</si>
  <si>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</si>
  <si>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</si>
  <si>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</si>
  <si>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</si>
  <si>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</si>
  <si>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</si>
  <si>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</si>
  <si>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</si>
  <si>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</si>
  <si>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</si>
  <si>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</si>
  <si>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</si>
  <si>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</si>
  <si>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</si>
  <si>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</si>
  <si>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</si>
  <si>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</si>
  <si>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</si>
  <si>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</si>
  <si>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</si>
  <si>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</si>
  <si>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</si>
  <si>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</si>
  <si>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</si>
  <si>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</si>
  <si>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</si>
  <si>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</si>
  <si>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</si>
  <si>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</si>
  <si>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</si>
  <si>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</si>
  <si>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</si>
  <si>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</si>
  <si>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</si>
  <si>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</si>
  <si>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</si>
  <si>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</si>
  <si>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</si>
  <si>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</si>
  <si>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</si>
  <si>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</si>
  <si>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</si>
  <si>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</si>
  <si>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</si>
  <si>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</si>
  <si>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</si>
  <si>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</si>
  <si>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</si>
  <si>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</si>
  <si>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</si>
  <si>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</si>
  <si>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</si>
  <si>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</si>
  <si>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</si>
  <si>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</si>
  <si>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</si>
  <si>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</si>
  <si>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</si>
  <si>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</si>
  <si>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</si>
  <si>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</si>
  <si>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</si>
  <si>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</si>
  <si>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</si>
  <si>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</si>
  <si>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</si>
  <si>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</si>
  <si>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</si>
  <si>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</si>
  <si>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</si>
  <si>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</si>
  <si>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</si>
  <si>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</si>
  <si>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</si>
  <si>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</si>
  <si>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</si>
  <si>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</si>
  <si>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</si>
  <si>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</si>
  <si>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</si>
  <si>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</si>
  <si>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</si>
  <si>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</si>
  <si>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</si>
  <si>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</si>
  <si>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</si>
  <si>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</si>
  <si>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</si>
  <si>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</si>
  <si>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</si>
  <si>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</si>
  <si>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</si>
  <si>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</si>
  <si>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</si>
  <si>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</si>
  <si>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</si>
  <si>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</si>
  <si>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</si>
  <si>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</si>
  <si>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</si>
  <si>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</si>
  <si>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</si>
  <si>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</si>
  <si>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</si>
  <si>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</si>
  <si>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</si>
  <si>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</si>
  <si>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</si>
  <si>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</si>
  <si>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</si>
  <si>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</si>
  <si>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</si>
  <si>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</si>
  <si>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</si>
  <si>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</si>
  <si>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</si>
  <si>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</si>
  <si>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</si>
  <si>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</si>
  <si>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</si>
  <si>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</si>
  <si>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</si>
  <si>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</si>
  <si>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</si>
  <si>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</si>
  <si>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</si>
  <si>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</si>
  <si>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</si>
  <si>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</si>
  <si>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</si>
  <si>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</si>
  <si>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</si>
  <si>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</si>
  <si>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</si>
  <si>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</si>
  <si>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</si>
  <si>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</si>
  <si>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</si>
  <si>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</si>
  <si>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</si>
  <si>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</si>
  <si>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</si>
  <si>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</si>
  <si>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</si>
  <si>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</si>
  <si>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</si>
  <si>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</si>
  <si>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</si>
  <si>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</si>
  <si>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</si>
  <si>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</si>
  <si>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</si>
  <si>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</si>
  <si>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</si>
  <si>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</si>
  <si>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</si>
  <si>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</si>
  <si>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</si>
  <si>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</si>
  <si>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</si>
  <si>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</si>
  <si>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</si>
  <si>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</si>
  <si>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</si>
  <si>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</si>
  <si>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</si>
  <si>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</si>
  <si>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</si>
  <si>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</si>
  <si>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</si>
  <si>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</si>
  <si>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</si>
  <si>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</si>
  <si>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</si>
  <si>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</si>
  <si>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</si>
  <si>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</si>
  <si>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</si>
  <si>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</si>
  <si>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</si>
  <si>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</si>
  <si>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</si>
  <si>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</si>
  <si>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</si>
  <si>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</si>
  <si>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</si>
  <si>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</si>
  <si>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</si>
  <si>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</si>
  <si>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</si>
  <si>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</si>
  <si>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</si>
  <si>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</si>
  <si>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</si>
  <si>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</si>
  <si>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</si>
  <si>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</si>
  <si>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</si>
  <si>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</si>
  <si>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</si>
  <si>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</si>
  <si>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</si>
  <si>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</si>
  <si>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</si>
  <si>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</si>
  <si>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</si>
  <si>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</si>
  <si>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</si>
  <si>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</si>
  <si>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</si>
  <si>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</si>
  <si>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</si>
  <si>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</si>
  <si>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</si>
  <si>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</si>
  <si>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</si>
  <si>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</si>
  <si>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</si>
  <si>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</si>
  <si>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</si>
  <si>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</si>
  <si>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</si>
  <si>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</si>
  <si>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</si>
  <si>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</si>
  <si>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</si>
  <si>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</si>
  <si>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</si>
  <si>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</si>
  <si>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</si>
  <si>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</si>
  <si>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</si>
  <si>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</si>
  <si>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</si>
  <si>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</si>
  <si>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</si>
  <si>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</si>
  <si>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</si>
  <si>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</si>
  <si>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</si>
  <si>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</si>
  <si>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</si>
  <si>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</si>
  <si>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</si>
  <si>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</si>
  <si>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</si>
  <si>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</si>
  <si>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</si>
  <si>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</si>
  <si>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</si>
  <si>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</si>
  <si>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</si>
  <si>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</si>
  <si>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</si>
  <si>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</si>
  <si>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</si>
  <si>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</si>
  <si>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</si>
  <si>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</si>
  <si>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</si>
  <si>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</si>
  <si>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</si>
  <si>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</si>
  <si>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</si>
  <si>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</si>
  <si>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</si>
  <si>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</si>
  <si>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</si>
  <si>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</si>
  <si>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</si>
  <si>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</si>
  <si>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</si>
  <si>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</si>
  <si>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</si>
  <si>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</si>
  <si>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</si>
  <si>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</si>
  <si>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</si>
  <si>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</si>
  <si>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</si>
  <si>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</si>
  <si>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</si>
  <si>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</si>
  <si>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</si>
  <si>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</si>
  <si>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</si>
  <si>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</si>
  <si>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</si>
  <si>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</si>
  <si>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</si>
  <si>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</si>
  <si>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</si>
  <si>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</si>
  <si>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</si>
  <si>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</si>
  <si>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</si>
  <si>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</si>
  <si>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</si>
  <si>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</si>
  <si>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</si>
  <si>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</si>
  <si>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</si>
  <si>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</si>
  <si>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</si>
  <si>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</si>
  <si>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</si>
  <si>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</si>
  <si>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</si>
  <si>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</si>
  <si>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</si>
  <si>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</si>
  <si>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</si>
  <si>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</si>
  <si>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</si>
  <si>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</si>
  <si>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</si>
  <si>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</si>
  <si>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</si>
  <si>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</si>
  <si>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</si>
  <si>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</si>
  <si>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</si>
  <si>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</si>
  <si>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</si>
  <si>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</si>
  <si>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</si>
  <si>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</si>
  <si>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</si>
  <si>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</si>
  <si>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</si>
  <si>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</si>
  <si>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</si>
  <si>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</si>
  <si>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</si>
  <si>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</si>
  <si>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</si>
  <si>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</si>
  <si>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</si>
  <si>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</si>
  <si>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</si>
  <si>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</si>
  <si>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</si>
  <si>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</si>
  <si>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</si>
  <si>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</si>
  <si>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</si>
  <si>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</si>
  <si>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</si>
  <si>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</si>
  <si>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</si>
  <si>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</si>
  <si>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</si>
  <si>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</si>
  <si>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</si>
  <si>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</si>
  <si>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</si>
  <si>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</si>
  <si>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</si>
  <si>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</si>
  <si>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</si>
  <si>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</si>
  <si>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</si>
  <si>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</si>
  <si>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</si>
  <si>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</si>
  <si>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</si>
  <si>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</si>
  <si>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</si>
  <si>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</si>
  <si>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</si>
  <si>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</si>
  <si>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</si>
  <si>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</si>
  <si>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</si>
  <si>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</si>
  <si>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</si>
  <si>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</si>
  <si>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</si>
  <si>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</si>
  <si>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</si>
  <si>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</si>
  <si>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</si>
  <si>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</si>
  <si>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</si>
  <si>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</si>
  <si>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</si>
  <si>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</si>
  <si>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</si>
  <si>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</si>
  <si>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</si>
  <si>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</si>
  <si>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</si>
  <si>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</si>
  <si>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</si>
  <si>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</si>
  <si>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</si>
  <si>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</si>
  <si>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</si>
  <si>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</si>
  <si>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</si>
  <si>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</si>
  <si>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</si>
  <si>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</si>
  <si>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</si>
  <si>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</si>
  <si>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</si>
  <si>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</si>
  <si>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</si>
  <si>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</si>
  <si>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</si>
  <si>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</si>
  <si>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</si>
  <si>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</si>
  <si>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</si>
  <si>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</si>
  <si>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</si>
  <si>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</si>
  <si>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</si>
  <si>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</si>
  <si>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</si>
  <si>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</si>
  <si>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</si>
  <si>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</si>
  <si>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</si>
  <si>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</si>
  <si>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</si>
  <si>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</si>
  <si>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</si>
  <si>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</si>
  <si>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</si>
  <si>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</si>
  <si>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</si>
  <si>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</si>
  <si>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</si>
  <si>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</si>
  <si>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</si>
  <si>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</si>
  <si>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</si>
  <si>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</si>
  <si>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</si>
  <si>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</si>
  <si>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</si>
  <si>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</si>
  <si>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</si>
  <si>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</si>
  <si>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</si>
  <si>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</si>
  <si>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</si>
  <si>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</si>
  <si>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</si>
  <si>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</si>
  <si>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</si>
  <si>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</si>
  <si>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</si>
  <si>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</si>
  <si>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</si>
  <si>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</si>
  <si>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</si>
  <si>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</si>
  <si>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</si>
  <si>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</si>
  <si>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</si>
  <si>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</si>
  <si>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</si>
  <si>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</si>
  <si>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</si>
  <si>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</si>
  <si>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</si>
  <si>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</si>
  <si>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</si>
  <si>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</si>
  <si>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</si>
  <si>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</si>
  <si>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</si>
  <si>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</si>
  <si>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</si>
  <si>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</si>
  <si>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</si>
  <si>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</si>
  <si>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</si>
  <si>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</si>
  <si>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</si>
  <si>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</si>
  <si>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</si>
  <si>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</si>
  <si>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</si>
  <si>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</si>
  <si>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</si>
  <si>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</si>
  <si>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</si>
  <si>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</si>
  <si>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</si>
  <si>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</si>
  <si>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</si>
  <si>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</si>
  <si>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</si>
  <si>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</si>
  <si>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</si>
  <si>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</si>
  <si>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</si>
  <si>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</si>
  <si>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</si>
  <si>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</si>
  <si>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</si>
  <si>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</si>
  <si>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</si>
  <si>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</si>
  <si>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</si>
  <si>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</si>
  <si>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</si>
  <si>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</si>
  <si>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</si>
  <si>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</si>
  <si>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</si>
  <si>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</si>
  <si>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</si>
  <si>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</si>
  <si>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</si>
  <si>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</si>
  <si>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</si>
  <si>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</si>
  <si>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</si>
  <si>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</si>
  <si>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</si>
  <si>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</si>
  <si>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</si>
  <si>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</si>
  <si>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</si>
  <si>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</si>
  <si>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</si>
  <si>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</si>
  <si>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</si>
  <si>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</si>
  <si>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</si>
  <si>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</si>
  <si>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</si>
  <si>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</si>
  <si>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</si>
  <si>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</si>
  <si>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</si>
  <si>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</si>
  <si>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</si>
  <si>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</si>
  <si>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</si>
  <si>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</si>
  <si>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</si>
  <si>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</si>
  <si>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</si>
  <si>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</si>
  <si>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</si>
  <si>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</si>
  <si>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</si>
  <si>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</si>
  <si>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</si>
  <si>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</si>
  <si>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</si>
  <si>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</si>
  <si>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</si>
  <si>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</si>
  <si>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</si>
  <si>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</si>
  <si>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</si>
  <si>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</si>
  <si>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</si>
  <si>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</si>
  <si>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</si>
  <si>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</si>
  <si>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</si>
  <si>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</si>
  <si>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</si>
  <si>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</si>
  <si>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</si>
  <si>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</si>
  <si>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</si>
  <si>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</si>
  <si>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</si>
  <si>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</si>
  <si>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</si>
  <si>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</si>
  <si>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</si>
  <si>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</si>
  <si>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</si>
  <si>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</si>
  <si>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</si>
  <si>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</si>
  <si>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</si>
  <si>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</si>
  <si>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</si>
  <si>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</si>
  <si>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</si>
  <si>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</si>
  <si>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</si>
  <si>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</si>
  <si>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</si>
  <si>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</si>
  <si>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</si>
  <si>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</si>
  <si>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</si>
  <si>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</si>
  <si>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</si>
  <si>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</si>
  <si>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</si>
  <si>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</si>
  <si>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</si>
  <si>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</si>
  <si>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</si>
  <si>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</si>
  <si>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</si>
  <si>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</si>
  <si>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</si>
  <si>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</si>
  <si>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</si>
  <si>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</si>
  <si>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</si>
  <si>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</si>
  <si>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</si>
  <si>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</si>
  <si>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</si>
  <si>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</si>
  <si>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</si>
  <si>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</si>
  <si>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</si>
  <si>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</si>
  <si>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</si>
  <si>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</si>
  <si>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</si>
  <si>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</si>
  <si>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</si>
  <si>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</si>
  <si>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</si>
  <si>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</si>
  <si>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</si>
  <si>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</si>
  <si>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</si>
  <si>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</si>
  <si>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</si>
  <si>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</si>
  <si>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</si>
  <si>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</si>
  <si>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</si>
  <si>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</si>
  <si>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</si>
  <si>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</si>
  <si>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</si>
  <si>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</si>
  <si>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</si>
  <si>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</si>
  <si>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</si>
  <si>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</si>
  <si>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</si>
  <si>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</si>
  <si>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</si>
  <si>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</si>
  <si>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</si>
  <si>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</si>
  <si>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</si>
  <si>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</si>
  <si>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</si>
  <si>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</si>
  <si>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</si>
  <si>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</si>
  <si>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</si>
  <si>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</si>
  <si>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</si>
  <si>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</si>
  <si>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</si>
  <si>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</si>
  <si>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</si>
  <si>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</si>
  <si>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</si>
  <si>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</si>
  <si>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</si>
  <si>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</si>
  <si>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</si>
  <si>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</si>
  <si>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</si>
  <si>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</si>
  <si>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</si>
  <si>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</si>
  <si>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</si>
  <si>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</si>
  <si>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</si>
  <si>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</si>
  <si>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</si>
  <si>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</si>
  <si>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</si>
  <si>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</si>
  <si>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</si>
  <si>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</si>
  <si>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</si>
  <si>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</si>
  <si>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</si>
  <si>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</si>
  <si>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</si>
  <si>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</si>
  <si>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</si>
  <si>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</si>
  <si>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</si>
  <si>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</si>
  <si>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</si>
  <si>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</si>
  <si>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</si>
  <si>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</si>
  <si>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</si>
  <si>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</si>
  <si>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</si>
  <si>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</si>
  <si>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</si>
  <si>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</si>
  <si>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</si>
  <si>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</si>
  <si>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</si>
  <si>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</si>
  <si>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</si>
  <si>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</si>
  <si>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</si>
  <si>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</si>
  <si>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</si>
  <si>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</si>
  <si>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</si>
  <si>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</si>
  <si>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</si>
  <si>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</si>
  <si>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</si>
  <si>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</si>
  <si>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</si>
  <si>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</si>
  <si>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</si>
  <si>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</si>
  <si>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</si>
  <si>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</si>
  <si>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</si>
  <si>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</si>
  <si>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</si>
  <si>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</si>
  <si>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</si>
  <si>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</si>
  <si>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</si>
  <si>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</si>
  <si>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</si>
  <si>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</si>
  <si>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</si>
  <si>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</si>
  <si>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</si>
  <si>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</si>
  <si>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</si>
  <si>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</si>
  <si>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</si>
  <si>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</si>
  <si>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</si>
  <si>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</si>
  <si>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</si>
  <si>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</si>
  <si>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</si>
  <si>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</si>
  <si>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</si>
  <si>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</si>
  <si>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</si>
  <si>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</si>
  <si>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</si>
  <si>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</si>
  <si>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</si>
  <si>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</si>
  <si>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</si>
  <si>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</si>
  <si>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</si>
  <si>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</si>
  <si>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</si>
  <si>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</si>
  <si>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</si>
  <si>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</si>
  <si>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</si>
  <si>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</si>
  <si>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</si>
  <si>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</si>
  <si>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</si>
  <si>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</si>
  <si>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</si>
  <si>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</si>
  <si>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</si>
  <si>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</si>
  <si>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</si>
  <si>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</si>
  <si>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</si>
  <si>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</si>
  <si>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</si>
  <si>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</si>
  <si>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</si>
  <si>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</si>
  <si>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</si>
  <si>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</si>
  <si>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</si>
  <si>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</si>
  <si>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</si>
  <si>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</si>
  <si>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</si>
  <si>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</si>
  <si>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</si>
  <si>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</si>
  <si>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</si>
  <si>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</si>
  <si>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</si>
  <si>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</si>
  <si>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</si>
  <si>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</si>
  <si>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</si>
  <si>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</si>
  <si>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</si>
  <si>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</si>
  <si>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</si>
  <si>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</si>
  <si>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</si>
  <si>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</si>
  <si>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</si>
  <si>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</si>
  <si>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</si>
  <si>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</si>
  <si>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</si>
  <si>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</si>
  <si>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</si>
  <si>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</si>
  <si>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</si>
  <si>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</si>
  <si>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</si>
  <si>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</si>
  <si>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</si>
  <si>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</si>
  <si>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</si>
  <si>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</si>
  <si>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</si>
  <si>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</si>
  <si>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</si>
  <si>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</si>
  <si>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</si>
  <si>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</si>
  <si>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</si>
  <si>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</si>
  <si>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</si>
  <si>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</si>
  <si>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</si>
  <si>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</si>
  <si>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</si>
  <si>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</si>
  <si>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</si>
  <si>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</si>
  <si>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</si>
  <si>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</si>
  <si>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</si>
  <si>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</si>
  <si>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</si>
  <si>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</si>
  <si>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</si>
  <si>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</si>
  <si>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</si>
  <si>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</si>
  <si>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</si>
  <si>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</si>
  <si>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</si>
  <si>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</si>
  <si>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</si>
  <si>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</si>
  <si>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</si>
  <si>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</si>
  <si>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</si>
  <si>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</si>
  <si>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</si>
  <si>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</si>
  <si>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</si>
  <si>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</si>
  <si>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</si>
  <si>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</si>
  <si>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</si>
  <si>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</si>
  <si>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</si>
  <si>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</si>
  <si>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</si>
  <si>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</si>
  <si>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</si>
  <si>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</si>
  <si>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</si>
  <si>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</si>
  <si>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</si>
  <si>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</si>
  <si>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</si>
  <si>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</si>
  <si>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</si>
  <si>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</si>
  <si>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</si>
  <si>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</si>
  <si>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</si>
  <si>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</si>
  <si>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</si>
  <si>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</si>
  <si>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</si>
  <si>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</si>
  <si>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</si>
  <si>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</si>
  <si>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</si>
  <si>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</si>
  <si>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</si>
  <si>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</si>
  <si>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</si>
  <si>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</si>
  <si>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</si>
  <si>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</si>
  <si>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</si>
  <si>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</si>
  <si>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</si>
  <si>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</si>
  <si>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</si>
  <si>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</si>
  <si>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</si>
  <si>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</si>
  <si>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</si>
  <si>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</si>
  <si>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</si>
  <si>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</si>
  <si>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</si>
  <si>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</si>
  <si>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</si>
  <si>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</si>
  <si>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</si>
  <si>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</si>
  <si>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</si>
  <si>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</si>
  <si>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</si>
  <si>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</si>
  <si>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</si>
  <si>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</si>
  <si>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</si>
  <si>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</si>
  <si>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</si>
  <si>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</si>
  <si>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</si>
  <si>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</si>
  <si>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</si>
  <si>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</si>
  <si>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</si>
  <si>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</si>
  <si>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</si>
  <si>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</si>
  <si>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</si>
  <si>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</si>
  <si>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</si>
  <si>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</si>
  <si>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</si>
  <si>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</si>
  <si>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</si>
  <si>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</si>
  <si>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</si>
  <si>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</si>
  <si>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</si>
  <si>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</si>
  <si>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</si>
  <si>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</si>
  <si>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</si>
  <si>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</si>
  <si>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</si>
  <si>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</si>
  <si>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</si>
  <si>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</si>
  <si>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</si>
  <si>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</si>
  <si>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</si>
  <si>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</si>
  <si>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</si>
  <si>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</si>
  <si>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</si>
  <si>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</si>
  <si>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</si>
  <si>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</si>
  <si>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</si>
  <si>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</si>
  <si>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</si>
  <si>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</si>
  <si>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</si>
  <si>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</si>
  <si>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</si>
  <si>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</si>
  <si>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</si>
  <si>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</si>
  <si>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</si>
  <si>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</si>
  <si>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</si>
  <si>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</si>
  <si>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</si>
  <si>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</si>
  <si>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</si>
  <si>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</si>
  <si>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</si>
  <si>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</si>
  <si>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</si>
  <si>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</si>
  <si>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</si>
  <si>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</si>
  <si>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</si>
  <si>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</si>
  <si>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</si>
  <si>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</si>
  <si>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</si>
  <si>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</si>
  <si>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</si>
  <si>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</si>
  <si>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</si>
  <si>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</si>
  <si>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</si>
  <si>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</si>
  <si>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</si>
  <si>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</si>
  <si>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</si>
  <si>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</si>
  <si>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</si>
  <si>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</si>
  <si>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</si>
  <si>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</si>
  <si>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</si>
  <si>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</si>
  <si>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</si>
  <si>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</si>
  <si>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</si>
  <si>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</si>
  <si>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</si>
  <si>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</si>
  <si>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</si>
  <si>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</si>
  <si>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</si>
  <si>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</si>
  <si>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</si>
  <si>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</si>
  <si>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</si>
  <si>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</si>
  <si>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</si>
  <si>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</si>
  <si>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</si>
  <si>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</si>
  <si>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</si>
  <si>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</si>
  <si>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</si>
  <si>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</si>
  <si>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</si>
  <si>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</si>
  <si>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</si>
  <si>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</si>
  <si>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</si>
  <si>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</si>
  <si>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</si>
  <si>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</si>
  <si>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</si>
  <si>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</si>
  <si>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</si>
  <si>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</si>
  <si>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</si>
  <si>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</si>
  <si>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</si>
  <si>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</si>
  <si>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</si>
  <si>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</si>
  <si>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</si>
  <si>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</si>
  <si>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</si>
  <si>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</si>
  <si>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</si>
  <si>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</si>
  <si>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</si>
  <si>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</si>
  <si>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</si>
  <si>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</si>
  <si>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</si>
  <si>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</si>
  <si>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</si>
  <si>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</si>
  <si>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</si>
  <si>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</si>
  <si>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</si>
  <si>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</si>
  <si>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</si>
  <si>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</si>
  <si>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</si>
  <si>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</si>
  <si>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</si>
  <si>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</si>
  <si>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</si>
  <si>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</si>
  <si>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</si>
  <si>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</si>
  <si>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</si>
  <si>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</si>
  <si>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</si>
  <si>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</si>
  <si>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</si>
  <si>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</si>
  <si>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</si>
  <si>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</si>
  <si>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</si>
  <si>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</si>
  <si>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</si>
  <si>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</si>
  <si>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</si>
  <si>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</si>
  <si>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</si>
  <si>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</si>
  <si>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</si>
  <si>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</si>
  <si>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</si>
  <si>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</si>
  <si>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</si>
  <si>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</si>
  <si>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</si>
  <si>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</si>
  <si>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</si>
  <si>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</si>
  <si>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</si>
  <si>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</si>
  <si>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</si>
  <si>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</si>
  <si>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</si>
  <si>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</si>
  <si>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</si>
  <si>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</si>
  <si>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</si>
  <si>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</si>
  <si>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</si>
  <si>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</si>
  <si>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</si>
  <si>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</si>
  <si>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</si>
  <si>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</si>
  <si>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</si>
  <si>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</si>
  <si>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</si>
  <si>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</si>
  <si>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</si>
  <si>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</si>
  <si>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</si>
  <si>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</si>
  <si>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</si>
  <si>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</si>
  <si>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</si>
  <si>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</si>
  <si>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</si>
  <si>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</si>
  <si>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</si>
  <si>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</si>
  <si>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</si>
  <si>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</si>
  <si>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</si>
  <si>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</si>
  <si>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</si>
  <si>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</si>
  <si>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</si>
  <si>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</si>
  <si>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</si>
  <si>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</si>
  <si>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</si>
  <si>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</si>
  <si>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</si>
  <si>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</si>
  <si>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</si>
  <si>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</si>
  <si>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</si>
  <si>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</si>
  <si>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</si>
  <si>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</si>
  <si>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</si>
  <si>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</si>
  <si>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</si>
  <si>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</si>
  <si>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</si>
  <si>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</si>
  <si>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</si>
  <si>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</si>
  <si>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</si>
  <si>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</si>
  <si>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</si>
  <si>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</si>
  <si>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</si>
  <si>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</si>
  <si>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</si>
  <si>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</si>
  <si>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</si>
  <si>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</si>
  <si>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</si>
  <si>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</si>
  <si>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</si>
  <si>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</si>
  <si>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</si>
  <si>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</si>
  <si>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</si>
  <si>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</si>
  <si>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</si>
  <si>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</si>
  <si>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</si>
  <si>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</si>
  <si>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</si>
  <si>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</si>
  <si>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</si>
  <si>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</si>
  <si>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</si>
  <si>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</si>
  <si>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</si>
  <si>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</si>
  <si>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</si>
  <si>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</si>
  <si>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</si>
  <si>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</si>
  <si>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</si>
  <si>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</si>
  <si>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</si>
  <si>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</si>
  <si>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</si>
  <si>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</si>
  <si>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</si>
  <si>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</si>
  <si>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</si>
  <si>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</si>
  <si>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</si>
  <si>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</si>
  <si>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</si>
  <si>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</si>
  <si>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</si>
  <si>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</si>
  <si>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</si>
  <si>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</si>
  <si>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</si>
  <si>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</si>
  <si>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</si>
  <si>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</si>
  <si>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</si>
  <si>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</si>
  <si>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</si>
  <si>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</si>
  <si>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</si>
  <si>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</si>
  <si>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</si>
  <si>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</si>
  <si>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</si>
  <si>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</si>
  <si>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</si>
  <si>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</si>
  <si>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</si>
  <si>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</si>
  <si>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</si>
  <si>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</si>
  <si>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</si>
  <si>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</si>
  <si>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</si>
  <si>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</si>
  <si>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</si>
  <si>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</si>
  <si>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</si>
  <si>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</si>
  <si>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</si>
  <si>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</si>
  <si>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</si>
  <si>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</si>
  <si>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</si>
  <si>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</si>
  <si>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</si>
  <si>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</si>
  <si>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</si>
  <si>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</si>
  <si>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</si>
  <si>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</si>
  <si>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</si>
  <si>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</si>
  <si>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</si>
  <si>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</si>
  <si>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</si>
  <si>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</si>
  <si>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</si>
  <si>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</si>
  <si>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</si>
  <si>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</si>
  <si>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</si>
  <si>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</si>
  <si>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</si>
  <si>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</si>
  <si>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</si>
  <si>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</si>
  <si>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</si>
  <si>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</si>
  <si>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</si>
  <si>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</si>
  <si>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</si>
  <si>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</si>
  <si>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</si>
  <si>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</si>
  <si>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</si>
  <si>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</si>
  <si>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</si>
  <si>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</si>
  <si>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</si>
  <si>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</si>
  <si>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</si>
  <si>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</si>
  <si>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</si>
  <si>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</si>
  <si>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</si>
  <si>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</si>
  <si>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</si>
  <si>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</si>
  <si>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</si>
  <si>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</si>
  <si>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</si>
  <si>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</si>
  <si>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</si>
  <si>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</si>
  <si>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</si>
  <si>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</si>
  <si>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</si>
  <si>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</si>
  <si>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</si>
  <si>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</si>
  <si>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</si>
  <si>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</si>
  <si>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</si>
  <si>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</si>
  <si>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</si>
  <si>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</si>
  <si>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</si>
  <si>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</si>
  <si>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</si>
  <si>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</si>
  <si>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</si>
  <si>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</si>
  <si>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</si>
  <si>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</si>
  <si>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</si>
  <si>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</si>
  <si>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</si>
  <si>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</si>
  <si>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</si>
  <si>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</si>
  <si>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</si>
  <si>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</si>
  <si>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</si>
  <si>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</si>
  <si>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</si>
  <si>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</si>
  <si>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</si>
  <si>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</si>
  <si>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</si>
  <si>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</si>
  <si>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KOORDINAT : </t>
  </si>
  <si>
    <t>CJ6-T</t>
  </si>
  <si>
    <t>Daya 11.000 VA</t>
  </si>
  <si>
    <t>K2-370/446</t>
  </si>
  <si>
    <t>PWI 07</t>
  </si>
  <si>
    <t>PELEM GABUS</t>
  </si>
  <si>
    <t>CJ5-T</t>
  </si>
  <si>
    <t>Wirosari,  Maret 2024</t>
  </si>
  <si>
    <t>-7,192480,111,243600</t>
  </si>
  <si>
    <t>CM2-12</t>
  </si>
  <si>
    <t>CM2-12A</t>
  </si>
  <si>
    <t>CE1-2</t>
  </si>
  <si>
    <t>F1-2</t>
  </si>
  <si>
    <t>MJ6-T</t>
  </si>
  <si>
    <t>MITRATEL TSEL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</si>
</sst>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</cellStyleXfs>
  <cellXfs count="71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6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176" fillId="33" borderId="0" xfId="2678" applyFill="1"/>
    <xf numFmtId="0" fontId="115" fillId="33" borderId="0" xfId="0" applyFont="1" applyFill="1" applyAlignment="1">
      <alignment vertical="center" wrapText="1"/>
    </xf>
    <xf numFmtId="0" fontId="115" fillId="33" borderId="37" xfId="0" applyFont="1" applyFill="1" applyBorder="1" applyAlignment="1">
      <alignment vertical="center" wrapText="1"/>
    </xf>
    <xf numFmtId="0" fontId="115" fillId="33" borderId="44" xfId="0" applyFont="1" applyFill="1" applyBorder="1" applyAlignment="1">
      <alignment vertical="center" wrapText="1"/>
    </xf>
    <xf numFmtId="0" fontId="115" fillId="33" borderId="45" xfId="0" applyFont="1" applyFill="1" applyBorder="1" applyAlignment="1">
      <alignment vertical="center" wrapText="1"/>
    </xf>
    <xf numFmtId="0" fontId="115" fillId="33" borderId="18" xfId="0" applyFont="1" applyFill="1" applyBorder="1" applyAlignment="1">
      <alignment vertical="center" wrapText="1"/>
    </xf>
    <xf numFmtId="0" fontId="115" fillId="33" borderId="43" xfId="0" applyFont="1" applyFill="1" applyBorder="1" applyAlignment="1">
      <alignment vertical="center" wrapText="1"/>
    </xf>
    <xf numFmtId="0" fontId="43" fillId="0" borderId="21" xfId="1615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3" fillId="0" borderId="20" xfId="1615" applyFont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41" fontId="153" fillId="0" borderId="0" xfId="1614" applyNumberFormat="1" applyFont="1" applyAlignment="1">
      <alignment horizontal="center" vertical="center"/>
    </xf>
    <xf numFmtId="0" fontId="177" fillId="33" borderId="0" xfId="0" quotePrefix="1" applyFont="1" applyFill="1" applyAlignment="1">
      <alignment horizontal="center"/>
    </xf>
    <xf numFmtId="0" fontId="44" fillId="0" borderId="21" xfId="1450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14" fontId="96" fillId="0" borderId="0" xfId="1653" applyNumberFormat="1" applyFont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78" fillId="0" borderId="0" xfId="2673" applyFont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4" borderId="3" xfId="2673" applyNumberFormat="1" applyFont="1" applyFill="1" applyBorder="1" applyAlignment="1">
      <alignment horizontal="center" vertical="center" wrapText="1"/>
    </xf>
    <xf numFmtId="2" fontId="135" fillId="44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167" fontId="154" fillId="0" borderId="0" xfId="1614" applyNumberFormat="1" applyFont="1" applyAlignment="1">
      <alignment horizontal="left" vertical="top" wrapText="1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18" xfId="0" applyFont="1" applyFill="1" applyBorder="1" applyAlignment="1">
      <alignment horizontal="center" vertical="center" wrapText="1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0.40514592889933343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7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7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141192</xdr:colOff>
      <xdr:row>20</xdr:row>
      <xdr:rowOff>85164</xdr:rowOff>
    </xdr:from>
    <xdr:to>
      <xdr:col>16</xdr:col>
      <xdr:colOff>11206</xdr:colOff>
      <xdr:row>20</xdr:row>
      <xdr:rowOff>85164</xdr:rowOff>
    </xdr:to>
    <xdr:sp macro="" textlink="">
      <xdr:nvSpPr>
        <xdr:cNvPr id="178" name="Freeform 177">
          <a:extLst>
            <a:ext uri="{FF2B5EF4-FFF2-40B4-BE49-F238E27FC236}">
              <a16:creationId xmlns:a16="http://schemas.microsoft.com/office/drawing/2014/main" id="{00000000-0008-0000-0900-0000B2000000}"/>
            </a:ext>
          </a:extLst>
        </xdr:cNvPr>
        <xdr:cNvSpPr/>
      </xdr:nvSpPr>
      <xdr:spPr>
        <a:xfrm>
          <a:off x="2740957" y="3334870"/>
          <a:ext cx="2918014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67233</xdr:colOff>
      <xdr:row>22</xdr:row>
      <xdr:rowOff>20618</xdr:rowOff>
    </xdr:from>
    <xdr:to>
      <xdr:col>20</xdr:col>
      <xdr:colOff>134469</xdr:colOff>
      <xdr:row>22</xdr:row>
      <xdr:rowOff>20618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flipH="1" flipV="1">
          <a:off x="761998" y="3584089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269439</xdr:colOff>
      <xdr:row>8</xdr:row>
      <xdr:rowOff>5601</xdr:rowOff>
    </xdr:from>
    <xdr:to>
      <xdr:col>11</xdr:col>
      <xdr:colOff>11207</xdr:colOff>
      <xdr:row>11</xdr:row>
      <xdr:rowOff>112059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2869204" y="1372719"/>
          <a:ext cx="884768" cy="5771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PURWANTO</a:t>
          </a:r>
        </a:p>
        <a:p>
          <a:pPr algn="ctr"/>
          <a:r>
            <a:rPr lang="en-ID" sz="900">
              <a:solidFill>
                <a:srgbClr val="FF0000"/>
              </a:solidFill>
            </a:rPr>
            <a:t>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302561</xdr:colOff>
      <xdr:row>23</xdr:row>
      <xdr:rowOff>50988</xdr:rowOff>
    </xdr:from>
    <xdr:to>
      <xdr:col>13</xdr:col>
      <xdr:colOff>268944</xdr:colOff>
      <xdr:row>28</xdr:row>
      <xdr:rowOff>33617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3664326" y="3771341"/>
          <a:ext cx="110938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k2-370/440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</xdr:txBody>
    </xdr:sp>
    <xdr:clientData/>
  </xdr:twoCellAnchor>
  <xdr:twoCellAnchor>
    <xdr:from>
      <xdr:col>12</xdr:col>
      <xdr:colOff>117616</xdr:colOff>
      <xdr:row>14</xdr:row>
      <xdr:rowOff>105737</xdr:rowOff>
    </xdr:from>
    <xdr:to>
      <xdr:col>12</xdr:col>
      <xdr:colOff>270016</xdr:colOff>
      <xdr:row>15</xdr:row>
      <xdr:rowOff>86807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4241381" y="241414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175980</xdr:colOff>
      <xdr:row>10</xdr:row>
      <xdr:rowOff>22412</xdr:rowOff>
    </xdr:from>
    <xdr:to>
      <xdr:col>12</xdr:col>
      <xdr:colOff>179293</xdr:colOff>
      <xdr:row>19</xdr:row>
      <xdr:rowOff>65428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900-000095000000}"/>
            </a:ext>
          </a:extLst>
        </xdr:cNvPr>
        <xdr:cNvCxnSpPr/>
      </xdr:nvCxnSpPr>
      <xdr:spPr>
        <a:xfrm flipH="1">
          <a:off x="4299745" y="1703294"/>
          <a:ext cx="3313" cy="14549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336176</xdr:colOff>
      <xdr:row>10</xdr:row>
      <xdr:rowOff>32721</xdr:rowOff>
    </xdr:from>
    <xdr:to>
      <xdr:col>12</xdr:col>
      <xdr:colOff>134470</xdr:colOff>
      <xdr:row>10</xdr:row>
      <xdr:rowOff>78440</xdr:rowOff>
    </xdr:to>
    <xdr:sp macro="" textlink="">
      <xdr:nvSpPr>
        <xdr:cNvPr id="128" name="Freeform 127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SpPr/>
      </xdr:nvSpPr>
      <xdr:spPr>
        <a:xfrm>
          <a:off x="3697941" y="1713603"/>
          <a:ext cx="560294" cy="45719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145676</xdr:colOff>
      <xdr:row>19</xdr:row>
      <xdr:rowOff>102194</xdr:rowOff>
    </xdr:from>
    <xdr:to>
      <xdr:col>15</xdr:col>
      <xdr:colOff>347382</xdr:colOff>
      <xdr:row>19</xdr:row>
      <xdr:rowOff>102194</xdr:rowOff>
    </xdr:to>
    <xdr:sp macro="" textlink="">
      <xdr:nvSpPr>
        <xdr:cNvPr id="138" name="Freeform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/>
      </xdr:nvSpPr>
      <xdr:spPr>
        <a:xfrm flipV="1">
          <a:off x="2745441" y="3195018"/>
          <a:ext cx="2868706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171210</xdr:colOff>
      <xdr:row>10</xdr:row>
      <xdr:rowOff>28605</xdr:rowOff>
    </xdr:from>
    <xdr:to>
      <xdr:col>11</xdr:col>
      <xdr:colOff>291526</xdr:colOff>
      <xdr:row>10</xdr:row>
      <xdr:rowOff>137319</xdr:rowOff>
    </xdr:to>
    <xdr:grpSp>
      <xdr:nvGrpSpPr>
        <xdr:cNvPr id="163" name="Group 162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GrpSpPr/>
      </xdr:nvGrpSpPr>
      <xdr:grpSpPr>
        <a:xfrm>
          <a:off x="3913975" y="1709487"/>
          <a:ext cx="120316" cy="108714"/>
          <a:chOff x="4552393" y="5147729"/>
          <a:chExt cx="228791" cy="193248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00000000-0008-0000-0900-0000A4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00000000-0008-0000-0900-0000A5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79516</xdr:colOff>
      <xdr:row>19</xdr:row>
      <xdr:rowOff>90049</xdr:rowOff>
    </xdr:from>
    <xdr:to>
      <xdr:col>14</xdr:col>
      <xdr:colOff>231916</xdr:colOff>
      <xdr:row>20</xdr:row>
      <xdr:rowOff>71119</xdr:rowOff>
    </xdr:to>
    <xdr:grpSp>
      <xdr:nvGrpSpPr>
        <xdr:cNvPr id="147" name="Group 2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GrpSpPr>
          <a:grpSpLocks/>
        </xdr:cNvGrpSpPr>
      </xdr:nvGrpSpPr>
      <xdr:grpSpPr bwMode="auto">
        <a:xfrm>
          <a:off x="4965281" y="3182873"/>
          <a:ext cx="152400" cy="137952"/>
          <a:chOff x="3725636" y="1945820"/>
          <a:chExt cx="153760" cy="144237"/>
        </a:xfrm>
        <a:noFill/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00000000-0008-0000-0900-000096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83805</xdr:colOff>
      <xdr:row>16</xdr:row>
      <xdr:rowOff>131699</xdr:rowOff>
    </xdr:from>
    <xdr:to>
      <xdr:col>12</xdr:col>
      <xdr:colOff>204121</xdr:colOff>
      <xdr:row>17</xdr:row>
      <xdr:rowOff>83530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/>
      </xdr:nvGrpSpPr>
      <xdr:grpSpPr>
        <a:xfrm>
          <a:off x="4207570" y="2753875"/>
          <a:ext cx="120316" cy="108714"/>
          <a:chOff x="4552393" y="5147729"/>
          <a:chExt cx="228791" cy="193248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153474</xdr:colOff>
      <xdr:row>19</xdr:row>
      <xdr:rowOff>74360</xdr:rowOff>
    </xdr:from>
    <xdr:to>
      <xdr:col>10</xdr:col>
      <xdr:colOff>305874</xdr:colOff>
      <xdr:row>20</xdr:row>
      <xdr:rowOff>55430</xdr:rowOff>
    </xdr:to>
    <xdr:grpSp>
      <xdr:nvGrpSpPr>
        <xdr:cNvPr id="179" name="Group 2">
          <a:extLst>
            <a:ext uri="{FF2B5EF4-FFF2-40B4-BE49-F238E27FC236}">
              <a16:creationId xmlns:a16="http://schemas.microsoft.com/office/drawing/2014/main" id="{00000000-0008-0000-0900-0000B3000000}"/>
            </a:ext>
          </a:extLst>
        </xdr:cNvPr>
        <xdr:cNvGrpSpPr>
          <a:grpSpLocks/>
        </xdr:cNvGrpSpPr>
      </xdr:nvGrpSpPr>
      <xdr:grpSpPr bwMode="auto">
        <a:xfrm>
          <a:off x="3515239" y="31671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00000000-0008-0000-0900-0000B4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00000000-0008-0000-0900-0000B5000000}"/>
              </a:ext>
            </a:extLst>
          </xdr:cNvPr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00000000-0008-0000-0900-0000B6000000}"/>
              </a:ext>
            </a:extLst>
          </xdr:cNvPr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92962</xdr:colOff>
      <xdr:row>19</xdr:row>
      <xdr:rowOff>69878</xdr:rowOff>
    </xdr:from>
    <xdr:to>
      <xdr:col>12</xdr:col>
      <xdr:colOff>245362</xdr:colOff>
      <xdr:row>20</xdr:row>
      <xdr:rowOff>50948</xdr:rowOff>
    </xdr:to>
    <xdr:grpSp>
      <xdr:nvGrpSpPr>
        <xdr:cNvPr id="183" name="Group 2">
          <a:extLst>
            <a:ext uri="{FF2B5EF4-FFF2-40B4-BE49-F238E27FC236}">
              <a16:creationId xmlns:a16="http://schemas.microsoft.com/office/drawing/2014/main" id="{00000000-0008-0000-0900-0000B7000000}"/>
            </a:ext>
          </a:extLst>
        </xdr:cNvPr>
        <xdr:cNvGrpSpPr>
          <a:grpSpLocks/>
        </xdr:cNvGrpSpPr>
      </xdr:nvGrpSpPr>
      <xdr:grpSpPr bwMode="auto">
        <a:xfrm>
          <a:off x="4216727" y="3162702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4" name="Oval 183">
            <a:extLst>
              <a:ext uri="{FF2B5EF4-FFF2-40B4-BE49-F238E27FC236}">
                <a16:creationId xmlns:a16="http://schemas.microsoft.com/office/drawing/2014/main" id="{00000000-0008-0000-0900-0000B8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00000000-0008-0000-0900-0000B9000000}"/>
              </a:ext>
            </a:extLst>
          </xdr:cNvPr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0000000-0008-0000-0900-0000BA000000}"/>
              </a:ext>
            </a:extLst>
          </xdr:cNvPr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90722</xdr:colOff>
      <xdr:row>9</xdr:row>
      <xdr:rowOff>134873</xdr:rowOff>
    </xdr:from>
    <xdr:to>
      <xdr:col>12</xdr:col>
      <xdr:colOff>243122</xdr:colOff>
      <xdr:row>10</xdr:row>
      <xdr:rowOff>115943</xdr:rowOff>
    </xdr:to>
    <xdr:grpSp>
      <xdr:nvGrpSpPr>
        <xdr:cNvPr id="160" name="Group 2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GrpSpPr>
          <a:grpSpLocks/>
        </xdr:cNvGrpSpPr>
      </xdr:nvGrpSpPr>
      <xdr:grpSpPr bwMode="auto">
        <a:xfrm>
          <a:off x="4214487" y="1658873"/>
          <a:ext cx="152400" cy="137952"/>
          <a:chOff x="3725636" y="1945820"/>
          <a:chExt cx="153760" cy="144237"/>
        </a:xfrm>
        <a:noFill/>
      </xdr:grpSpPr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00000000-0008-0000-0900-0000A8000000}"/>
              </a:ext>
            </a:extLst>
          </xdr:cNvPr>
          <xdr:cNvCxnSpPr>
            <a:stCxn id="167" idx="1"/>
            <a:endCxn id="16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00000000-0008-0000-0900-0000BC000000}"/>
              </a:ext>
            </a:extLst>
          </xdr:cNvPr>
          <xdr:cNvCxnSpPr>
            <a:stCxn id="167" idx="3"/>
            <a:endCxn id="16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79323</xdr:colOff>
      <xdr:row>12</xdr:row>
      <xdr:rowOff>48775</xdr:rowOff>
    </xdr:from>
    <xdr:to>
      <xdr:col>12</xdr:col>
      <xdr:colOff>199639</xdr:colOff>
      <xdr:row>13</xdr:row>
      <xdr:rowOff>607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00000000-0008-0000-0900-0000BD000000}"/>
            </a:ext>
          </a:extLst>
        </xdr:cNvPr>
        <xdr:cNvGrpSpPr/>
      </xdr:nvGrpSpPr>
      <xdr:grpSpPr>
        <a:xfrm>
          <a:off x="4203088" y="2043422"/>
          <a:ext cx="120316" cy="108714"/>
          <a:chOff x="4552393" y="5147729"/>
          <a:chExt cx="228791" cy="193248"/>
        </a:xfrm>
      </xdr:grpSpPr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00000000-0008-0000-0900-0000BE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00000000-0008-0000-0900-0000BF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00000000-0008-0000-0900-0000C0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175980</xdr:colOff>
      <xdr:row>8</xdr:row>
      <xdr:rowOff>11206</xdr:rowOff>
    </xdr:from>
    <xdr:to>
      <xdr:col>12</xdr:col>
      <xdr:colOff>175980</xdr:colOff>
      <xdr:row>9</xdr:row>
      <xdr:rowOff>155076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V="1">
          <a:off x="4299745" y="1378324"/>
          <a:ext cx="0" cy="300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153282</xdr:colOff>
      <xdr:row>19</xdr:row>
      <xdr:rowOff>44292</xdr:rowOff>
    </xdr:from>
    <xdr:to>
      <xdr:col>13</xdr:col>
      <xdr:colOff>273598</xdr:colOff>
      <xdr:row>19</xdr:row>
      <xdr:rowOff>153006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00000000-0008-0000-0900-0000C1000000}"/>
            </a:ext>
          </a:extLst>
        </xdr:cNvPr>
        <xdr:cNvGrpSpPr/>
      </xdr:nvGrpSpPr>
      <xdr:grpSpPr>
        <a:xfrm>
          <a:off x="4658047" y="3137116"/>
          <a:ext cx="120316" cy="108714"/>
          <a:chOff x="4552393" y="5147729"/>
          <a:chExt cx="228791" cy="193248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00000000-0008-0000-0900-0000C2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0000000-0008-0000-0900-0000C3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00000000-0008-0000-0900-0000C4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204829</xdr:colOff>
      <xdr:row>19</xdr:row>
      <xdr:rowOff>17398</xdr:rowOff>
    </xdr:from>
    <xdr:to>
      <xdr:col>11</xdr:col>
      <xdr:colOff>325145</xdr:colOff>
      <xdr:row>19</xdr:row>
      <xdr:rowOff>126112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00000000-0008-0000-0900-0000C5000000}"/>
            </a:ext>
          </a:extLst>
        </xdr:cNvPr>
        <xdr:cNvGrpSpPr/>
      </xdr:nvGrpSpPr>
      <xdr:grpSpPr>
        <a:xfrm>
          <a:off x="3947594" y="3110222"/>
          <a:ext cx="120316" cy="108714"/>
          <a:chOff x="4552393" y="5147729"/>
          <a:chExt cx="228791" cy="193248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00000000-0008-0000-0900-0000C6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00000000-0008-0000-0900-0000C7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00000000-0008-0000-0900-0000C8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44824</xdr:colOff>
      <xdr:row>19</xdr:row>
      <xdr:rowOff>33617</xdr:rowOff>
    </xdr:from>
    <xdr:to>
      <xdr:col>15</xdr:col>
      <xdr:colOff>165140</xdr:colOff>
      <xdr:row>19</xdr:row>
      <xdr:rowOff>142331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GrpSpPr/>
      </xdr:nvGrpSpPr>
      <xdr:grpSpPr>
        <a:xfrm>
          <a:off x="5311589" y="3126441"/>
          <a:ext cx="120316" cy="108714"/>
          <a:chOff x="4552393" y="5147729"/>
          <a:chExt cx="228791" cy="193248"/>
        </a:xfrm>
      </xdr:grpSpPr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00000000-0008-0000-0900-0000CA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00000000-0008-0000-0900-0000CB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00000000-0008-0000-0900-0000CC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197224</xdr:colOff>
      <xdr:row>19</xdr:row>
      <xdr:rowOff>17929</xdr:rowOff>
    </xdr:from>
    <xdr:to>
      <xdr:col>9</xdr:col>
      <xdr:colOff>317540</xdr:colOff>
      <xdr:row>19</xdr:row>
      <xdr:rowOff>126643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0000000-0008-0000-0900-0000CD000000}"/>
            </a:ext>
          </a:extLst>
        </xdr:cNvPr>
        <xdr:cNvGrpSpPr/>
      </xdr:nvGrpSpPr>
      <xdr:grpSpPr>
        <a:xfrm>
          <a:off x="3177989" y="3110753"/>
          <a:ext cx="120316" cy="108714"/>
          <a:chOff x="4552393" y="5147729"/>
          <a:chExt cx="228791" cy="193248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00000000-0008-0000-0900-0000CE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00000000-0008-0000-0900-0000CF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00000000-0008-0000-0900-0000D0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129991</xdr:colOff>
      <xdr:row>6</xdr:row>
      <xdr:rowOff>46505</xdr:rowOff>
    </xdr:from>
    <xdr:to>
      <xdr:col>16</xdr:col>
      <xdr:colOff>96374</xdr:colOff>
      <xdr:row>13</xdr:row>
      <xdr:rowOff>112059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0900-0000D5000000}"/>
            </a:ext>
          </a:extLst>
        </xdr:cNvPr>
        <xdr:cNvSpPr txBox="1"/>
      </xdr:nvSpPr>
      <xdr:spPr>
        <a:xfrm>
          <a:off x="4634756" y="1099858"/>
          <a:ext cx="1109383" cy="1163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k2-370/440B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9 200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125507</xdr:colOff>
      <xdr:row>14</xdr:row>
      <xdr:rowOff>100853</xdr:rowOff>
    </xdr:from>
    <xdr:to>
      <xdr:col>16</xdr:col>
      <xdr:colOff>91890</xdr:colOff>
      <xdr:row>18</xdr:row>
      <xdr:rowOff>136712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0000000-0008-0000-0900-0000D6000000}"/>
            </a:ext>
          </a:extLst>
        </xdr:cNvPr>
        <xdr:cNvSpPr txBox="1"/>
      </xdr:nvSpPr>
      <xdr:spPr>
        <a:xfrm>
          <a:off x="4630272" y="2409265"/>
          <a:ext cx="1109383" cy="6633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rgbClr val="FF0000"/>
              </a:solidFill>
            </a:rPr>
            <a:t>k2-370/440A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9 200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1134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07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1135</v>
      </c>
      <c r="G7" s="529" t="s">
        <v>41</v>
      </c>
      <c r="H7" s="525" t="s">
        <v>1042</v>
      </c>
      <c r="I7" s="525" t="s">
        <v>1137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120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SUMIFS(RAB!$F$14:$F$76,RAB!$C$14:$C$76,C714)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SUMIFS(RAB!$F$14:$F$76,RAB!$C$14:$C$76,C715)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SUMIFS(RAB!$F$14:$F$76,RAB!$C$14:$C$76,C716)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SUMIFS(RAB!$F$14:$F$76,RAB!$C$14:$C$76,C717)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SUMIFS(RAB!$F$14:$F$76,RAB!$C$14:$C$76,C718)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SUMIFS(RAB!$F$14:$F$76,RAB!$C$14:$C$76,C719)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SUMIFS(RAB!$F$14:$F$76,RAB!$C$14:$C$76,C720)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SUMIFS(RAB!$F$14:$F$76,RAB!$C$14:$C$76,C721)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SUMIFS(RAB!$F$14:$F$76,RAB!$C$14:$C$76,C722)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SUMIFS(RAB!$F$14:$F$76,RAB!$C$14:$C$76,C723)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SUMIFS(RAB!$F$14:$F$76,RAB!$C$14:$C$76,C724)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SUMIFS(RAB!$F$14:$F$76,RAB!$C$14:$C$76,C725)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SUMIFS(RAB!$F$14:$F$76,RAB!$C$14:$C$76,C726)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SUMIFS(RAB!$F$14:$F$76,RAB!$C$14:$C$76,C727)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SUMIFS(RAB!$F$14:$F$76,RAB!$C$14:$C$76,C728)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SUMIFS(RAB!$F$14:$F$76,RAB!$C$14:$C$76,C729)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SUMIFS(RAB!$F$14:$F$76,RAB!$C$14:$C$76,C730)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SUMIFS(RAB!$F$14:$F$76,RAB!$C$14:$C$76,C731)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SUMIFS(RAB!$F$14:$F$76,RAB!$C$14:$C$76,C732)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SUMIFS(RAB!$F$14:$F$76,RAB!$C$14:$C$76,C733)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SUMIFS(RAB!$F$14:$F$76,RAB!$C$14:$C$76,C734)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SUMIFS(RAB!$F$14:$F$76,RAB!$C$14:$C$76,C735)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SUMIFS(RAB!$F$14:$F$76,RAB!$C$14:$C$76,C736)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SUMIFS(RAB!$F$14:$F$76,RAB!$C$14:$C$76,C737)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SUMIFS(RAB!$F$14:$F$76,RAB!$C$14:$C$76,C738)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SUMIFS(RAB!$F$14:$F$76,RAB!$C$14:$C$76,C739)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SUMIFS(RAB!$F$14:$F$76,RAB!$C$14:$C$76,C740)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SUMIFS(RAB!$F$14:$F$76,RAB!$C$14:$C$76,C741)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SUMIFS(RAB!$F$14:$F$76,RAB!$C$14:$C$76,C742)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SUMIFS(RAB!$F$14:$F$76,RAB!$C$14:$C$76,C743)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SUMIFS(RAB!$F$14:$F$76,RAB!$C$14:$C$76,C744)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SUMIFS(RAB!$F$14:$F$76,RAB!$C$14:$C$76,C745)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SUMIFS(RAB!$F$14:$F$76,RAB!$C$14:$C$76,C746)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SUMIFS(RAB!$F$14:$F$76,RAB!$C$14:$C$76,C747)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SUMIFS(RAB!$F$14:$F$76,RAB!$C$14:$C$76,C748)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SUMIFS(RAB!$F$14:$F$76,RAB!$C$14:$C$76,C749)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SUMIFS(RAB!$F$14:$F$76,RAB!$C$14:$C$76,C750)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SUMIFS(RAB!$F$14:$F$76,RAB!$C$14:$C$76,C751)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SUMIFS(RAB!$F$14:$F$76,RAB!$C$14:$C$76,C752)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SUMIFS(RAB!$F$14:$F$76,RAB!$C$14:$C$76,C753)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SUMIFS(RAB!$F$14:$F$76,RAB!$C$14:$C$76,C754)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SUMIFS(RAB!$F$14:$F$76,RAB!$C$14:$C$76,C755)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SUMIFS(RAB!$F$14:$F$76,RAB!$C$14:$C$76,C756)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SUMIFS(RAB!$F$14:$F$76,RAB!$C$14:$C$76,C757)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SUMIFS(RAB!$F$14:$F$76,RAB!$C$14:$C$76,C758)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SUMIFS(RAB!$F$14:$F$76,RAB!$C$14:$C$76,C759)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SUMIFS(RAB!$F$14:$F$76,RAB!$C$14:$C$76,C760)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SUMIFS(RAB!$F$14:$F$76,RAB!$C$14:$C$76,C761)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SUMIFS(RAB!$F$14:$F$76,RAB!$C$14:$C$76,C762)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SUMIFS(RAB!$F$14:$F$76,RAB!$C$14:$C$76,C763)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SUMIFS(RAB!$F$14:$F$76,RAB!$C$14:$C$76,C764)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SUMIFS(RAB!$F$14:$F$76,RAB!$C$14:$C$76,C765)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SUMIFS(RAB!$F$14:$F$76,RAB!$C$14:$C$76,C766)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SUMIFS(RAB!$F$14:$F$76,RAB!$C$14:$C$76,C767)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SUMIFS(RAB!$F$14:$F$76,RAB!$C$14:$C$76,C768)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SUMIFS(RAB!$F$14:$F$76,RAB!$C$14:$C$76,C769)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SUMIFS(RAB!$F$14:$F$76,RAB!$C$14:$C$76,C770)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SUMIFS(RAB!$F$14:$F$76,RAB!$C$14:$C$76,C771)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SUMIFS(RAB!$F$14:$F$76,RAB!$C$14:$C$76,C772)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SUMIFS(RAB!$F$14:$F$76,RAB!$C$14:$C$76,C773)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SUMIFS(RAB!$F$14:$F$76,RAB!$C$14:$C$76,C774)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SUMIFS(RAB!$F$14:$F$76,RAB!$C$14:$C$76,C775)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SUMIFS(RAB!$F$14:$F$76,RAB!$C$14:$C$76,C776)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SUMIFS(RAB!$F$14:$F$76,RAB!$C$14:$C$76,C777)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SUMIFS(RAB!$F$14:$F$76,RAB!$C$14:$C$76,C778)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SUMIFS(RAB!$F$14:$F$76,RAB!$C$14:$C$76,C779)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SUMIFS(RAB!$F$14:$F$76,RAB!$C$14:$C$76,C780)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SUMIFS(RAB!$F$14:$F$76,RAB!$C$14:$C$76,C781)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SUMIFS(RAB!$F$14:$F$76,RAB!$C$14:$C$76,C782)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SUMIFS(RAB!$F$14:$F$76,RAB!$C$14:$C$76,C783)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SUMIFS(RAB!$F$14:$F$76,RAB!$C$14:$C$76,C784)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SUMIFS(RAB!$F$14:$F$76,RAB!$C$14:$C$76,C785)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SUMIFS(RAB!$F$14:$F$76,RAB!$C$14:$C$76,C786)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SUMIFS(RAB!$F$14:$F$76,RAB!$C$14:$C$76,C787)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SUMIFS(RAB!$F$14:$F$76,RAB!$C$14:$C$76,C788)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SUMIFS(RAB!$F$14:$F$76,RAB!$C$14:$C$76,C789)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SUMIFS(RAB!$F$14:$F$76,RAB!$C$14:$C$76,C790)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SUMIFS(RAB!$F$14:$F$76,RAB!$C$14:$C$76,C791)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SUMIFS(RAB!$F$14:$F$76,RAB!$C$14:$C$76,C792)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SUMIFS(RAB!$F$14:$F$76,RAB!$C$14:$C$76,C793)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SUMIFS(RAB!$F$14:$F$76,RAB!$C$14:$C$76,C794)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SUMIFS(RAB!$F$14:$F$76,RAB!$C$14:$C$76,C795)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SUMIFS(RAB!$F$14:$F$76,RAB!$C$14:$C$76,C796)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SUMIFS(RAB!$F$14:$F$76,RAB!$C$14:$C$76,C797)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SUMIFS(RAB!$F$14:$F$76,RAB!$C$14:$C$76,C798)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SUMIFS(RAB!$F$14:$F$76,RAB!$C$14:$C$76,C799)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SUMIFS(RAB!$F$14:$F$76,RAB!$C$14:$C$76,C800)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SUMIFS(RAB!$F$14:$F$76,RAB!$C$14:$C$76,C801)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SUMIFS(RAB!$F$14:$F$76,RAB!$C$14:$C$76,C802)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SUMIFS(RAB!$F$14:$F$76,RAB!$C$14:$C$76,C803)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SUMIFS(RAB!$F$14:$F$76,RAB!$C$14:$C$76,C804)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SUMIFS(RAB!$F$14:$F$76,RAB!$C$14:$C$76,C805)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SUMIFS(RAB!$F$14:$F$76,RAB!$C$14:$C$76,C806)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SUMIFS(RAB!$F$14:$F$76,RAB!$C$14:$C$76,C807)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SUMIFS(RAB!$F$14:$F$76,RAB!$C$14:$C$76,C808)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SUMIFS(RAB!$F$14:$F$76,RAB!$C$14:$C$76,C809)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SUMIFS(RAB!$F$14:$F$76,RAB!$C$14:$C$76,C810)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SUMIFS(RAB!$F$14:$F$76,RAB!$C$14:$C$76,C811)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SUMIFS(RAB!$F$14:$F$76,RAB!$C$14:$C$76,C812)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SUMIFS(RAB!$F$14:$F$76,RAB!$C$14:$C$76,C813)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SUMIFS(RAB!$F$14:$F$76,RAB!$C$14:$C$76,C814)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SUMIFS(RAB!$F$14:$F$76,RAB!$C$14:$C$76,C815)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SUMIFS(RAB!$F$14:$F$76,RAB!$C$14:$C$76,C816)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SUMIFS(RAB!$F$14:$F$76,RAB!$C$14:$C$76,C817)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SUMIFS(RAB!$F$14:$F$76,RAB!$C$14:$C$76,C818)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SUMIFS(RAB!$F$14:$F$76,RAB!$C$14:$C$76,C819)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SUMIFS(RAB!$F$14:$F$76,RAB!$C$14:$C$76,C820)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SUMIFS(RAB!$F$14:$F$76,RAB!$C$14:$C$76,C821)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SUMIFS(RAB!$F$14:$F$76,RAB!$C$14:$C$76,C822)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SUMIFS(RAB!$F$14:$F$76,RAB!$C$14:$C$76,C823)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SUMIFS(RAB!$F$14:$F$76,RAB!$C$14:$C$76,C824)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SUMIFS(RAB!$F$14:$F$76,RAB!$C$14:$C$76,C825)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SUMIFS(RAB!$F$14:$F$76,RAB!$C$14:$C$76,C826)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SUMIFS(RAB!$F$14:$F$76,RAB!$C$14:$C$76,C827)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SUMIFS(RAB!$F$14:$F$76,RAB!$C$14:$C$76,C828)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SUMIFS(RAB!$F$14:$F$76,RAB!$C$14:$C$76,C829)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SUMIFS(RAB!$F$14:$F$76,RAB!$C$14:$C$76,C830)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SUMIFS(RAB!$F$14:$F$76,RAB!$C$14:$C$76,C831)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SUMIFS(RAB!$F$14:$F$76,RAB!$C$14:$C$76,C832)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SUMIFS(RAB!$F$14:$F$76,RAB!$C$14:$C$76,C833)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SUMIFS(RAB!$F$14:$F$76,RAB!$C$14:$C$76,C834)</f>
        <v>120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SUMIFS(RAB!$F$14:$F$76,RAB!$C$14:$C$76,C835)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SUMIFS(RAB!$F$14:$F$76,RAB!$C$14:$C$76,C836)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SUMIFS(RAB!$F$14:$F$76,RAB!$C$14:$C$76,C837)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SUMIFS(RAB!$F$14:$F$76,RAB!$C$14:$C$76,C838)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SUMIFS(RAB!$F$14:$F$76,RAB!$C$14:$C$76,C839)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SUMIFS(RAB!$F$14:$F$76,RAB!$C$14:$C$76,C840)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SUMIFS(RAB!$F$14:$F$76,RAB!$C$14:$C$76,C841)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SUMIFS(RAB!$F$14:$F$76,RAB!$C$14:$C$76,C842)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SUMIFS(RAB!$F$14:$F$76,RAB!$C$14:$C$76,C843)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SUMIFS(RAB!$F$14:$F$76,RAB!$C$14:$C$76,C844)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SUMIFS(RAB!$F$14:$F$76,RAB!$C$14:$C$76,C845)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SUMIFS(RAB!$F$14:$F$76,RAB!$C$14:$C$76,C846)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SUMIFS(RAB!$F$14:$F$76,RAB!$C$14:$C$76,C847)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SUMIFS(RAB!$F$14:$F$76,RAB!$C$14:$C$76,C848)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SUMIFS(RAB!$F$14:$F$76,RAB!$C$14:$C$76,C849)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SUMIFS(RAB!$F$14:$F$76,RAB!$C$14:$C$76,C850)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SUMIFS(RAB!$F$14:$F$76,RAB!$C$14:$C$76,C851)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SUMIFS(RAB!$F$14:$F$76,RAB!$C$14:$C$76,C852)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SUMIFS(RAB!$F$14:$F$76,RAB!$C$14:$C$76,C853)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SUMIFS(RAB!$F$14:$F$76,RAB!$C$14:$C$76,C854)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SUMIFS(RAB!$F$14:$F$76,RAB!$C$14:$C$76,C855)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SUMIFS(RAB!$F$14:$F$76,RAB!$C$14:$C$76,C856)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SUMIFS(RAB!$F$14:$F$76,RAB!$C$14:$C$76,C857)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SUMIFS(RAB!$F$14:$F$76,RAB!$C$14:$C$76,C858)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SUMIFS(RAB!$F$14:$F$76,RAB!$C$14:$C$76,C859)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SUMIFS(RAB!$F$14:$F$76,RAB!$C$14:$C$76,C860)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SUMIFS(RAB!$F$14:$F$76,RAB!$C$14:$C$76,C861)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SUMIFS(RAB!$F$14:$F$76,RAB!$C$14:$C$76,C862)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SUMIFS(RAB!$F$14:$F$76,RAB!$C$14:$C$76,C863)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SUMIFS(RAB!$F$14:$F$76,RAB!$C$14:$C$76,C864)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SUMIFS(RAB!$F$14:$F$76,RAB!$C$14:$C$76,C865)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SUMIFS(RAB!$F$14:$F$76,RAB!$C$14:$C$76,C866)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SUMIFS(RAB!$F$14:$F$76,RAB!$C$14:$C$76,C867)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SUMIFS(RAB!$F$14:$F$76,RAB!$C$14:$C$76,C868)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SUMIFS(RAB!$F$14:$F$76,RAB!$C$14:$C$76,C869)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SUMIFS(RAB!$F$14:$F$76,RAB!$C$14:$C$76,C870)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SUMIFS(RAB!$F$14:$F$76,RAB!$C$14:$C$76,C871)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SUMIFS(RAB!$F$14:$F$76,RAB!$C$14:$C$76,C872)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SUMIFS(RAB!$F$14:$F$76,RAB!$C$14:$C$76,C873)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SUMIFS(RAB!$F$14:$F$76,RAB!$C$14:$C$76,C874)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SUMIFS(RAB!$F$14:$F$76,RAB!$C$14:$C$76,C875)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SUMIFS(RAB!$F$14:$F$76,RAB!$C$14:$C$76,C876)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SUMIFS(RAB!$F$14:$F$76,RAB!$C$14:$C$76,C877)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SUMIFS(RAB!$F$14:$F$76,RAB!$C$14:$C$76,C878)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SUMIFS(RAB!$F$14:$F$76,RAB!$C$14:$C$76,C879)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SUMIFS(RAB!$F$14:$F$76,RAB!$C$14:$C$76,C880)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SUMIFS(RAB!$F$14:$F$76,RAB!$C$14:$C$76,C881)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SUMIFS(RAB!$F$14:$F$76,RAB!$C$14:$C$76,C882)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SUMIFS(RAB!$F$14:$F$76,RAB!$C$14:$C$76,C883)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SUMIFS(RAB!$F$14:$F$76,RAB!$C$14:$C$76,C884)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SUMIFS(RAB!$F$14:$F$76,RAB!$C$14:$C$76,C885)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SUMIFS(RAB!$F$14:$F$76,RAB!$C$14:$C$76,C886)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SUMIFS(RAB!$F$14:$F$76,RAB!$C$14:$C$76,C887)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SUMIFS(RAB!$F$14:$F$76,RAB!$C$14:$C$76,C888)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SUMIFS(RAB!$F$14:$F$76,RAB!$C$14:$C$76,C889)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SUMIFS(RAB!$F$14:$F$76,RAB!$C$14:$C$76,C890)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SUMIFS(RAB!$F$14:$F$76,RAB!$C$14:$C$76,C891)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SUMIFS(RAB!$F$14:$F$76,RAB!$C$14:$C$76,C892)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SUMIFS(RAB!$F$14:$F$76,RAB!$C$14:$C$76,C893)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SUMIFS(RAB!$F$14:$F$76,RAB!$C$14:$C$76,C894)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SUMIFS(RAB!$F$14:$F$76,RAB!$C$14:$C$76,C895)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SUMIFS(RAB!$F$14:$F$76,RAB!$C$14:$C$76,C896)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SUMIFS(RAB!$F$14:$F$76,RAB!$C$14:$C$76,C897)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SUMIFS(RAB!$F$14:$F$76,RAB!$C$14:$C$76,C898)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SUMIFS(RAB!$F$14:$F$76,RAB!$C$14:$C$76,C899)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SUMIFS(RAB!$F$14:$F$76,RAB!$C$14:$C$76,C900)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SUMIFS(RAB!$F$14:$F$76,RAB!$C$14:$C$76,C901)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SUMIFS(RAB!$F$14:$F$76,RAB!$C$14:$C$76,C902)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SUMIFS(RAB!$F$14:$F$76,RAB!$C$14:$C$76,C903)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SUMIFS(RAB!$F$14:$F$76,RAB!$C$14:$C$76,C904)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SUMIFS(RAB!$F$14:$F$76,RAB!$C$14:$C$76,C905)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SUMIFS(RAB!$F$14:$F$76,RAB!$C$14:$C$76,C906)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SUMIFS(RAB!$F$14:$F$76,RAB!$C$14:$C$76,C907)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SUMIFS(RAB!$F$14:$F$76,RAB!$C$14:$C$76,C908)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SUMIFS(RAB!$F$14:$F$76,RAB!$C$14:$C$76,C909)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SUMIFS(RAB!$F$14:$F$76,RAB!$C$14:$C$76,C910)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SUMIFS(RAB!$F$14:$F$76,RAB!$C$14:$C$76,C911)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SUMIFS(RAB!$F$14:$F$76,RAB!$C$14:$C$76,C912)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SUMIFS(RAB!$F$14:$F$76,RAB!$C$14:$C$76,C913)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SUMIFS(RAB!$F$14:$F$76,RAB!$C$14:$C$76,C914)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SUMIFS(RAB!$F$14:$F$76,RAB!$C$14:$C$76,C915)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SUMIFS(RAB!$F$14:$F$76,RAB!$C$14:$C$76,C916)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SUMIFS(RAB!$F$14:$F$76,RAB!$C$14:$C$76,C917)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SUMIFS(RAB!$F$14:$F$76,RAB!$C$14:$C$76,C918)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SUMIFS(RAB!$F$14:$F$76,RAB!$C$14:$C$76,C919)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SUMIFS(RAB!$F$14:$F$76,RAB!$C$14:$C$76,C920)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SUMIFS(RAB!$F$14:$F$76,RAB!$C$14:$C$76,C921)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SUMIFS(RAB!$F$14:$F$76,RAB!$C$14:$C$76,C922)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SUMIFS(RAB!$F$14:$F$76,RAB!$C$14:$C$76,C923)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SUMIFS(RAB!$F$14:$F$76,RAB!$C$14:$C$76,C924)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SUMIFS(RAB!$F$14:$F$76,RAB!$C$14:$C$76,C925)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SUMIFS(RAB!$F$14:$F$76,RAB!$C$14:$C$76,C926)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SUMIFS(RAB!$F$14:$F$76,RAB!$C$14:$C$76,C927)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SUMIFS(RAB!$F$14:$F$76,RAB!$C$14:$C$76,C928)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SUMIFS(RAB!$F$14:$F$76,RAB!$C$14:$C$76,C929)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SUMIFS(RAB!$F$14:$F$76,RAB!$C$14:$C$76,C930)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SUMIFS(RAB!$F$14:$F$76,RAB!$C$14:$C$76,C931)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SUMIFS(RAB!$F$14:$F$76,RAB!$C$14:$C$76,C932)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SUMIFS(RAB!$F$14:$F$76,RAB!$C$14:$C$76,C933)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SUMIFS(RAB!$F$14:$F$76,RAB!$C$14:$C$76,C934)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SUMIFS(RAB!$F$14:$F$76,RAB!$C$14:$C$76,C935)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SUMIFS(RAB!$F$14:$F$76,RAB!$C$14:$C$76,C936)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SUMIFS(RAB!$F$14:$F$76,RAB!$C$14:$C$76,C937)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SUMIFS(RAB!$F$14:$F$76,RAB!$C$14:$C$76,C938)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SUMIFS(RAB!$F$14:$F$76,RAB!$C$14:$C$76,C939)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SUMIFS(RAB!$F$14:$F$76,RAB!$C$14:$C$76,C940)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SUMIFS(RAB!$F$14:$F$76,RAB!$C$14:$C$76,C941)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SUMIFS(RAB!$F$14:$F$76,RAB!$C$14:$C$76,C942)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SUMIFS(RAB!$F$14:$F$76,RAB!$C$14:$C$76,C943)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SUMIFS(RAB!$F$14:$F$76,RAB!$C$14:$C$76,C944)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SUMIFS(RAB!$F$14:$F$76,RAB!$C$14:$C$76,C945)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SUMIFS(RAB!$F$14:$F$76,RAB!$C$14:$C$76,C946)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SUMIFS(RAB!$F$14:$F$76,RAB!$C$14:$C$76,C947)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SUMIFS(RAB!$F$14:$F$76,RAB!$C$14:$C$76,C948)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SUMIFS(RAB!$F$14:$F$76,RAB!$C$14:$C$76,C949)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SUMIFS(RAB!$F$14:$F$76,RAB!$C$14:$C$76,C950)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SUMIFS(RAB!$F$14:$F$76,RAB!$C$14:$C$76,C951)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SUMIFS(RAB!$F$14:$F$76,RAB!$C$14:$C$76,C952)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SUMIFS(RAB!$F$14:$F$76,RAB!$C$14:$C$76,C953)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SUMIFS(RAB!$F$14:$F$76,RAB!$C$14:$C$76,C954)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SUMIFS(RAB!$F$14:$F$76,RAB!$C$14:$C$76,C955)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SUMIFS(RAB!$F$14:$F$76,RAB!$C$14:$C$76,C956)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SUMIFS(RAB!$F$14:$F$76,RAB!$C$14:$C$76,C957)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SUMIFS(RAB!$F$14:$F$76,RAB!$C$14:$C$76,C958)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SUMIFS(RAB!$F$14:$F$76,RAB!$C$14:$C$76,C959)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SUMIFS(RAB!$F$14:$F$76,RAB!$C$14:$C$76,C960)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SUMIFS(RAB!$F$14:$F$76,RAB!$C$14:$C$76,C961)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SUMIFS(RAB!$F$14:$F$76,RAB!$C$14:$C$76,C962)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SUMIFS(RAB!$F$14:$F$76,RAB!$C$14:$C$76,C963)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SUMIFS(RAB!$F$14:$F$76,RAB!$C$14:$C$76,C964)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SUMIFS(RAB!$F$14:$F$76,RAB!$C$14:$C$76,C965)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SUMIFS(RAB!$F$14:$F$76,RAB!$C$14:$C$76,C966)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SUMIFS(RAB!$F$14:$F$76,RAB!$C$14:$C$76,C967)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SUMIFS(RAB!$F$14:$F$76,RAB!$C$14:$C$76,C968)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SUMIFS(RAB!$F$14:$F$76,RAB!$C$14:$C$76,C969)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SUMIFS(RAB!$F$14:$F$76,RAB!$C$14:$C$76,C970)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SUMIFS(RAB!$F$14:$F$76,RAB!$C$14:$C$76,C971)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SUMIFS(RAB!$F$14:$F$76,RAB!$C$14:$C$76,C972)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SUMIFS(RAB!$F$14:$F$76,RAB!$C$14:$C$76,C973)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SUMIFS(RAB!$F$14:$F$76,RAB!$C$14:$C$76,C974)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SUMIFS(RAB!$F$14:$F$76,RAB!$C$14:$C$76,C975)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SUMIFS(RAB!$F$14:$F$76,RAB!$C$14:$C$76,C976)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SUMIFS(RAB!$F$14:$F$76,RAB!$C$14:$C$76,C977)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SUMIFS(RAB!$F$14:$F$76,RAB!$C$14:$C$76,C978)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SUMIFS(RAB!$F$14:$F$76,RAB!$C$14:$C$76,C979)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SUMIFS(RAB!$F$14:$F$76,RAB!$C$14:$C$76,C980)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SUMIFS(RAB!$F$14:$F$76,RAB!$C$14:$C$76,C981)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SUMIFS(RAB!$F$14:$F$76,RAB!$C$14:$C$76,C982)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SUMIFS(RAB!$F$14:$F$76,RAB!$C$14:$C$76,C983)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SUMIFS(RAB!$F$14:$F$76,RAB!$C$14:$C$76,C984)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SUMIFS(RAB!$F$14:$F$76,RAB!$C$14:$C$76,C985)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SUMIFS(RAB!$F$14:$F$76,RAB!$C$14:$C$76,C986)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SUMIFS(RAB!$F$14:$F$76,RAB!$C$14:$C$76,C987)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SUMIFS(RAB!$F$14:$F$76,RAB!$C$14:$C$76,C988)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SUMIFS(RAB!$F$14:$F$76,RAB!$C$14:$C$76,C989)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SUMIFS(RAB!$F$14:$F$76,RAB!$C$14:$C$76,C990)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SUMIFS(RAB!$F$14:$F$76,RAB!$C$14:$C$76,C991)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SUMIFS(RAB!$F$14:$F$76,RAB!$C$14:$C$76,C992)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SUMIFS(RAB!$F$14:$F$76,RAB!$C$14:$C$76,C993)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SUMIFS(RAB!$F$14:$F$76,RAB!$C$14:$C$76,C994)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SUMIFS(RAB!$F$14:$F$76,RAB!$C$14:$C$76,C995)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SUMIFS(RAB!$F$14:$F$76,RAB!$C$14:$C$76,C996)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SUMIFS(RAB!$F$14:$F$76,RAB!$C$14:$C$76,C997)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SUMIFS(RAB!$F$14:$F$76,RAB!$C$14:$C$76,C998)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SUMIFS(RAB!$F$14:$F$76,RAB!$C$14:$C$76,C999)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SUMIFS(RAB!$F$14:$F$76,RAB!$C$14:$C$76,C1000)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SUMIFS(RAB!$F$14:$F$76,RAB!$C$14:$C$76,C1001)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SUMIFS(RAB!$F$14:$F$76,RAB!$C$14:$C$76,C1002)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SUMIFS(RAB!$F$14:$F$76,RAB!$C$14:$C$76,C1003)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SUMIFS(RAB!$F$14:$F$76,RAB!$C$14:$C$76,C1004)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SUMIFS(RAB!$F$14:$F$76,RAB!$C$14:$C$76,C1005)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SUMIFS(RAB!$F$14:$F$76,RAB!$C$14:$C$76,C1006)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SUMIFS(RAB!$F$14:$F$76,RAB!$C$14:$C$76,C1007)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SUMIFS(RAB!$F$14:$F$76,RAB!$C$14:$C$76,C1008)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SUMIFS(RAB!$F$14:$F$76,RAB!$C$14:$C$76,C1009)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SUMIFS(RAB!$F$14:$F$76,RAB!$C$14:$C$76,C1010)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SUMIFS(RAB!$F$14:$F$76,RAB!$C$14:$C$76,C1011)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SUMIFS(RAB!$F$14:$F$76,RAB!$C$14:$C$76,C1012)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SUMIFS(RAB!$F$14:$F$76,RAB!$C$14:$C$76,C1013)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SUMIFS(RAB!$F$14:$F$76,RAB!$C$14:$C$76,C1014)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SUMIFS(RAB!$F$14:$F$76,RAB!$C$14:$C$76,C1015)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SUMIFS(RAB!$F$14:$F$76,RAB!$C$14:$C$76,C1016)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SUMIFS(RAB!$F$14:$F$76,RAB!$C$14:$C$76,C1017)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SUMIFS(RAB!$F$14:$F$76,RAB!$C$14:$C$76,C1018)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SUMIFS(RAB!$F$14:$F$76,RAB!$C$14:$C$76,C1019)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SUMIFS(RAB!$F$14:$F$76,RAB!$C$14:$C$76,C1020)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SUMIFS(RAB!$F$14:$F$76,RAB!$C$14:$C$76,C1021)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SUMIFS(RAB!$F$14:$F$76,RAB!$C$14:$C$76,C1022)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SUMIFS(RAB!$F$14:$F$76,RAB!$C$14:$C$76,C1023)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SUMIFS(RAB!$F$14:$F$76,RAB!$C$14:$C$76,C1024)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SUMIFS(RAB!$F$14:$F$76,RAB!$C$14:$C$76,C1025)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SUMIFS(RAB!$F$14:$F$76,RAB!$C$14:$C$76,C1026)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SUMIFS(RAB!$F$14:$F$76,RAB!$C$14:$C$76,C1027)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SUMIFS(RAB!$F$14:$F$76,RAB!$C$14:$C$76,C1028)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SUMIFS(RAB!$F$14:$F$76,RAB!$C$14:$C$76,C1029)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SUMIFS(RAB!$F$14:$F$76,RAB!$C$14:$C$76,C1030)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SUMIFS(RAB!$F$14:$F$76,RAB!$C$14:$C$76,C1031)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SUMIFS(RAB!$F$14:$F$76,RAB!$C$14:$C$76,C1032)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SUMIFS(RAB!$F$14:$F$76,RAB!$C$14:$C$76,C1033)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SUMIFS(RAB!$F$14:$F$76,RAB!$C$14:$C$76,C1034)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SUMIFS(RAB!$F$14:$F$76,RAB!$C$14:$C$76,C1035)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SUMIFS(RAB!$F$14:$F$76,RAB!$C$14:$C$76,C1036)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SUMIFS(RAB!$F$14:$F$76,RAB!$C$14:$C$76,C1037)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SUMIFS(RAB!$F$14:$F$76,RAB!$C$14:$C$76,C1038)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SUMIFS(RAB!$F$14:$F$76,RAB!$C$14:$C$76,C1039)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SUMIFS(RAB!$F$14:$F$76,RAB!$C$14:$C$76,C1040)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SUMIFS(RAB!$F$14:$F$76,RAB!$C$14:$C$76,C1041)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SUMIFS(RAB!$F$14:$F$76,RAB!$C$14:$C$76,C1042)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SUMIFS(RAB!$F$14:$F$76,RAB!$C$14:$C$76,C1043)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SUMIFS(RAB!$F$14:$F$76,RAB!$C$14:$C$76,C1044)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SUMIFS(RAB!$F$14:$F$76,RAB!$C$14:$C$76,C1045)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SUMIFS(RAB!$F$14:$F$76,RAB!$C$14:$C$76,C1046)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SUMIFS(RAB!$F$14:$F$76,RAB!$C$14:$C$76,C1047)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SUMIFS(RAB!$F$14:$F$76,RAB!$C$14:$C$76,C1048)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SUMIFS(RAB!$F$14:$F$76,RAB!$C$14:$C$76,C1049)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SUMIFS(RAB!$F$14:$F$76,RAB!$C$14:$C$76,C1050)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SUMIFS(RAB!$F$14:$F$76,RAB!$C$14:$C$76,C1051)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SUMIFS(RAB!$F$14:$F$76,RAB!$C$14:$C$76,C1052)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SUMIFS(RAB!$F$14:$F$76,RAB!$C$14:$C$76,C1053)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SUMIFS(RAB!$F$14:$F$76,RAB!$C$14:$C$76,C1054)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SUMIFS(RAB!$F$14:$F$76,RAB!$C$14:$C$76,C1055)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SUMIFS(RAB!$F$14:$F$76,RAB!$C$14:$C$76,C1056)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SUMIFS(RAB!$F$14:$F$76,RAB!$C$14:$C$76,C1057)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SUMIFS(RAB!$F$14:$F$76,RAB!$C$14:$C$76,C1058)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SUMIFS(RAB!$F$14:$F$76,RAB!$C$14:$C$76,C1059)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SUMIFS(RAB!$F$14:$F$76,RAB!$C$14:$C$76,C1060)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SUMIFS(RAB!$F$14:$F$76,RAB!$C$14:$C$76,C1061)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SUMIFS(RAB!$F$14:$F$76,RAB!$C$14:$C$76,C1062)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SUMIFS(RAB!$F$14:$F$76,RAB!$C$14:$C$76,C1063)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SUMIFS(RAB!$F$14:$F$76,RAB!$C$14:$C$76,C1064)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SUMIFS(RAB!$F$14:$F$76,RAB!$C$14:$C$76,C1065)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SUMIFS(RAB!$F$14:$F$76,RAB!$C$14:$C$76,C1066)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SUMIFS(RAB!$F$14:$F$76,RAB!$C$14:$C$76,C1067)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SUMIFS(RAB!$F$14:$F$76,RAB!$C$14:$C$76,C1068)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SUMIFS(RAB!$F$14:$F$76,RAB!$C$14:$C$76,C1069)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SUMIFS(RAB!$F$14:$F$76,RAB!$C$14:$C$76,C1070)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SUMIFS(RAB!$F$14:$F$76,RAB!$C$14:$C$76,C1071)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SUMIFS(RAB!$F$14:$F$76,RAB!$C$14:$C$76,C1072)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SUMIFS(RAB!$F$14:$F$76,RAB!$C$14:$C$76,C1073)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SUMIFS(RAB!$F$14:$F$76,RAB!$C$14:$C$76,C1074)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SUMIFS(RAB!$F$14:$F$76,RAB!$C$14:$C$76,C1075)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SUMIFS(RAB!$F$14:$F$76,RAB!$C$14:$C$76,C1076)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SUMIFS(RAB!$F$14:$F$76,RAB!$C$14:$C$76,C1077)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SUMIFS(RAB!$F$14:$F$76,RAB!$C$14:$C$76,C1078)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SUMIFS(RAB!$F$14:$F$76,RAB!$C$14:$C$76,C1079)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SUMIFS(RAB!$F$14:$F$76,RAB!$C$14:$C$76,C1080)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SUMIFS(RAB!$F$14:$F$76,RAB!$C$14:$C$76,C1081)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SUMIFS(RAB!$F$14:$F$76,RAB!$C$14:$C$76,C1082)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SUMIFS(RAB!$F$14:$F$76,RAB!$C$14:$C$76,C1083)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SUMIFS(RAB!$F$14:$F$76,RAB!$C$14:$C$76,C1084)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SUMIFS(RAB!$F$14:$F$76,RAB!$C$14:$C$76,C1085)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SUMIFS(RAB!$F$14:$F$76,RAB!$C$14:$C$76,C1086)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SUMIFS(RAB!$F$14:$F$76,RAB!$C$14:$C$76,C1087)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SUMIFS(RAB!$F$14:$F$76,RAB!$C$14:$C$76,C1088)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SUMIFS(RAB!$F$14:$F$76,RAB!$C$14:$C$76,C1089)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SUMIFS(RAB!$F$14:$F$76,RAB!$C$14:$C$76,C1090)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SUMIFS(RAB!$F$14:$F$76,RAB!$C$14:$C$76,C1091)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SUMIFS(RAB!$F$14:$F$76,RAB!$C$14:$C$76,C1092)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SUMIFS(RAB!$F$14:$F$76,RAB!$C$14:$C$76,C1093)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SUMIFS(RAB!$F$14:$F$76,RAB!$C$14:$C$76,C1094)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SUMIFS(RAB!$F$14:$F$76,RAB!$C$14:$C$76,C1095)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SUMIFS(RAB!$F$14:$F$76,RAB!$C$14:$C$76,C1096)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SUMIFS(RAB!$F$14:$F$76,RAB!$C$14:$C$76,C1097)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SUMIFS(RAB!$F$14:$F$76,RAB!$C$14:$C$76,C1098)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SUMIFS(RAB!$F$14:$F$76,RAB!$C$14:$C$76,C1099)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SUMIFS(RAB!$F$14:$F$76,RAB!$C$14:$C$76,C1100)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SUMIFS(RAB!$F$14:$F$76,RAB!$C$14:$C$76,C1101)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SUMIFS(RAB!$F$14:$F$76,RAB!$C$14:$C$76,C1102)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SUMIFS(RAB!$F$14:$F$76,RAB!$C$14:$C$76,C1103)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SUMIFS(RAB!$F$14:$F$76,RAB!$C$14:$C$76,C1104)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SUMIFS(RAB!$F$14:$F$76,RAB!$C$14:$C$76,C1105)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SUMIFS(RAB!$F$14:$F$76,RAB!$C$14:$C$76,C1106)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SUMIFS(RAB!$F$14:$F$76,RAB!$C$14:$C$76,C1107)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SUMIFS(RAB!$F$14:$F$76,RAB!$C$14:$C$76,C1108)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SUMIFS(RAB!$F$14:$F$76,RAB!$C$14:$C$76,C1109)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SUMIFS(RAB!$F$14:$F$76,RAB!$C$14:$C$76,C1110)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SUMIFS(RAB!$F$14:$F$76,RAB!$C$14:$C$76,C1111)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SUMIFS(RAB!$F$14:$F$76,RAB!$C$14:$C$76,C1112)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SUMIFS(RAB!$F$14:$F$76,RAB!$C$14:$C$76,C1113)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SUMIFS(RAB!$F$14:$F$76,RAB!$C$14:$C$76,C1114)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SUMIFS(RAB!$F$14:$F$76,RAB!$C$14:$C$76,C1115)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SUMIFS(RAB!$F$14:$F$76,RAB!$C$14:$C$76,C1116)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SUMIFS(RAB!$F$14:$F$76,RAB!$C$14:$C$76,C1117)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SUMIFS(RAB!$F$14:$F$76,RAB!$C$14:$C$76,C1118)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SUMIFS(RAB!$F$14:$F$76,RAB!$C$14:$C$76,C1119)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SUMIFS(RAB!$F$14:$F$76,RAB!$C$14:$C$76,C1120)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SUMIFS(RAB!$F$14:$F$76,RAB!$C$14:$C$76,C1121)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SUMIFS(RAB!$F$14:$F$76,RAB!$C$14:$C$76,C1122)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SUMIFS(RAB!$F$14:$F$76,RAB!$C$14:$C$76,C1123)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SUMIFS(RAB!$F$14:$F$76,RAB!$C$14:$C$76,C1124)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SUMIFS(RAB!$F$14:$F$76,RAB!$C$14:$C$76,C1125)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SUMIFS(RAB!$F$14:$F$76,RAB!$C$14:$C$76,C1126)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SUMIFS(RAB!$F$14:$F$76,RAB!$C$14:$C$76,C1127)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SUMIFS(RAB!$F$14:$F$76,RAB!$C$14:$C$76,C1128)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SUMIFS(RAB!$F$14:$F$76,RAB!$C$14:$C$76,C1129)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SUMIFS(RAB!$F$14:$F$76,RAB!$C$14:$C$76,C1130)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SUMIFS(RAB!$F$14:$F$76,RAB!$C$14:$C$76,C1131)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SUMIFS(RAB!$F$14:$F$76,RAB!$C$14:$C$76,C1132)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SUMIFS(RAB!$F$14:$F$76,RAB!$C$14:$C$76,C1133)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SUMIFS(RAB!$F$14:$F$76,RAB!$C$14:$C$76,C1134)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SUMIFS(RAB!$F$14:$F$76,RAB!$C$14:$C$76,C1135)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SUMIFS(RAB!$F$14:$F$76,RAB!$C$14:$C$76,C1136)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SUMIFS(RAB!$F$14:$F$76,RAB!$C$14:$C$76,C1137)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SUMIFS(RAB!$F$14:$F$76,RAB!$C$14:$C$76,C1138)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SUMIFS(RAB!$F$14:$F$76,RAB!$C$14:$C$76,C1139)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SUMIFS(RAB!$F$14:$F$76,RAB!$C$14:$C$76,C1140)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SUMIFS(RAB!$F$14:$F$76,RAB!$C$14:$C$76,C1141)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SUMIFS(RAB!$F$14:$F$76,RAB!$C$14:$C$76,C1142)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SUMIFS(RAB!$F$14:$F$76,RAB!$C$14:$C$76,C1143)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SUMIFS(RAB!$F$14:$F$76,RAB!$C$14:$C$76,C1144)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SUMIFS(RAB!$F$14:$F$76,RAB!$C$14:$C$76,C1145)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SUMIFS(RAB!$F$14:$F$76,RAB!$C$14:$C$76,C1146)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SUMIFS(RAB!$F$14:$F$76,RAB!$C$14:$C$76,C1147)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SUMIFS(RAB!$F$14:$F$76,RAB!$C$14:$C$76,C1148)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SUMIFS(RAB!$F$14:$F$76,RAB!$C$14:$C$76,C1149)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SUMIFS(RAB!$F$14:$F$76,RAB!$C$14:$C$76,C1150)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SUMIFS(RAB!$F$14:$F$76,RAB!$C$14:$C$76,C1151)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SUMIFS(RAB!$F$14:$F$76,RAB!$C$14:$C$76,C1152)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SUMIFS(RAB!$F$14:$F$76,RAB!$C$14:$C$76,C1153)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SUMIFS(RAB!$F$14:$F$76,RAB!$C$14:$C$76,C1154)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SUMIFS(RAB!$F$14:$F$76,RAB!$C$14:$C$76,C1155)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SUMIFS(RAB!$F$14:$F$76,RAB!$C$14:$C$76,C1156)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SUMIFS(RAB!$F$14:$F$76,RAB!$C$14:$C$76,C1157)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SUMIFS(RAB!$F$14:$F$76,RAB!$C$14:$C$76,C1158)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SUMIFS(RAB!$F$14:$F$76,RAB!$C$14:$C$76,C1159)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SUMIFS(RAB!$F$14:$F$76,RAB!$C$14:$C$76,C1160)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SUMIFS(RAB!$F$14:$F$76,RAB!$C$14:$C$76,C1161)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SUMIFS(RAB!$F$14:$F$76,RAB!$C$14:$C$76,C1162)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SUMIFS(RAB!$F$14:$F$76,RAB!$C$14:$C$76,C1163)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SUMIFS(RAB!$F$14:$F$76,RAB!$C$14:$C$76,C1164)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SUMIFS(RAB!$F$14:$F$76,RAB!$C$14:$C$76,C1165)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SUMIFS(RAB!$F$14:$F$76,RAB!$C$14:$C$76,C1166)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SUMIFS(RAB!$F$14:$F$76,RAB!$C$14:$C$76,C1167)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SUMIFS(RAB!$F$14:$F$76,RAB!$C$14:$C$76,C1168)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SUMIFS(RAB!$F$14:$F$76,RAB!$C$14:$C$76,C1169)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SUMIFS(RAB!$F$14:$F$76,RAB!$C$14:$C$76,C1170)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SUMIFS(RAB!$F$14:$F$76,RAB!$C$14:$C$76,C1171)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SUMIFS(RAB!$F$14:$F$76,RAB!$C$14:$C$76,C1172)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SUMIFS(RAB!$F$14:$F$76,RAB!$C$14:$C$76,C1173)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SUMIFS(RAB!$F$14:$F$76,RAB!$C$14:$C$76,C1174)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SUMIFS(RAB!$F$14:$F$76,RAB!$C$14:$C$76,C1175)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SUMIFS(RAB!$F$14:$F$76,RAB!$C$14:$C$76,C1176)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SUMIFS(RAB!$F$14:$F$76,RAB!$C$14:$C$76,C1177)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SUMIFS(RAB!$F$14:$F$76,RAB!$C$14:$C$76,C1178)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SUMIFS(RAB!$F$14:$F$76,RAB!$C$14:$C$76,C1179)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SUMIFS(RAB!$F$14:$F$76,RAB!$C$14:$C$76,C1180)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SUMIFS(RAB!$F$14:$F$76,RAB!$C$14:$C$76,C1181)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SUMIFS(RAB!$F$14:$F$76,RAB!$C$14:$C$76,C1182)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SUMIFS(RAB!$F$14:$F$76,RAB!$C$14:$C$76,C1183)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SUMIFS(RAB!$F$14:$F$76,RAB!$C$14:$C$76,C1184)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SUMIFS(RAB!$F$14:$F$76,RAB!$C$14:$C$76,C1185)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SUMIFS(RAB!$F$14:$F$76,RAB!$C$14:$C$76,C1186)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SUMIFS(RAB!$F$14:$F$76,RAB!$C$14:$C$76,C1187)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SUMIFS(RAB!$F$14:$F$76,RAB!$C$14:$C$76,C1188)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SUMIFS(RAB!$F$14:$F$76,RAB!$C$14:$C$76,C1189)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SUMIFS(RAB!$F$14:$F$76,RAB!$C$14:$C$76,C1190)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SUMIFS(RAB!$F$14:$F$76,RAB!$C$14:$C$76,C1191)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SUMIFS(RAB!$F$14:$F$76,RAB!$C$14:$C$76,C1192)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SUMIFS(RAB!$F$14:$F$76,RAB!$C$14:$C$76,C1193)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SUMIFS(RAB!$F$14:$F$76,RAB!$C$14:$C$76,C1194)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SUMIFS(RAB!$F$14:$F$76,RAB!$C$14:$C$76,C1195)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SUMIFS(RAB!$F$14:$F$76,RAB!$C$14:$C$76,C1196)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SUMIFS(RAB!$F$14:$F$76,RAB!$C$14:$C$76,C1197)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SUMIFS(RAB!$F$14:$F$76,RAB!$C$14:$C$76,C1198)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SUMIFS(RAB!$F$14:$F$76,RAB!$C$14:$C$76,C1199)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SUMIFS(RAB!$F$14:$F$76,RAB!$C$14:$C$76,C1200)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SUMIFS(RAB!$F$14:$F$76,RAB!$C$14:$C$76,C1201)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SUMIFS(RAB!$F$14:$F$76,RAB!$C$14:$C$76,C1202)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SUMIFS(RAB!$F$14:$F$76,RAB!$C$14:$C$76,C1203)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SUMIFS(RAB!$F$14:$F$76,RAB!$C$14:$C$76,C1204)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SUMIFS(RAB!$F$14:$F$76,RAB!$C$14:$C$76,C1205)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SUMIFS(RAB!$F$14:$F$76,RAB!$C$14:$C$76,C1206)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SUMIFS(RAB!$F$14:$F$76,RAB!$C$14:$C$76,C1207)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SUMIFS(RAB!$F$14:$F$76,RAB!$C$14:$C$76,C1208)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SUMIFS(RAB!$F$14:$F$76,RAB!$C$14:$C$76,C1209)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SUMIFS(RAB!$F$14:$F$76,RAB!$C$14:$C$76,C1210)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SUMIFS(RAB!$F$14:$F$76,RAB!$C$14:$C$76,C1211)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SUMIFS(RAB!$F$14:$F$76,RAB!$C$14:$C$76,C1212)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SUMIFS(RAB!$F$14:$F$76,RAB!$C$14:$C$76,C1213)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SUMIFS(RAB!$F$14:$F$76,RAB!$C$14:$C$76,C1214)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SUMIFS(RAB!$F$14:$F$76,RAB!$C$14:$C$76,C1215)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SUMIFS(RAB!$F$14:$F$76,RAB!$C$14:$C$76,C1216)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SUMIFS(RAB!$F$14:$F$76,RAB!$C$14:$C$76,C1217)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SUMIFS(RAB!$F$14:$F$76,RAB!$C$14:$C$76,C1218)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SUMIFS(RAB!$F$14:$F$76,RAB!$C$14:$C$76,C1219)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SUMIFS(RAB!$F$14:$F$76,RAB!$C$14:$C$76,C1220)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SUMIFS(RAB!$F$14:$F$76,RAB!$C$14:$C$76,C1221)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SUMIFS(RAB!$F$14:$F$76,RAB!$C$14:$C$76,C1222)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SUMIFS(RAB!$F$14:$F$76,RAB!$C$14:$C$76,C1223)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SUMIFS(RAB!$F$14:$F$76,RAB!$C$14:$C$76,C1224)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SUMIFS(RAB!$F$14:$F$76,RAB!$C$14:$C$76,C1225)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SUMIFS(RAB!$F$14:$F$76,RAB!$C$14:$C$76,C1226)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SUMIFS(RAB!$F$14:$F$76,RAB!$C$14:$C$76,C1227)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SUMIFS(RAB!$F$14:$F$76,RAB!$C$14:$C$76,C1228)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SUMIFS(RAB!$F$14:$F$76,RAB!$C$14:$C$76,C1229)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SUMIFS(RAB!$F$14:$F$76,RAB!$C$14:$C$76,C1230)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SUMIFS(RAB!$F$14:$F$76,RAB!$C$14:$C$76,C1231)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SUMIFS(RAB!$F$14:$F$76,RAB!$C$14:$C$76,C1232)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SUMIFS(RAB!$F$14:$F$76,RAB!$C$14:$C$76,C1233)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SUMIFS(RAB!$F$14:$F$76,RAB!$C$14:$C$76,C1234)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SUMIFS(RAB!$F$14:$F$76,RAB!$C$14:$C$76,C1235)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SUMIFS(RAB!$F$14:$F$76,RAB!$C$14:$C$76,C1236)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SUMIFS(RAB!$F$14:$F$76,RAB!$C$14:$C$76,C1237)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SUMIFS(RAB!$F$14:$F$76,RAB!$C$14:$C$76,C1238)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SUMIFS(RAB!$F$14:$F$76,RAB!$C$14:$C$76,C1239)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SUMIFS(RAB!$F$14:$F$76,RAB!$C$14:$C$76,C1240)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SUMIFS(RAB!$F$14:$F$76,RAB!$C$14:$C$76,C1241)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SUMIFS(RAB!$F$14:$F$76,RAB!$C$14:$C$76,C1242)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SUMIFS(RAB!$F$14:$F$76,RAB!$C$14:$C$76,C1243)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SUMIFS(RAB!$F$14:$F$76,RAB!$C$14:$C$76,C1244)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SUMIFS(RAB!$F$14:$F$76,RAB!$C$14:$C$76,C1245)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SUMIFS(RAB!$F$14:$F$76,RAB!$C$14:$C$76,C1246)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SUMIFS(RAB!$F$14:$F$76,RAB!$C$14:$C$76,C1247)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SUMIFS(RAB!$F$14:$F$76,RAB!$C$14:$C$76,C1248)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SUMIFS(RAB!$F$14:$F$76,RAB!$C$14:$C$76,C1249)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SUMIFS(RAB!$F$14:$F$76,RAB!$C$14:$C$76,C1250)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SUMIFS(RAB!$F$14:$F$76,RAB!$C$14:$C$76,C1251)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SUMIFS(RAB!$F$14:$F$76,RAB!$C$14:$C$76,C1252)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SUMIFS(RAB!$F$14:$F$76,RAB!$C$14:$C$76,C1253)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SUMIFS(RAB!$F$14:$F$76,RAB!$C$14:$C$76,C1254)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SUMIFS(RAB!$F$14:$F$76,RAB!$C$14:$C$76,C1255)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SUMIFS(RAB!$F$14:$F$76,RAB!$C$14:$C$76,C1256)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SUMIFS(RAB!$F$14:$F$76,RAB!$C$14:$C$76,C1257)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SUMIFS(RAB!$F$14:$F$76,RAB!$C$14:$C$76,C1258)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SUMIFS(RAB!$F$14:$F$76,RAB!$C$14:$C$76,C1259)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SUMIFS(RAB!$F$14:$F$76,RAB!$C$14:$C$76,C1260)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SUMIFS(RAB!$F$14:$F$76,RAB!$C$14:$C$76,C1261)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SUMIFS(RAB!$F$14:$F$76,RAB!$C$14:$C$76,C1262)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SUMIFS(RAB!$F$14:$F$76,RAB!$C$14:$C$76,C1263)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SUMIFS(RAB!$F$14:$F$76,RAB!$C$14:$C$76,C1264)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SUMIFS(RAB!$F$14:$F$76,RAB!$C$14:$C$76,C1265)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SUMIFS(RAB!$F$14:$F$76,RAB!$C$14:$C$76,C1266)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SUMIFS(RAB!$F$14:$F$76,RAB!$C$14:$C$76,C1267)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SUMIFS(RAB!$F$14:$F$76,RAB!$C$14:$C$76,C1268)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SUMIFS(RAB!$F$14:$F$76,RAB!$C$14:$C$76,C1269)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SUMIFS(RAB!$F$14:$F$76,RAB!$C$14:$C$76,C1270)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SUMIFS(RAB!$F$14:$F$76,RAB!$C$14:$C$76,C1271)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SUMIFS(RAB!$F$14:$F$76,RAB!$C$14:$C$76,C1272)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SUMIFS(RAB!$F$14:$F$76,RAB!$C$14:$C$76,C1273)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SUMIFS(RAB!$F$14:$F$76,RAB!$C$14:$C$76,C1274)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SUMIFS(RAB!$F$14:$F$76,RAB!$C$14:$C$76,C1275)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SUMIFS(RAB!$F$14:$F$76,RAB!$C$14:$C$76,C1276)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SUMIFS(RAB!$F$14:$F$76,RAB!$C$14:$C$76,C1277)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SUMIFS(RAB!$F$14:$F$76,RAB!$C$14:$C$76,C1278)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SUMIFS(RAB!$F$14:$F$76,RAB!$C$14:$C$76,C1279)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SUMIFS(RAB!$F$14:$F$76,RAB!$C$14:$C$76,C1280)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SUMIFS(RAB!$F$14:$F$76,RAB!$C$14:$C$76,C1281)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SUMIFS(RAB!$F$14:$F$76,RAB!$C$14:$C$76,C1282)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SUMIFS(RAB!$F$14:$F$76,RAB!$C$14:$C$76,C1283)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SUMIFS(RAB!$F$14:$F$76,RAB!$C$14:$C$76,C1284)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SUMIFS(RAB!$F$14:$F$76,RAB!$C$14:$C$76,C1285)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SUMIFS(RAB!$F$14:$F$76,RAB!$C$14:$C$76,C1286)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SUMIFS(RAB!$F$14:$F$76,RAB!$C$14:$C$76,C1287)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SUMIFS(RAB!$F$14:$F$76,RAB!$C$14:$C$76,C1288)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SUMIFS(RAB!$F$14:$F$76,RAB!$C$14:$C$76,C1289)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SUMIFS(RAB!$F$14:$F$76,RAB!$C$14:$C$76,C1290)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SUMIFS(RAB!$F$14:$F$76,RAB!$C$14:$C$76,C1291)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SUMIFS(RAB!$F$14:$F$76,RAB!$C$14:$C$76,C1292)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SUMIFS(RAB!$F$14:$F$76,RAB!$C$14:$C$76,C1293)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SUMIFS(RAB!$F$14:$F$76,RAB!$C$14:$C$76,C1294)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SUMIFS(RAB!$F$14:$F$76,RAB!$C$14:$C$76,C1295)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SUMIFS(RAB!$F$14:$F$76,RAB!$C$14:$C$76,C1296)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SUMIFS(RAB!$F$14:$F$76,RAB!$C$14:$C$76,C1297)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SUMIFS(RAB!$F$14:$F$76,RAB!$C$14:$C$76,C1298)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SUMIFS(RAB!$F$14:$F$76,RAB!$C$14:$C$76,C1299)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SUMIFS(RAB!$F$14:$F$76,RAB!$C$14:$C$76,C1300)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SUMIFS(RAB!$F$14:$F$76,RAB!$C$14:$C$76,C1301)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SUMIFS(RAB!$F$14:$F$76,RAB!$C$14:$C$76,C1302)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SUMIFS(RAB!$F$14:$F$76,RAB!$C$14:$C$76,C1303)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SUMIFS(RAB!$F$14:$F$76,RAB!$C$14:$C$76,C1304)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SUMIFS(RAB!$F$14:$F$76,RAB!$C$14:$C$76,C1305)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SUMIFS(RAB!$F$14:$F$76,RAB!$C$14:$C$76,C1306)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SUMIFS(RAB!$F$14:$F$76,RAB!$C$14:$C$76,C1307)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SUMIFS(RAB!$F$14:$F$76,RAB!$C$14:$C$76,C1308)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SUMIFS(RAB!$F$14:$F$76,RAB!$C$14:$C$76,C1309)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SUMIFS(RAB!$F$14:$F$76,RAB!$C$14:$C$76,C1310)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SUMIFS(RAB!$F$14:$F$76,RAB!$C$14:$C$76,C1311)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SUMIFS(RAB!$F$14:$F$76,RAB!$C$14:$C$76,C1312)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SUMIFS(RAB!$F$14:$F$76,RAB!$C$14:$C$76,C1313)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SUMIFS(RAB!$F$14:$F$76,RAB!$C$14:$C$76,C1314)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SUMIFS(RAB!$F$14:$F$76,RAB!$C$14:$C$76,C1315)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SUMIFS(RAB!$F$14:$F$76,RAB!$C$14:$C$76,C1316)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SUMIFS(RAB!$F$14:$F$76,RAB!$C$14:$C$76,C1317)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SUMIFS(RAB!$F$14:$F$76,RAB!$C$14:$C$76,C1318)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SUMIFS(RAB!$F$14:$F$76,RAB!$C$14:$C$76,C1319)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SUMIFS(RAB!$F$14:$F$76,RAB!$C$14:$C$76,C1320)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MITRATEL TSEL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PELEM GABUS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1008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462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SUMIFS(RAB!$F$14:$F$76,RAB!$C$14:$C$76,'REKAP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SUMIFS(RAB!$F$14:$F$76,RAB!$C$14:$C$76,'REKAP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SUMIFS(RAB!$F$14:$F$76,RAB!$C$14:$C$76,'REKAP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SUMIFS(RAB!$F$14:$F$76,RAB!$C$14:$C$76,'REKAP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SUMIFS(RAB!$F$14:$F$76,RAB!$C$14:$C$76,'REKAP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SUMIFS(RAB!$F$14:$F$76,RAB!$C$14:$C$76,'REKAP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SUMIFS(RAB!$F$14:$F$76,RAB!$C$14:$C$76,'REKAP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SUMIFS(RAB!$F$14:$F$76,RAB!$C$14:$C$76,'REKAP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SUMIFS(RAB!$F$14:$F$76,RAB!$C$14:$C$76,'REKAP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SUMIFS(RAB!$F$14:$F$76,RAB!$C$14:$C$76,'REKAP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SUMIFS(RAB!$F$14:$F$76,RAB!$C$14:$C$76,'REKAP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SUMIFS(RAB!$F$14:$F$76,RAB!$C$14:$C$76,'REKAP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SUMIFS(RAB!$F$14:$F$76,RAB!$C$14:$C$76,'REKAP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SUMIFS(RAB!$F$14:$F$76,RAB!$C$14:$C$76,'REKAP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SUMIFS(RAB!$F$14:$F$76,RAB!$C$14:$C$76,'REKAP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SUMIFS(RAB!$F$14:$F$76,RAB!$C$14:$C$76,'REKAP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SUMIFS(RAB!$F$14:$F$76,RAB!$C$14:$C$76,'REKAP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SUMIFS(RAB!$F$14:$F$76,RAB!$C$14:$C$76,'REKAP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SUMIFS(RAB!$F$14:$F$76,RAB!$C$14:$C$76,'REKAP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SUMIFS(RAB!$F$14:$F$76,RAB!$C$14:$C$76,'REKAP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MITRATEL TSEL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PELEM GABUS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120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6396000</v>
      </c>
      <c r="I18" s="42">
        <f t="shared" ca="1" si="2"/>
        <v>0</v>
      </c>
      <c r="J18" s="42">
        <f t="shared" ca="1" si="3"/>
        <v>0</v>
      </c>
      <c r="K18" s="43">
        <f t="shared" ca="1" si="0"/>
        <v>6396000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1008</v>
      </c>
      <c r="D168" s="555"/>
      <c r="E168" s="555"/>
      <c r="F168" s="555"/>
      <c r="G168" s="77" t="s">
        <v>9</v>
      </c>
      <c r="H168" s="55">
        <f ca="1">SUM(H14:H167)</f>
        <v>8406750</v>
      </c>
      <c r="I168" s="55">
        <f ca="1">SUM(I14:I167)</f>
        <v>0</v>
      </c>
      <c r="J168" s="55">
        <f ca="1">SUM(J14:J167)</f>
        <v>0</v>
      </c>
      <c r="K168" s="55">
        <f ca="1">SUM(K14:K167)</f>
        <v>8406750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462</v>
      </c>
      <c r="D169" s="556"/>
      <c r="E169" s="556"/>
      <c r="F169" s="556"/>
      <c r="G169" s="59" t="s">
        <v>9</v>
      </c>
      <c r="H169" s="60">
        <f ca="1">H168*0.1</f>
        <v>840675</v>
      </c>
      <c r="I169" s="60">
        <f ca="1">I168*0.1</f>
        <v>0</v>
      </c>
      <c r="J169" s="60">
        <f ca="1">J168*0.1</f>
        <v>0</v>
      </c>
      <c r="K169" s="60">
        <f ca="1">K168*0.1</f>
        <v>840675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9247425</v>
      </c>
      <c r="I170" s="78">
        <f ca="1">SUM(I168:I169)</f>
        <v>0</v>
      </c>
      <c r="J170" s="61">
        <f ca="1">SUM(J168:J169)</f>
        <v>0</v>
      </c>
      <c r="K170" s="61">
        <f ca="1">SUM(K168:K169)</f>
        <v>9247425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SUMIFS(RAB!$F$14:$F$76,RAB!$C$14:$C$76,C224)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SUMIFS(RAB!$F$14:$F$76,RAB!$C$14:$C$76,C225)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SUMIFS(RAB!$F$14:$F$76,RAB!$C$14:$C$76,C226)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SUMIFS(RAB!$F$14:$F$76,RAB!$C$14:$C$76,C227)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SUMIFS(RAB!$F$14:$F$76,RAB!$C$14:$C$76,C228)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SUMIFS(RAB!$F$14:$F$76,RAB!$C$14:$C$76,C229)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SUMIFS(RAB!$F$14:$F$76,RAB!$C$14:$C$76,C230)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SUMIFS(RAB!$F$14:$F$76,RAB!$C$14:$C$76,C231)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SUMIFS(RAB!$F$14:$F$76,RAB!$C$14:$C$76,C232)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SUMIFS(RAB!$F$14:$F$76,RAB!$C$14:$C$76,C233)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SUMIFS(RAB!$F$14:$F$76,RAB!$C$14:$C$76,C234)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SUMIFS(RAB!$F$14:$F$76,RAB!$C$14:$C$76,C235)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SUMIFS(RAB!$F$14:$F$76,RAB!$C$14:$C$76,C236)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SUMIFS(RAB!$F$14:$F$76,RAB!$C$14:$C$76,C237)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SUMIFS(RAB!$F$14:$F$76,RAB!$C$14:$C$76,C238)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SUMIFS(RAB!$F$14:$F$76,RAB!$C$14:$C$76,C239)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SUMIFS(RAB!$F$14:$F$76,RAB!$C$14:$C$76,C240)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SUMIFS(RAB!$F$14:$F$76,RAB!$C$14:$C$76,C241)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SUMIFS(RAB!$F$14:$F$76,RAB!$C$14:$C$76,C242)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SUMIFS(RAB!$F$14:$F$76,RAB!$C$14:$C$76,C243)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SUMIFS(RAB!$F$14:$F$76,RAB!$C$14:$C$76,C244)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SUMIFS(RAB!$F$14:$F$76,RAB!$C$14:$C$76,C245)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SUMIFS(RAB!$F$14:$F$76,RAB!$C$14:$C$76,C246)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SUMIFS(RAB!$F$14:$F$76,RAB!$C$14:$C$76,C247)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SUMIFS(RAB!$F$14:$F$76,RAB!$C$14:$C$76,C248)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SUMIFS(RAB!$F$14:$F$76,RAB!$C$14:$C$76,C249)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SUMIFS(RAB!$F$14:$F$76,RAB!$C$14:$C$76,C250)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SUMIFS(RAB!$F$14:$F$76,RAB!$C$14:$C$76,C251)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SUMIFS(RAB!$F$14:$F$76,RAB!$C$14:$C$76,C252)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SUMIFS(RAB!$F$14:$F$76,RAB!$C$14:$C$76,C253)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SUMIFS(RAB!$F$14:$F$76,RAB!$C$14:$C$76,C254)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SUMIFS(RAB!$F$14:$F$76,RAB!$C$14:$C$76,C255)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SUMIFS(RAB!$F$14:$F$76,RAB!$C$14:$C$76,C256)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SUMIFS(RAB!$F$14:$F$76,RAB!$C$14:$C$76,C257)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SUMIFS(RAB!$F$14:$F$76,RAB!$C$14:$C$76,C258)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SUMIFS(RAB!$F$14:$F$76,RAB!$C$14:$C$76,C259)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SUMIFS(RAB!$F$14:$F$76,RAB!$C$14:$C$76,C260)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SUMIFS(RAB!$F$14:$F$76,RAB!$C$14:$C$76,C261)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SUMIFS(RAB!$F$14:$F$76,RAB!$C$14:$C$76,C262)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SUMIFS(RAB!$F$14:$F$76,RAB!$C$14:$C$76,C263)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SUMIFS(RAB!$F$14:$F$76,RAB!$C$14:$C$76,C264)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SUMIFS(RAB!$F$14:$F$76,RAB!$C$14:$C$76,C265)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SUMIFS(RAB!$F$14:$F$76,RAB!$C$14:$C$76,C266)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SUMIFS(RAB!$F$14:$F$76,RAB!$C$14:$C$76,C267)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SUMIFS(RAB!$F$14:$F$76,RAB!$C$14:$C$76,C268)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SUMIFS(RAB!$F$14:$F$76,RAB!$C$14:$C$76,C269)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SUMIFS(RAB!$F$14:$F$76,RAB!$C$14:$C$76,C270)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SUMIFS(RAB!$F$14:$F$76,RAB!$C$14:$C$76,C271)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SUMIFS(RAB!$F$14:$F$76,RAB!$C$14:$C$76,C272)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SUMIFS(RAB!$F$14:$F$76,RAB!$C$14:$C$76,C273)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SUMIFS(RAB!$F$14:$F$76,RAB!$C$14:$C$76,C274)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SUMIFS(RAB!$F$14:$F$76,RAB!$C$14:$C$76,C275)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SUMIFS(RAB!$F$14:$F$76,RAB!$C$14:$C$76,C276)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SUMIFS(RAB!$F$14:$F$76,RAB!$C$14:$C$76,C277)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SUMIFS(RAB!$F$14:$F$76,RAB!$C$14:$C$76,C278)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SUMIFS(RAB!$F$14:$F$76,RAB!$C$14:$C$76,C279)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SUMIFS(RAB!$F$14:$F$76,RAB!$C$14:$C$76,C280)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SUMIFS(RAB!$F$14:$F$76,RAB!$C$14:$C$76,C281)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SUMIFS(RAB!$F$14:$F$76,RAB!$C$14:$C$76,C282)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SUMIFS(RAB!$F$14:$F$76,RAB!$C$14:$C$76,C283)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SUMIFS(RAB!$F$14:$F$76,RAB!$C$14:$C$76,C284)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SUMIFS(RAB!$F$14:$F$76,RAB!$C$14:$C$76,C285)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SUMIFS(RAB!$F$14:$F$76,RAB!$C$14:$C$76,C286)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SUMIFS(RAB!$F$14:$F$76,RAB!$C$14:$C$76,C287)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SUMIFS(RAB!$F$14:$F$76,RAB!$C$14:$C$76,C288)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SUMIFS(RAB!$F$14:$F$76,RAB!$C$14:$C$76,C289)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SUMIFS(RAB!$F$14:$F$76,RAB!$C$14:$C$76,C290)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SUMIFS(RAB!$F$14:$F$76,RAB!$C$14:$C$76,C291)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SUMIFS(RAB!$F$14:$F$76,RAB!$C$14:$C$76,C292)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SUMIFS(RAB!$F$14:$F$76,RAB!$C$14:$C$76,C293)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SUMIFS(RAB!$F$14:$F$76,RAB!$C$14:$C$76,C294)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SUMIFS(RAB!$F$14:$F$76,RAB!$C$14:$C$76,C295)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SUMIFS(RAB!$F$14:$F$76,RAB!$C$14:$C$76,C296)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SUMIFS(RAB!$F$14:$F$76,RAB!$C$14:$C$76,C297)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SUMIFS(RAB!$F$14:$F$76,RAB!$C$14:$C$76,C298)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SUMIFS(RAB!$F$14:$F$76,RAB!$C$14:$C$76,C299)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SUMIFS(RAB!$F$14:$F$76,RAB!$C$14:$C$76,C300)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SUMIFS(RAB!$F$14:$F$76,RAB!$C$14:$C$76,C301)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SUMIFS(RAB!$F$14:$F$76,RAB!$C$14:$C$76,C302)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SUMIFS(RAB!$F$14:$F$76,RAB!$C$14:$C$76,C303)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SUMIFS(RAB!$F$14:$F$76,RAB!$C$14:$C$76,C304)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SUMIFS(RAB!$F$14:$F$76,RAB!$C$14:$C$76,C305)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SUMIFS(RAB!$F$14:$F$76,RAB!$C$14:$C$76,C306)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SUMIFS(RAB!$F$14:$F$76,RAB!$C$14:$C$76,C307)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SUMIFS(RAB!$F$14:$F$76,RAB!$C$14:$C$76,C308)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SUMIFS(RAB!$F$14:$F$76,RAB!$C$14:$C$76,C309)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SUMIFS(RAB!$F$14:$F$76,RAB!$C$14:$C$76,C310)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SUMIFS(RAB!$F$14:$F$76,RAB!$C$14:$C$76,C311)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SUMIFS(RAB!$F$14:$F$76,RAB!$C$14:$C$76,C312)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SUMIFS(RAB!$F$14:$F$76,RAB!$C$14:$C$76,C313)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SUMIFS(RAB!$F$14:$F$76,RAB!$C$14:$C$76,C314)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SUMIFS(RAB!$F$14:$F$76,RAB!$C$14:$C$76,C315)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SUMIFS(RAB!$F$14:$F$76,RAB!$C$14:$C$76,C316)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SUMIFS(RAB!$F$14:$F$76,RAB!$C$14:$C$76,C317)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SUMIFS(RAB!$F$14:$F$76,RAB!$C$14:$C$76,C318)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SUMIFS(RAB!$F$14:$F$76,RAB!$C$14:$C$76,C319)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SUMIFS(RAB!$F$14:$F$76,RAB!$C$14:$C$76,C320)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SUMIFS(RAB!$F$14:$F$76,RAB!$C$14:$C$76,C321)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SUMIFS(RAB!$F$14:$F$76,RAB!$C$14:$C$76,C322)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SUMIFS(RAB!$F$14:$F$76,RAB!$C$14:$C$76,C323)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SUMIFS(RAB!$F$14:$F$76,RAB!$C$14:$C$76,C324)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SUMIFS(RAB!$F$14:$F$76,RAB!$C$14:$C$76,C325)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SUMIFS(RAB!$F$14:$F$76,RAB!$C$14:$C$76,C326)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SUMIFS(RAB!$F$14:$F$76,RAB!$C$14:$C$76,C327)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SUMIFS(RAB!$F$14:$F$76,RAB!$C$14:$C$76,C328)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SUMIFS(RAB!$F$14:$F$76,RAB!$C$14:$C$76,C329)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SUMIFS(RAB!$F$14:$F$76,RAB!$C$14:$C$76,C330)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SUMIFS(RAB!$F$14:$F$76,RAB!$C$14:$C$76,C331)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SUMIFS(RAB!$F$14:$F$76,RAB!$C$14:$C$76,C332)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SUMIFS(RAB!$F$14:$F$76,RAB!$C$14:$C$76,C333)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SUMIFS(RAB!$F$14:$F$76,RAB!$C$14:$C$76,C334)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SUMIFS(RAB!$F$14:$F$76,RAB!$C$14:$C$76,C335)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SUMIFS(RAB!$F$14:$F$76,RAB!$C$14:$C$76,C336)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SUMIFS(RAB!$F$14:$F$76,RAB!$C$14:$C$76,C337)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SUMIFS(RAB!$F$14:$F$76,RAB!$C$14:$C$76,C338)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SUMIFS(RAB!$F$14:$F$76,RAB!$C$14:$C$76,C339)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SUMIFS(RAB!$F$14:$F$76,RAB!$C$14:$C$76,C340)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SUMIFS(RAB!$F$14:$F$76,RAB!$C$14:$C$76,C341)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SUMIFS(RAB!$F$14:$F$76,RAB!$C$14:$C$76,C342)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SUMIFS(RAB!$F$14:$F$76,RAB!$C$14:$C$76,C343)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SUMIFS(RAB!$F$14:$F$76,RAB!$C$14:$C$76,C344)</f>
        <v>120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SUMIFS(RAB!$F$14:$F$76,RAB!$C$14:$C$76,C345)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SUMIFS(RAB!$F$14:$F$76,RAB!$C$14:$C$76,C346)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SUMIFS(RAB!$F$14:$F$76,RAB!$C$14:$C$76,C347)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SUMIFS(RAB!$F$14:$F$76,RAB!$C$14:$C$76,C348)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SUMIFS(RAB!$F$14:$F$76,RAB!$C$14:$C$76,C349)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SUMIFS(RAB!$F$14:$F$76,RAB!$C$14:$C$76,C350)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SUMIFS(RAB!$F$14:$F$76,RAB!$C$14:$C$76,C351)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SUMIFS(RAB!$F$14:$F$76,RAB!$C$14:$C$76,C352)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SUMIFS(RAB!$F$14:$F$76,RAB!$C$14:$C$76,C353)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SUMIFS(RAB!$F$14:$F$76,RAB!$C$14:$C$76,C354)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SUMIFS(RAB!$F$14:$F$76,RAB!$C$14:$C$76,C355)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SUMIFS(RAB!$F$14:$F$76,RAB!$C$14:$C$76,C356)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SUMIFS(RAB!$F$14:$F$76,RAB!$C$14:$C$76,C357)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SUMIFS(RAB!$F$14:$F$76,RAB!$C$14:$C$76,C358)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SUMIFS(RAB!$F$14:$F$76,RAB!$C$14:$C$76,C359)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SUMIFS(RAB!$F$14:$F$76,RAB!$C$14:$C$76,C360)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SUMIFS(RAB!$F$14:$F$76,RAB!$C$14:$C$76,C361)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SUMIFS(RAB!$F$14:$F$76,RAB!$C$14:$C$76,C362)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SUMIFS(RAB!$F$14:$F$76,RAB!$C$14:$C$76,C363)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SUMIFS(RAB!$F$14:$F$76,RAB!$C$14:$C$76,C364)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SUMIFS(RAB!$F$14:$F$76,RAB!$C$14:$C$76,C365)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SUMIFS(RAB!$F$14:$F$76,RAB!$C$14:$C$76,C366)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SUMIFS(RAB!$F$14:$F$76,RAB!$C$14:$C$76,C367)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SUMIFS(RAB!$F$14:$F$76,RAB!$C$14:$C$76,C368)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SUMIFS(RAB!$F$14:$F$76,RAB!$C$14:$C$76,C369)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SUMIFS(RAB!$F$14:$F$76,RAB!$C$14:$C$76,C370)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SUMIFS(RAB!$F$14:$F$76,RAB!$C$14:$C$76,C371)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SUMIFS(RAB!$F$14:$F$76,RAB!$C$14:$C$76,C372)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SUMIFS(RAB!$F$14:$F$76,RAB!$C$14:$C$76,C373)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1605</v>
      </c>
      <c r="G4" s="108" t="s">
        <v>1604</v>
      </c>
      <c r="H4" s="55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topLeftCell="A14" zoomScale="70" zoomScaleNormal="70" zoomScaleSheetLayoutView="85" workbookViewId="0">
      <selection activeCell="K12" sqref="K12:L1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0" t="s">
        <v>1454</v>
      </c>
      <c r="C2" s="590"/>
      <c r="D2" s="590"/>
      <c r="E2" s="59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5" t="s">
        <v>1532</v>
      </c>
      <c r="C4" s="596"/>
      <c r="D4" s="596"/>
      <c r="E4" s="597"/>
      <c r="F4" s="434"/>
      <c r="G4" s="434"/>
      <c r="H4" s="435"/>
      <c r="I4" s="561" t="s">
        <v>1533</v>
      </c>
      <c r="J4" s="562"/>
      <c r="K4" s="562"/>
      <c r="L4" s="563"/>
    </row>
    <row r="5" spans="1:12" ht="46.5" customHeight="1">
      <c r="A5" s="204"/>
      <c r="B5" s="437" t="s">
        <v>1379</v>
      </c>
      <c r="C5" s="277" t="s">
        <v>9</v>
      </c>
      <c r="D5" s="591" t="str">
        <f>DATA!D14</f>
        <v>MITRATEL TSEL</v>
      </c>
      <c r="E5" s="592"/>
      <c r="F5" s="208"/>
      <c r="G5" s="208"/>
      <c r="I5" s="438" t="s">
        <v>1379</v>
      </c>
      <c r="J5" s="277" t="s">
        <v>9</v>
      </c>
      <c r="K5" s="564" t="str">
        <f>D5</f>
        <v>MITRATEL TSEL</v>
      </c>
      <c r="L5" s="565"/>
    </row>
    <row r="6" spans="1:12" ht="31.5" customHeight="1">
      <c r="A6" s="204"/>
      <c r="B6" s="437" t="s">
        <v>1529</v>
      </c>
      <c r="C6" s="277" t="s">
        <v>9</v>
      </c>
      <c r="D6" s="600">
        <f>DATA!D17*1000</f>
        <v>0</v>
      </c>
      <c r="E6" s="601"/>
      <c r="F6" s="208"/>
      <c r="G6" s="208"/>
      <c r="I6" s="438" t="s">
        <v>1530</v>
      </c>
      <c r="J6" s="277" t="s">
        <v>9</v>
      </c>
      <c r="K6" s="566">
        <f>DATA!D20*1000</f>
        <v>11000</v>
      </c>
      <c r="L6" s="567"/>
    </row>
    <row r="7" spans="1:12" ht="30.75" customHeight="1">
      <c r="A7" s="204"/>
      <c r="B7" s="437" t="s">
        <v>1441</v>
      </c>
      <c r="C7" s="277" t="s">
        <v>9</v>
      </c>
      <c r="D7" s="598">
        <f>DATA!D18</f>
        <v>1</v>
      </c>
      <c r="E7" s="599"/>
      <c r="F7" s="436" t="s">
        <v>1453</v>
      </c>
      <c r="I7" s="438" t="s">
        <v>1441</v>
      </c>
      <c r="J7" s="277" t="s">
        <v>9</v>
      </c>
      <c r="K7" s="568">
        <f>DATA!D21</f>
        <v>1</v>
      </c>
      <c r="L7" s="569"/>
    </row>
    <row r="8" spans="1:12" ht="51" customHeight="1">
      <c r="A8" s="204"/>
      <c r="B8" s="437" t="s">
        <v>1442</v>
      </c>
      <c r="C8" s="277" t="s">
        <v>9</v>
      </c>
      <c r="D8" s="598">
        <f>DATA!D19</f>
        <v>220</v>
      </c>
      <c r="E8" s="599"/>
      <c r="F8" s="436" t="s">
        <v>1453</v>
      </c>
      <c r="G8" s="431">
        <v>220</v>
      </c>
      <c r="I8" s="438" t="s">
        <v>1442</v>
      </c>
      <c r="J8" s="277" t="s">
        <v>9</v>
      </c>
      <c r="K8" s="568">
        <f>DATA!D22</f>
        <v>220</v>
      </c>
      <c r="L8" s="569"/>
    </row>
    <row r="9" spans="1:12" ht="30" customHeight="1" thickBot="1">
      <c r="A9" s="204"/>
      <c r="B9" s="443" t="s">
        <v>1541</v>
      </c>
      <c r="C9" s="433" t="s">
        <v>9</v>
      </c>
      <c r="D9" s="593">
        <f>IF(D7=1,D6/(380/3^0.5),(D6/(380*3^0.5)))</f>
        <v>0</v>
      </c>
      <c r="E9" s="594"/>
      <c r="F9" s="207"/>
      <c r="G9" s="432">
        <v>380</v>
      </c>
      <c r="I9" s="444" t="s">
        <v>1541</v>
      </c>
      <c r="J9" s="433" t="s">
        <v>9</v>
      </c>
      <c r="K9" s="572">
        <f>IF(K7=1,K6/(380/3^0.5),(K6/(380*3^0.5)))</f>
        <v>50.138312850678027</v>
      </c>
      <c r="L9" s="573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602" t="s">
        <v>1617</v>
      </c>
      <c r="E12" s="603"/>
      <c r="F12" s="208"/>
      <c r="G12" s="208"/>
      <c r="I12" s="460" t="s">
        <v>1534</v>
      </c>
      <c r="J12" s="461" t="s">
        <v>9</v>
      </c>
      <c r="K12" s="602"/>
      <c r="L12" s="603"/>
    </row>
    <row r="13" spans="1:12" ht="31.5" customHeight="1">
      <c r="A13" s="204"/>
      <c r="B13" s="468" t="s">
        <v>1380</v>
      </c>
      <c r="C13" s="448" t="s">
        <v>9</v>
      </c>
      <c r="D13" s="570" t="s">
        <v>1618</v>
      </c>
      <c r="E13" s="571"/>
      <c r="F13" s="208"/>
      <c r="G13" s="208"/>
      <c r="I13" s="462" t="s">
        <v>1380</v>
      </c>
      <c r="J13" s="448" t="s">
        <v>9</v>
      </c>
      <c r="K13" s="570"/>
      <c r="L13" s="571"/>
    </row>
    <row r="14" spans="1:12" ht="30.75" customHeight="1">
      <c r="A14" s="204"/>
      <c r="B14" s="468" t="s">
        <v>1535</v>
      </c>
      <c r="C14" s="448" t="s">
        <v>9</v>
      </c>
      <c r="D14" s="574">
        <v>50</v>
      </c>
      <c r="E14" s="575"/>
      <c r="F14" s="513"/>
      <c r="G14" s="440">
        <v>50</v>
      </c>
      <c r="I14" s="462" t="s">
        <v>1535</v>
      </c>
      <c r="J14" s="448" t="s">
        <v>9</v>
      </c>
      <c r="K14" s="574">
        <v>50</v>
      </c>
      <c r="L14" s="575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76">
        <f>277/3</f>
        <v>92.333333333333329</v>
      </c>
      <c r="E16" s="577"/>
      <c r="F16" s="436"/>
      <c r="G16" s="440">
        <v>160</v>
      </c>
      <c r="I16" s="462" t="s">
        <v>1537</v>
      </c>
      <c r="J16" s="448" t="s">
        <v>9</v>
      </c>
      <c r="K16" s="580">
        <f>K9</f>
        <v>50.138312850678027</v>
      </c>
      <c r="L16" s="581"/>
    </row>
    <row r="17" spans="1:12" ht="34.5" customHeight="1">
      <c r="A17" s="204"/>
      <c r="B17" s="468" t="s">
        <v>1538</v>
      </c>
      <c r="C17" s="448" t="s">
        <v>9</v>
      </c>
      <c r="D17" s="578">
        <f>IF(D15=1,D14/(20/3^0.5),(D14/(20*3^0.5)))</f>
        <v>4.3301270189221928</v>
      </c>
      <c r="E17" s="579"/>
      <c r="F17" s="436" t="s">
        <v>1453</v>
      </c>
      <c r="G17" s="441">
        <v>200</v>
      </c>
      <c r="I17" s="462" t="s">
        <v>1538</v>
      </c>
      <c r="J17" s="448" t="s">
        <v>9</v>
      </c>
      <c r="K17" s="584">
        <f>IF(K15=1,K14/(20/3^0.5),(K14/(20*3^0.5)))</f>
        <v>4.3301270189221928</v>
      </c>
      <c r="L17" s="585"/>
    </row>
    <row r="18" spans="1:12" ht="34.5" customHeight="1">
      <c r="A18" s="204"/>
      <c r="B18" s="468" t="s">
        <v>1539</v>
      </c>
      <c r="C18" s="448" t="s">
        <v>9</v>
      </c>
      <c r="D18" s="578">
        <f>IF(D15=1,D14/(380/3^0.5),(D14/(380*3^0.5)))*1000</f>
        <v>227.90142204853646</v>
      </c>
      <c r="E18" s="579"/>
      <c r="F18" s="436" t="s">
        <v>1453</v>
      </c>
      <c r="G18" s="441">
        <v>250</v>
      </c>
      <c r="I18" s="462" t="s">
        <v>1539</v>
      </c>
      <c r="J18" s="448" t="s">
        <v>9</v>
      </c>
      <c r="K18" s="584">
        <f>IF(K15=1,K14/(380/3^0.5),(K14/(380*3^0.5)))*1000</f>
        <v>227.90142204853646</v>
      </c>
      <c r="L18" s="585"/>
    </row>
    <row r="19" spans="1:12" ht="30" customHeight="1">
      <c r="A19" s="204"/>
      <c r="B19" s="469" t="s">
        <v>1531</v>
      </c>
      <c r="C19" s="447" t="s">
        <v>9</v>
      </c>
      <c r="D19" s="578">
        <f>IF(D15=1,D14/(380/3^0.5),(D14/(380*3^0.5)))</f>
        <v>0.22790142204853647</v>
      </c>
      <c r="E19" s="579"/>
      <c r="F19" s="207"/>
      <c r="G19" s="432"/>
      <c r="I19" s="464" t="s">
        <v>1531</v>
      </c>
      <c r="J19" s="447" t="s">
        <v>9</v>
      </c>
      <c r="K19" s="584">
        <f>IF(K15=1,K14/(380/3^0.5),(K14/(380*3^0.5)))</f>
        <v>0.22790142204853647</v>
      </c>
      <c r="L19" s="585"/>
    </row>
    <row r="20" spans="1:12" ht="30" customHeight="1" thickBot="1">
      <c r="A20" s="204"/>
      <c r="B20" s="470" t="s">
        <v>1540</v>
      </c>
      <c r="C20" s="466" t="s">
        <v>9</v>
      </c>
      <c r="D20" s="604">
        <f>D16/D18</f>
        <v>0.40514592889933343</v>
      </c>
      <c r="E20" s="605"/>
      <c r="F20" s="207"/>
      <c r="G20" s="432"/>
      <c r="I20" s="465" t="s">
        <v>1531</v>
      </c>
      <c r="J20" s="466" t="s">
        <v>9</v>
      </c>
      <c r="K20" s="582">
        <f>K16/K18</f>
        <v>0.22000000000000003</v>
      </c>
      <c r="L20" s="583"/>
    </row>
    <row r="21" spans="1:12" ht="9.75" customHeight="1">
      <c r="A21" s="204"/>
      <c r="B21" s="455" t="s">
        <v>1540</v>
      </c>
      <c r="C21" s="456" t="s">
        <v>9</v>
      </c>
      <c r="D21" s="589">
        <v>1</v>
      </c>
      <c r="E21" s="589"/>
      <c r="F21" s="457"/>
      <c r="G21" s="458"/>
      <c r="H21" s="459"/>
      <c r="I21" s="455" t="s">
        <v>1531</v>
      </c>
      <c r="J21" s="456" t="s">
        <v>9</v>
      </c>
      <c r="K21" s="589">
        <v>1</v>
      </c>
      <c r="L21" s="589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86"/>
      <c r="C24" s="587"/>
      <c r="D24" s="587"/>
      <c r="E24" s="588"/>
      <c r="I24" s="586"/>
      <c r="J24" s="587"/>
      <c r="K24" s="587"/>
      <c r="L24" s="588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RAB!K82</f>
        <v>19791099.705309998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395821.9941062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1628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4" t="s">
        <v>1357</v>
      </c>
      <c r="C3" s="614"/>
      <c r="D3" s="614"/>
      <c r="E3" s="614"/>
      <c r="F3" s="305" t="str">
        <f>DATA!D14</f>
        <v>MITRATEL TSEL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13" t="s">
        <v>1359</v>
      </c>
      <c r="E5" s="613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1" t="s">
        <v>1363</v>
      </c>
      <c r="O5" s="613" t="s">
        <v>1364</v>
      </c>
      <c r="P5" s="613" t="s">
        <v>1365</v>
      </c>
      <c r="Q5" s="613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19.79109970531</v>
      </c>
      <c r="G7" s="318">
        <f ca="1">DATA!$D$11/1000000</f>
        <v>0.3958219941062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22.137913131993699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-8.9362411319936985</v>
      </c>
      <c r="O7" s="314">
        <v>1</v>
      </c>
      <c r="P7" s="316">
        <f ca="1">O7*N7</f>
        <v>-8.9362411319936985</v>
      </c>
      <c r="Q7" s="316">
        <f ca="1">P7</f>
        <v>-8.9362411319936985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0.3958219941062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6.2487962918386897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1.37921970816131</v>
      </c>
      <c r="O8" s="315">
        <f>1/(1+'[92]Asumsi I'!$C$3)^(KKF!A8)</f>
        <v>0.89285714285714279</v>
      </c>
      <c r="P8" s="316">
        <f ca="1">O8*N8</f>
        <v>1.2314461680011695</v>
      </c>
      <c r="Q8" s="316">
        <f ca="1">Q7+P8</f>
        <v>-7.7047949639925291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0.3958219941062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6.2487962918386897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1.37921970816131</v>
      </c>
      <c r="O9" s="322">
        <f>1/(1+'[92]Asumsi I'!$C$3)^(KKF!A9)</f>
        <v>0.79719387755102034</v>
      </c>
      <c r="P9" s="316">
        <f t="shared" ref="P9:P32" ca="1" si="7">O9*N9</f>
        <v>1.0995055071439013</v>
      </c>
      <c r="Q9" s="316">
        <f ca="1">Q8+P9</f>
        <v>-6.6052894568486273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0.3958219941062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6.2487962918386897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1.37921970816131</v>
      </c>
      <c r="O10" s="315">
        <f>1/(1+'[92]Asumsi I'!$C$3)^(KKF!A10)</f>
        <v>0.71178024781341087</v>
      </c>
      <c r="P10" s="316">
        <f t="shared" ca="1" si="7"/>
        <v>0.98170134566419742</v>
      </c>
      <c r="Q10" s="316">
        <f t="shared" ref="Q10:Q30" ca="1" si="9">Q9+P10</f>
        <v>-5.6235881111844304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0.3958219941062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6.2487962918386897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1.37921970816131</v>
      </c>
      <c r="O11" s="315">
        <f>1/(1+'[92]Asumsi I'!$C$3)^(KKF!A11)</f>
        <v>0.63551807840483121</v>
      </c>
      <c r="P11" s="316">
        <f t="shared" ca="1" si="7"/>
        <v>0.87651905862874779</v>
      </c>
      <c r="Q11" s="316">
        <f t="shared" ca="1" si="9"/>
        <v>-4.7470690525556822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0.3958219941062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6.2487962918386897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1.37921970816131</v>
      </c>
      <c r="O12" s="315">
        <f>1/(1+'[92]Asumsi I'!$C$3)^(KKF!A12)</f>
        <v>0.56742685571859919</v>
      </c>
      <c r="P12" s="316">
        <f t="shared" ca="1" si="7"/>
        <v>0.78260630234709616</v>
      </c>
      <c r="Q12" s="316">
        <f t="shared" ca="1" si="9"/>
        <v>-3.9644627502085861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0.3958219941062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6.2487962918386897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1.37921970816131</v>
      </c>
      <c r="O13" s="315">
        <f>1/(1+'[92]Asumsi I'!$C$3)^(KKF!A13)</f>
        <v>0.50663112117732068</v>
      </c>
      <c r="P13" s="316">
        <f t="shared" ca="1" si="7"/>
        <v>0.69875562709562156</v>
      </c>
      <c r="Q13" s="316">
        <f t="shared" ca="1" si="9"/>
        <v>-3.2657071231129646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0.3958219941062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6.2487962918386897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1.37921970816131</v>
      </c>
      <c r="O14" s="315">
        <f>1/(1+'[92]Asumsi I'!$C$3)^(KKF!A14)</f>
        <v>0.45234921533689343</v>
      </c>
      <c r="P14" s="316">
        <f t="shared" ca="1" si="7"/>
        <v>0.62388895276394774</v>
      </c>
      <c r="Q14" s="316">
        <f t="shared" ca="1" si="9"/>
        <v>-2.6418181703490169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0.3958219941062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6.2487962918386897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1.37921970816131</v>
      </c>
      <c r="O15" s="315">
        <f>1/(1+'[92]Asumsi I'!$C$3)^(KKF!A15)</f>
        <v>0.4038832279793691</v>
      </c>
      <c r="P15" s="316">
        <f t="shared" ca="1" si="7"/>
        <v>0.55704370782495327</v>
      </c>
      <c r="Q15" s="316">
        <f t="shared" ca="1" si="9"/>
        <v>-2.0847744625240638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0.3958219941062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6.2487962918386897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1.37921970816131</v>
      </c>
      <c r="O16" s="315">
        <f>1/(1+'[92]Asumsi I'!$C$3)^(KKF!A16)</f>
        <v>0.36061002498157957</v>
      </c>
      <c r="P16" s="316">
        <f t="shared" ca="1" si="7"/>
        <v>0.4973604534151369</v>
      </c>
      <c r="Q16" s="316">
        <f t="shared" ca="1" si="9"/>
        <v>-1.5874140091089268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0.3958219941062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6.2487962918386897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1.37921970816131</v>
      </c>
      <c r="O17" s="315">
        <f>1/(1+'[92]Asumsi I'!$C$3)^(KKF!A17)</f>
        <v>0.32197323659069599</v>
      </c>
      <c r="P17" s="316">
        <f t="shared" ca="1" si="7"/>
        <v>0.44407183340637213</v>
      </c>
      <c r="Q17" s="316">
        <f t="shared" ca="1" si="9"/>
        <v>-1.1433421757025548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0.3958219941062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6.2487962918386897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1.37921970816131</v>
      </c>
      <c r="O18" s="315">
        <f>1/(1+'[92]Asumsi I'!$C$3)^(KKF!A18)</f>
        <v>0.28747610409883567</v>
      </c>
      <c r="P18" s="316">
        <f t="shared" ca="1" si="7"/>
        <v>0.3964927083985465</v>
      </c>
      <c r="Q18" s="316">
        <f t="shared" ca="1" si="9"/>
        <v>-0.74684946730400825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0.3958219941062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6.2487962918386897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1.37921970816131</v>
      </c>
      <c r="O19" s="315">
        <f>1/(1+'[92]Asumsi I'!$C$3)^(KKF!A19)</f>
        <v>0.25667509294538904</v>
      </c>
      <c r="P19" s="316">
        <f t="shared" ca="1" si="7"/>
        <v>0.35401134678441659</v>
      </c>
      <c r="Q19" s="316">
        <f t="shared" ca="1" si="9"/>
        <v>-0.39283812051959166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0.3958219941062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6.2487962918386897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1.37921970816131</v>
      </c>
      <c r="O20" s="315">
        <f>1/(1+'[92]Asumsi I'!$C$3)^(KKF!A20)</f>
        <v>0.22917419012981158</v>
      </c>
      <c r="P20" s="316">
        <f t="shared" ca="1" si="7"/>
        <v>0.3160815596289433</v>
      </c>
      <c r="Q20" s="316">
        <f t="shared" ca="1" si="9"/>
        <v>-7.6756560890648362E-2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0.3958219941062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6.2487962918386897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1.37921970816131</v>
      </c>
      <c r="O21" s="315">
        <f>1/(1+'[92]Asumsi I'!$C$3)^(KKF!A21)</f>
        <v>0.20461981261590317</v>
      </c>
      <c r="P21" s="316">
        <f t="shared" ca="1" si="7"/>
        <v>0.28221567824012794</v>
      </c>
      <c r="Q21" s="316">
        <f t="shared" ca="1" si="9"/>
        <v>0.20545911734947958</v>
      </c>
      <c r="S21" s="304" t="str">
        <f t="shared" ca="1" si="3"/>
        <v/>
      </c>
      <c r="T21" s="320">
        <f t="shared" ca="1" si="10"/>
        <v>13.85103235102159</v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0.3958219941062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6.2487962918386897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1.37921970816131</v>
      </c>
      <c r="O22" s="315">
        <f>1/(1+'[92]Asumsi I'!$C$3)^(KKF!A22)</f>
        <v>0.18269626126419927</v>
      </c>
      <c r="P22" s="316">
        <f t="shared" ca="1" si="7"/>
        <v>0.25197828414297135</v>
      </c>
      <c r="Q22" s="316">
        <f t="shared" ca="1" si="9"/>
        <v>0.45743740149245093</v>
      </c>
      <c r="S22" s="304" t="str">
        <f t="shared" ca="1" si="3"/>
        <v/>
      </c>
      <c r="T22" s="320">
        <f t="shared" ca="1" si="10"/>
        <v>14.668336089757391</v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0.3958219941062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6.2487962918386897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1.37921970816131</v>
      </c>
      <c r="O23" s="315">
        <f>1/(1+'[92]Asumsi I'!$C$3)^(KKF!A23)</f>
        <v>0.16312166184303503</v>
      </c>
      <c r="P23" s="316">
        <f t="shared" ca="1" si="7"/>
        <v>0.22498061084193868</v>
      </c>
      <c r="Q23" s="316">
        <f t="shared" ca="1" si="9"/>
        <v>0.68241801233438959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0.3958219941062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6.2487962918386897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1.37921970816131</v>
      </c>
      <c r="O24" s="315">
        <f>1/(1+'[92]Asumsi I'!$C$3)^(KKF!A24)</f>
        <v>0.14564434093128129</v>
      </c>
      <c r="P24" s="316">
        <f t="shared" ca="1" si="7"/>
        <v>0.2008755453945881</v>
      </c>
      <c r="Q24" s="316">
        <f t="shared" ca="1" si="9"/>
        <v>0.88329355772897766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0.3958219941062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6.2487962918386897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1.37921970816131</v>
      </c>
      <c r="O25" s="315">
        <f>1/(1+'[92]Asumsi I'!$C$3)^(KKF!A25)</f>
        <v>0.13003959011721541</v>
      </c>
      <c r="P25" s="316">
        <f t="shared" ca="1" si="7"/>
        <v>0.17935316553088221</v>
      </c>
      <c r="Q25" s="316">
        <f t="shared" ca="1" si="9"/>
        <v>1.06264672325986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0.3958219941062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6.2487962918386897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1.37921970816131</v>
      </c>
      <c r="O26" s="315">
        <f>1/(1+'[92]Asumsi I'!$C$3)^(KKF!A26)</f>
        <v>0.1161067768903709</v>
      </c>
      <c r="P26" s="316">
        <f t="shared" ca="1" si="7"/>
        <v>0.16013675493828769</v>
      </c>
      <c r="Q26" s="316">
        <f t="shared" ca="1" si="9"/>
        <v>1.2227834781981477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0.3958219941062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6.2487962918386897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1.37921970816131</v>
      </c>
      <c r="O27" s="315">
        <f>1/(1+'[92]Asumsi I'!$C$3)^(KKF!A27)</f>
        <v>0.1036667650806883</v>
      </c>
      <c r="P27" s="316">
        <f t="shared" ca="1" si="7"/>
        <v>0.142979245480614</v>
      </c>
      <c r="Q27" s="316">
        <f t="shared" ca="1" si="9"/>
        <v>1.3657627236787617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0.3958219941062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6.2487962918386897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1.37921970816131</v>
      </c>
      <c r="O28" s="315">
        <f>1/(1+'[92]Asumsi I'!$C$3)^(KKF!A28)</f>
        <v>9.2559611679185971E-2</v>
      </c>
      <c r="P28" s="316">
        <f t="shared" ca="1" si="7"/>
        <v>0.12766004060769107</v>
      </c>
      <c r="Q28" s="316">
        <f t="shared" ca="1" si="9"/>
        <v>1.4934227642864528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0.3958219941062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6.2487962918386897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1.37921970816131</v>
      </c>
      <c r="O29" s="315">
        <f>1/(1+'[92]Asumsi I'!$C$3)^(KKF!A29)</f>
        <v>8.2642510427844609E-2</v>
      </c>
      <c r="P29" s="316">
        <f t="shared" ca="1" si="7"/>
        <v>0.11398217911400986</v>
      </c>
      <c r="Q29" s="316">
        <f t="shared" ca="1" si="9"/>
        <v>1.6074049434004627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0.3958219941062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6.2487962918386897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1.37921970816131</v>
      </c>
      <c r="O30" s="315">
        <f>1/(1+'[92]Asumsi I'!$C$3)^(KKF!A30)</f>
        <v>7.3787955739146982E-2</v>
      </c>
      <c r="P30" s="316">
        <f t="shared" ca="1" si="7"/>
        <v>0.10176980278036596</v>
      </c>
      <c r="Q30" s="316">
        <f t="shared" ca="1" si="9"/>
        <v>1.7091747461808287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0.3958219941062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6.2487962918386897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1.37921970816131</v>
      </c>
      <c r="O31" s="315">
        <f>1/(1+'[92]Asumsi I'!$C$3)^(KKF!A31)</f>
        <v>6.5882103338524081E-2</v>
      </c>
      <c r="P31" s="316">
        <f t="shared" ca="1" si="7"/>
        <v>9.0865895339612451E-2</v>
      </c>
      <c r="Q31" s="316">
        <f ca="1">Q30+P31</f>
        <v>1.8000406415204411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0.3958219941062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6.2487962918386897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1.37921970816131</v>
      </c>
      <c r="O32" s="315">
        <f>1/(1+'[92]Asumsi I'!$C$3)^(KKF!A32)</f>
        <v>5.8823306552253637E-2</v>
      </c>
      <c r="P32" s="316">
        <f t="shared" ca="1" si="7"/>
        <v>8.1130263696082533E-2</v>
      </c>
      <c r="Q32" s="316">
        <f ca="1">Q31+P32</f>
        <v>1.8811709052165235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178.35782042796089</v>
      </c>
      <c r="K33" s="610" t="s">
        <v>1375</v>
      </c>
      <c r="L33" s="610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14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16.051041760059089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14.259684220389492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1.143219128327241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1.6796168796576092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0.14961180211504166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97"/>
  <sheetViews>
    <sheetView showGridLines="0" zoomScale="85" zoomScaleNormal="85" zoomScaleSheetLayoutView="70" workbookViewId="0">
      <pane ySplit="13" topLeftCell="A79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4" t="s">
        <v>1036</v>
      </c>
      <c r="P3" s="634"/>
      <c r="Q3" s="346"/>
      <c r="T3" s="344"/>
      <c r="U3" s="345" t="s">
        <v>1041</v>
      </c>
      <c r="V3" s="344"/>
    </row>
    <row r="4" spans="1:22" ht="18.75">
      <c r="B4" s="635" t="s">
        <v>1023</v>
      </c>
      <c r="C4" s="635"/>
      <c r="D4" s="635"/>
      <c r="E4" s="635"/>
      <c r="F4" s="635"/>
      <c r="G4" s="635"/>
      <c r="H4" s="635"/>
      <c r="I4" s="635"/>
      <c r="J4" s="635"/>
      <c r="K4" s="635"/>
      <c r="O4" s="634"/>
      <c r="P4" s="63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7" t="str">
        <f>DATA!D14</f>
        <v>MITRATEL TSEL</v>
      </c>
      <c r="H6" s="618"/>
      <c r="I6" s="618"/>
      <c r="J6" s="618"/>
      <c r="K6" s="61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7" t="s">
        <v>0</v>
      </c>
      <c r="C11" s="639" t="s">
        <v>1</v>
      </c>
      <c r="D11" s="628" t="s">
        <v>42</v>
      </c>
      <c r="E11" s="628" t="s">
        <v>43</v>
      </c>
      <c r="F11" s="628" t="s">
        <v>2</v>
      </c>
      <c r="G11" s="642" t="s">
        <v>41</v>
      </c>
      <c r="H11" s="628" t="s">
        <v>3</v>
      </c>
      <c r="I11" s="628"/>
      <c r="J11" s="628"/>
      <c r="K11" s="629"/>
      <c r="O11" s="351"/>
      <c r="P11" s="352"/>
      <c r="Q11" s="351"/>
      <c r="S11" s="353"/>
      <c r="T11" s="354"/>
      <c r="U11" s="354"/>
      <c r="V11" s="354"/>
    </row>
    <row r="12" spans="1:22">
      <c r="B12" s="638"/>
      <c r="C12" s="640"/>
      <c r="D12" s="632"/>
      <c r="E12" s="632"/>
      <c r="F12" s="632"/>
      <c r="G12" s="643"/>
      <c r="H12" s="630" t="s">
        <v>46</v>
      </c>
      <c r="I12" s="630" t="s">
        <v>5</v>
      </c>
      <c r="J12" s="632" t="s">
        <v>47</v>
      </c>
      <c r="K12" s="63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8"/>
      <c r="C13" s="641"/>
      <c r="D13" s="632"/>
      <c r="E13" s="632"/>
      <c r="F13" s="632"/>
      <c r="G13" s="644"/>
      <c r="H13" s="631"/>
      <c r="I13" s="631"/>
      <c r="J13" s="632"/>
      <c r="K13" s="63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1616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2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10">
        <v>1</v>
      </c>
      <c r="C18" s="109" t="s">
        <v>1141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2">
        <f>F17*1</f>
        <v>1</v>
      </c>
      <c r="G18" s="360">
        <f ca="1">IF(ISERROR(OFFSET('HARGA SATUAN'!$I$6,MATCH(RAB!C18,'HARGA SATUAN'!$C$7:$C$1492,0),0)),0,OFFSET('HARGA SATUAN'!$I$6,MATCH(RAB!C18,'HARGA SATUAN'!$C$7:$C$1492,0),0))</f>
        <v>1740750</v>
      </c>
      <c r="H18" s="361">
        <f t="shared" ca="1" si="8"/>
        <v>1740750</v>
      </c>
      <c r="I18" s="361">
        <f t="shared" ca="1" si="9"/>
        <v>0</v>
      </c>
      <c r="J18" s="361">
        <f t="shared" ca="1" si="10"/>
        <v>0</v>
      </c>
      <c r="K18" s="362">
        <f t="shared" ca="1" si="11"/>
        <v>1740750</v>
      </c>
    </row>
    <row r="19" spans="2:11">
      <c r="B19" s="510">
        <v>2</v>
      </c>
      <c r="C19" s="511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2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10">
        <v>3</v>
      </c>
      <c r="C20" s="511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2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10">
        <v>4</v>
      </c>
      <c r="C21" s="511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2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</row>
    <row r="23" spans="2:11">
      <c r="B23" s="499" t="s">
        <v>505</v>
      </c>
      <c r="C23" s="496" t="s">
        <v>1612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47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24" ca="1" si="16">IF(OR(D23="MDU",D23="MDU-KD"),(IF($O$3="RAB NON MDU","PLN KD",G23*F23)),0)</f>
        <v>0</v>
      </c>
      <c r="I23" s="361">
        <f t="shared" ref="I23:I24" ca="1" si="17">IF(D23="HDW",G23*F23,0)</f>
        <v>0</v>
      </c>
      <c r="J23" s="361">
        <f t="shared" ref="J23:J24" ca="1" si="18">IF(D23="JASA",G23*F23,0)</f>
        <v>0</v>
      </c>
      <c r="K23" s="362">
        <f t="shared" ref="K23:K24" ca="1" si="19">SUM(H23:J23)</f>
        <v>0</v>
      </c>
    </row>
    <row r="24" spans="2:11">
      <c r="B24" s="502">
        <v>1</v>
      </c>
      <c r="C24" s="109" t="s">
        <v>1402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72">
        <v>120</v>
      </c>
      <c r="G24" s="360">
        <f ca="1">IF(ISERROR(OFFSET('HARGA SATUAN'!$I$6,MATCH(RAB!C24,'HARGA SATUAN'!$C$7:$C$1492,0),0)),0,OFFSET('HARGA SATUAN'!$I$6,MATCH(RAB!C24,'HARGA SATUAN'!$C$7:$C$1492,0),0))</f>
        <v>53300</v>
      </c>
      <c r="H24" s="361">
        <f t="shared" ca="1" si="16"/>
        <v>6396000</v>
      </c>
      <c r="I24" s="361">
        <f t="shared" ca="1" si="17"/>
        <v>0</v>
      </c>
      <c r="J24" s="361">
        <f t="shared" ca="1" si="18"/>
        <v>0</v>
      </c>
      <c r="K24" s="362">
        <f t="shared" ca="1" si="19"/>
        <v>6396000</v>
      </c>
    </row>
    <row r="25" spans="2:11">
      <c r="B25" s="502">
        <v>2</v>
      </c>
      <c r="C25" s="109" t="s">
        <v>347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Per 50 m</v>
      </c>
      <c r="F25" s="472">
        <f>120/50</f>
        <v>2.4</v>
      </c>
      <c r="G25" s="360">
        <f ca="1">IF(ISERROR(OFFSET('HARGA SATUAN'!$I$6,MATCH(RAB!C25,'HARGA SATUAN'!$C$7:$C$1492,0),0)),0,OFFSET('HARGA SATUAN'!$I$6,MATCH(RAB!C25,'HARGA SATUAN'!$C$7:$C$1492,0),0))</f>
        <v>179000</v>
      </c>
      <c r="H25" s="361">
        <f t="shared" ref="H25:H41" ca="1" si="20">IF(OR(D25="MDU",D25="MDU-KD"),(IF($O$3="RAB NON MDU","PLN KD",G25*F25)),0)</f>
        <v>0</v>
      </c>
      <c r="I25" s="361">
        <f t="shared" ref="I25:I41" ca="1" si="21">IF(D25="HDW",G25*F25,0)</f>
        <v>0</v>
      </c>
      <c r="J25" s="361">
        <f t="shared" ref="J25:J41" ca="1" si="22">IF(D25="JASA",G25*F25,0)</f>
        <v>429600</v>
      </c>
      <c r="K25" s="362">
        <f t="shared" ref="K25:K41" ca="1" si="23">SUM(H25:J25)</f>
        <v>429600</v>
      </c>
    </row>
    <row r="26" spans="2:11">
      <c r="B26" s="502">
        <v>3</v>
      </c>
      <c r="C26" s="109" t="s">
        <v>101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Btg</v>
      </c>
      <c r="F26" s="472">
        <v>2</v>
      </c>
      <c r="G26" s="360">
        <f ca="1">IF(ISERROR(OFFSET('HARGA SATUAN'!$I$6,MATCH(RAB!C26,'HARGA SATUAN'!$C$7:$C$1492,0),0)),0,OFFSET('HARGA SATUAN'!$I$6,MATCH(RAB!C26,'HARGA SATUAN'!$C$7:$C$1492,0),0))</f>
        <v>3382600</v>
      </c>
      <c r="H26" s="361">
        <f t="shared" ref="H26:H27" ca="1" si="24">IF(OR(D26="MDU",D26="MDU-KD"),(IF($O$3="RAB NON MDU","PLN KD",G26*F26)),0)</f>
        <v>0</v>
      </c>
      <c r="I26" s="361">
        <f t="shared" ref="I26:I27" ca="1" si="25">IF(D26="HDW",G26*F26,0)</f>
        <v>6765200</v>
      </c>
      <c r="J26" s="361">
        <f t="shared" ref="J26:J27" ca="1" si="26">IF(D26="JASA",G26*F26,0)</f>
        <v>0</v>
      </c>
      <c r="K26" s="362">
        <f t="shared" ref="K26:K27" ca="1" si="27">SUM(H26:J26)</f>
        <v>6765200</v>
      </c>
    </row>
    <row r="27" spans="2:11">
      <c r="B27" s="502">
        <v>4</v>
      </c>
      <c r="C27" s="109" t="s">
        <v>6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Btg</v>
      </c>
      <c r="F27" s="472">
        <v>22</v>
      </c>
      <c r="G27" s="360">
        <f ca="1">IF(ISERROR(OFFSET('HARGA SATUAN'!$I$6,MATCH(RAB!C27,'HARGA SATUAN'!$C$7:$C$1492,0),0)),0,OFFSET('HARGA SATUAN'!$I$6,MATCH(RAB!C27,'HARGA SATUAN'!$C$7:$C$1492,0),0))</f>
        <v>10066.666666666668</v>
      </c>
      <c r="H27" s="361">
        <f t="shared" ca="1" si="24"/>
        <v>0</v>
      </c>
      <c r="I27" s="361">
        <f t="shared" ca="1" si="25"/>
        <v>0</v>
      </c>
      <c r="J27" s="361">
        <f t="shared" ca="1" si="26"/>
        <v>221466.66666666669</v>
      </c>
      <c r="K27" s="362">
        <f t="shared" ca="1" si="27"/>
        <v>221466.66666666669</v>
      </c>
    </row>
    <row r="28" spans="2:11">
      <c r="B28" s="502"/>
      <c r="C28" s="109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34" ca="1" si="28">IF(OR(D28="MDU",D28="MDU-KD"),(IF($O$3="RAB NON MDU","PLN KD",G28*F28)),0)</f>
        <v>0</v>
      </c>
      <c r="I28" s="361">
        <f t="shared" ref="I28:I34" ca="1" si="29">IF(D28="HDW",G28*F28,0)</f>
        <v>0</v>
      </c>
      <c r="J28" s="361">
        <f t="shared" ref="J28:J34" ca="1" si="30">IF(D28="JASA",G28*F28,0)</f>
        <v>0</v>
      </c>
      <c r="K28" s="362">
        <f t="shared" ref="K28:K34" ca="1" si="31">SUM(H28:J28)</f>
        <v>0</v>
      </c>
    </row>
    <row r="29" spans="2:11">
      <c r="B29" s="514" t="s">
        <v>1035</v>
      </c>
      <c r="C29" s="515" t="s">
        <v>1620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472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8"/>
        <v>0</v>
      </c>
      <c r="I29" s="361">
        <f t="shared" ca="1" si="29"/>
        <v>0</v>
      </c>
      <c r="J29" s="361">
        <f t="shared" ca="1" si="30"/>
        <v>0</v>
      </c>
      <c r="K29" s="362">
        <f t="shared" ca="1" si="31"/>
        <v>0</v>
      </c>
    </row>
    <row r="30" spans="2:11">
      <c r="B30" s="514">
        <v>1</v>
      </c>
      <c r="C30" s="515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72">
        <f>F29*1</f>
        <v>1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28"/>
        <v>0</v>
      </c>
      <c r="I30" s="361">
        <f t="shared" ca="1" si="29"/>
        <v>4212</v>
      </c>
      <c r="J30" s="361">
        <f t="shared" ca="1" si="30"/>
        <v>0</v>
      </c>
      <c r="K30" s="362">
        <f t="shared" ca="1" si="31"/>
        <v>4212</v>
      </c>
    </row>
    <row r="31" spans="2:11">
      <c r="B31" s="514">
        <v>2</v>
      </c>
      <c r="C31" s="515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72">
        <f>F29*1</f>
        <v>1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28"/>
        <v>0</v>
      </c>
      <c r="I31" s="361">
        <f t="shared" ca="1" si="29"/>
        <v>23310</v>
      </c>
      <c r="J31" s="361">
        <f t="shared" ca="1" si="30"/>
        <v>0</v>
      </c>
      <c r="K31" s="362">
        <f t="shared" ca="1" si="31"/>
        <v>23310</v>
      </c>
    </row>
    <row r="32" spans="2:11">
      <c r="B32" s="514">
        <v>3</v>
      </c>
      <c r="C32" s="515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72">
        <f>F29*1</f>
        <v>1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28"/>
        <v>0</v>
      </c>
      <c r="I32" s="361">
        <f t="shared" ca="1" si="29"/>
        <v>2300</v>
      </c>
      <c r="J32" s="361">
        <f t="shared" ca="1" si="30"/>
        <v>0</v>
      </c>
      <c r="K32" s="362">
        <f t="shared" ca="1" si="31"/>
        <v>2300</v>
      </c>
    </row>
    <row r="33" spans="2:11">
      <c r="B33" s="514">
        <v>4</v>
      </c>
      <c r="C33" s="515" t="s">
        <v>609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72">
        <f>F29*1</f>
        <v>1</v>
      </c>
      <c r="G33" s="360">
        <f ca="1">IF(ISERROR(OFFSET('HARGA SATUAN'!$I$6,MATCH(RAB!C33,'HARGA SATUAN'!$C$7:$C$1492,0),0)),0,OFFSET('HARGA SATUAN'!$I$6,MATCH(RAB!C33,'HARGA SATUAN'!$C$7:$C$1492,0),0))</f>
        <v>71000</v>
      </c>
      <c r="H33" s="361">
        <f t="shared" ca="1" si="28"/>
        <v>0</v>
      </c>
      <c r="I33" s="361">
        <f t="shared" ca="1" si="29"/>
        <v>71000</v>
      </c>
      <c r="J33" s="361">
        <f t="shared" ca="1" si="30"/>
        <v>0</v>
      </c>
      <c r="K33" s="362">
        <f t="shared" ca="1" si="31"/>
        <v>71000</v>
      </c>
    </row>
    <row r="34" spans="2:11">
      <c r="B34" s="514">
        <v>5</v>
      </c>
      <c r="C34" s="515" t="s">
        <v>629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472">
        <f>F29*1</f>
        <v>1</v>
      </c>
      <c r="G34" s="360">
        <f ca="1">IF(ISERROR(OFFSET('HARGA SATUAN'!$I$6,MATCH(RAB!C34,'HARGA SATUAN'!$C$7:$C$1492,0),0)),0,OFFSET('HARGA SATUAN'!$I$6,MATCH(RAB!C34,'HARGA SATUAN'!$C$7:$C$1492,0),0))</f>
        <v>29400</v>
      </c>
      <c r="H34" s="361">
        <f t="shared" ca="1" si="28"/>
        <v>0</v>
      </c>
      <c r="I34" s="361">
        <f t="shared" ca="1" si="29"/>
        <v>0</v>
      </c>
      <c r="J34" s="361">
        <f t="shared" ca="1" si="30"/>
        <v>29400</v>
      </c>
      <c r="K34" s="362">
        <f t="shared" ca="1" si="31"/>
        <v>29400</v>
      </c>
    </row>
    <row r="35" spans="2:11">
      <c r="B35" s="502"/>
      <c r="C35" s="109"/>
      <c r="D35" s="358"/>
      <c r="E35" s="359"/>
      <c r="F35" s="472"/>
      <c r="G35" s="360"/>
      <c r="H35" s="361"/>
      <c r="I35" s="361"/>
      <c r="J35" s="361"/>
      <c r="K35" s="362"/>
    </row>
    <row r="36" spans="2:11">
      <c r="B36" s="508" t="s">
        <v>1035</v>
      </c>
      <c r="C36" s="509" t="s">
        <v>1615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472">
        <v>2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0"/>
        <v>0</v>
      </c>
      <c r="I36" s="361">
        <f t="shared" ca="1" si="21"/>
        <v>0</v>
      </c>
      <c r="J36" s="361">
        <f t="shared" ca="1" si="22"/>
        <v>0</v>
      </c>
      <c r="K36" s="362">
        <f t="shared" ca="1" si="23"/>
        <v>0</v>
      </c>
    </row>
    <row r="37" spans="2:11">
      <c r="B37" s="508">
        <v>1</v>
      </c>
      <c r="C37" s="509" t="s">
        <v>595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72">
        <f>F36*1</f>
        <v>2</v>
      </c>
      <c r="G37" s="360">
        <f ca="1">IF(ISERROR(OFFSET('HARGA SATUAN'!$I$6,MATCH(RAB!C37,'HARGA SATUAN'!$C$7:$C$1492,0),0)),0,OFFSET('HARGA SATUAN'!$I$6,MATCH(RAB!C37,'HARGA SATUAN'!$C$7:$C$1492,0),0))</f>
        <v>78500</v>
      </c>
      <c r="H37" s="361">
        <f t="shared" ca="1" si="20"/>
        <v>0</v>
      </c>
      <c r="I37" s="361">
        <f t="shared" ca="1" si="21"/>
        <v>157000</v>
      </c>
      <c r="J37" s="361">
        <f t="shared" ca="1" si="22"/>
        <v>0</v>
      </c>
      <c r="K37" s="362">
        <f t="shared" ca="1" si="23"/>
        <v>157000</v>
      </c>
    </row>
    <row r="38" spans="2:11">
      <c r="B38" s="508">
        <v>2</v>
      </c>
      <c r="C38" s="509" t="s">
        <v>229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72">
        <f>F36*1</f>
        <v>2</v>
      </c>
      <c r="G38" s="360">
        <f ca="1">IF(ISERROR(OFFSET('HARGA SATUAN'!$I$6,MATCH(RAB!C38,'HARGA SATUAN'!$C$7:$C$1492,0),0)),0,OFFSET('HARGA SATUAN'!$I$6,MATCH(RAB!C38,'HARGA SATUAN'!$C$7:$C$1492,0),0))</f>
        <v>4212</v>
      </c>
      <c r="H38" s="361">
        <f t="shared" ca="1" si="20"/>
        <v>0</v>
      </c>
      <c r="I38" s="361">
        <f t="shared" ca="1" si="21"/>
        <v>8424</v>
      </c>
      <c r="J38" s="361">
        <f t="shared" ca="1" si="22"/>
        <v>0</v>
      </c>
      <c r="K38" s="362">
        <f t="shared" ca="1" si="23"/>
        <v>8424</v>
      </c>
    </row>
    <row r="39" spans="2:11">
      <c r="B39" s="508">
        <v>3</v>
      </c>
      <c r="C39" s="509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72">
        <f>F36*1</f>
        <v>2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ca="1" si="20"/>
        <v>0</v>
      </c>
      <c r="I39" s="361">
        <f t="shared" ca="1" si="21"/>
        <v>46620</v>
      </c>
      <c r="J39" s="361">
        <f t="shared" ca="1" si="22"/>
        <v>0</v>
      </c>
      <c r="K39" s="362">
        <f t="shared" ca="1" si="23"/>
        <v>46620</v>
      </c>
    </row>
    <row r="40" spans="2:11">
      <c r="B40" s="508">
        <v>4</v>
      </c>
      <c r="C40" s="509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72">
        <f>F36*1</f>
        <v>2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0"/>
        <v>0</v>
      </c>
      <c r="I40" s="361">
        <f t="shared" ca="1" si="21"/>
        <v>4600</v>
      </c>
      <c r="J40" s="361">
        <f t="shared" ca="1" si="22"/>
        <v>0</v>
      </c>
      <c r="K40" s="362">
        <f t="shared" ca="1" si="23"/>
        <v>4600</v>
      </c>
    </row>
    <row r="41" spans="2:11">
      <c r="B41" s="508">
        <v>5</v>
      </c>
      <c r="C41" s="509" t="s">
        <v>630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72">
        <f>F36*1</f>
        <v>2</v>
      </c>
      <c r="G41" s="360">
        <f ca="1">IF(ISERROR(OFFSET('HARGA SATUAN'!$I$6,MATCH(RAB!C41,'HARGA SATUAN'!$C$7:$C$1492,0),0)),0,OFFSET('HARGA SATUAN'!$I$6,MATCH(RAB!C41,'HARGA SATUAN'!$C$7:$C$1492,0),0))</f>
        <v>35700</v>
      </c>
      <c r="H41" s="361">
        <f t="shared" ca="1" si="20"/>
        <v>0</v>
      </c>
      <c r="I41" s="361">
        <f t="shared" ca="1" si="21"/>
        <v>0</v>
      </c>
      <c r="J41" s="361">
        <f t="shared" ca="1" si="22"/>
        <v>71400</v>
      </c>
      <c r="K41" s="362">
        <f t="shared" ca="1" si="23"/>
        <v>71400</v>
      </c>
    </row>
    <row r="42" spans="2:11">
      <c r="B42" s="501"/>
      <c r="C42" s="506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472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:H48" ca="1" si="32">IF(OR(D42="MDU",D42="MDU-KD"),(IF($O$3="RAB NON MDU","PLN KD",G42*F42)),0)</f>
        <v>0</v>
      </c>
      <c r="I42" s="361">
        <f t="shared" ref="I42:I48" ca="1" si="33">IF(D42="HDW",G42*F42,0)</f>
        <v>0</v>
      </c>
      <c r="J42" s="361">
        <f t="shared" ref="J42:J48" ca="1" si="34">IF(D42="JASA",G42*F42,0)</f>
        <v>0</v>
      </c>
      <c r="K42" s="362">
        <f t="shared" ref="K42:K48" ca="1" si="35">SUM(H42:J42)</f>
        <v>0</v>
      </c>
    </row>
    <row r="43" spans="2:11">
      <c r="B43" s="516" t="s">
        <v>1035</v>
      </c>
      <c r="C43" s="517" t="s">
        <v>1627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472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32"/>
        <v>0</v>
      </c>
      <c r="I43" s="361">
        <f t="shared" ca="1" si="33"/>
        <v>0</v>
      </c>
      <c r="J43" s="361">
        <f t="shared" ca="1" si="34"/>
        <v>0</v>
      </c>
      <c r="K43" s="362">
        <f t="shared" ca="1" si="35"/>
        <v>0</v>
      </c>
    </row>
    <row r="44" spans="2:11">
      <c r="B44" s="516">
        <v>1</v>
      </c>
      <c r="C44" s="517" t="s">
        <v>598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72">
        <f>F43*1</f>
        <v>1</v>
      </c>
      <c r="G44" s="360">
        <f ca="1">IF(ISERROR(OFFSET('HARGA SATUAN'!$I$6,MATCH(RAB!C44,'HARGA SATUAN'!$C$7:$C$1492,0),0)),0,OFFSET('HARGA SATUAN'!$I$6,MATCH(RAB!C44,'HARGA SATUAN'!$C$7:$C$1492,0),0))</f>
        <v>3965</v>
      </c>
      <c r="H44" s="361">
        <f t="shared" ca="1" si="32"/>
        <v>0</v>
      </c>
      <c r="I44" s="361">
        <f t="shared" ca="1" si="33"/>
        <v>3965</v>
      </c>
      <c r="J44" s="361">
        <f t="shared" ca="1" si="34"/>
        <v>0</v>
      </c>
      <c r="K44" s="362">
        <f t="shared" ca="1" si="35"/>
        <v>3965</v>
      </c>
    </row>
    <row r="45" spans="2:11">
      <c r="B45" s="516">
        <v>2</v>
      </c>
      <c r="C45" s="517" t="s">
        <v>474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72">
        <f>F43*1</f>
        <v>1</v>
      </c>
      <c r="G45" s="360">
        <f ca="1">IF(ISERROR(OFFSET('HARGA SATUAN'!$I$6,MATCH(RAB!C45,'HARGA SATUAN'!$C$7:$C$1492,0),0)),0,OFFSET('HARGA SATUAN'!$I$6,MATCH(RAB!C45,'HARGA SATUAN'!$C$7:$C$1492,0),0))</f>
        <v>3711.24</v>
      </c>
      <c r="H45" s="361">
        <f t="shared" ca="1" si="32"/>
        <v>0</v>
      </c>
      <c r="I45" s="361">
        <f t="shared" ca="1" si="33"/>
        <v>3711.24</v>
      </c>
      <c r="J45" s="361">
        <f t="shared" ca="1" si="34"/>
        <v>0</v>
      </c>
      <c r="K45" s="362">
        <f t="shared" ca="1" si="35"/>
        <v>3711.24</v>
      </c>
    </row>
    <row r="46" spans="2:11">
      <c r="B46" s="516">
        <v>3</v>
      </c>
      <c r="C46" s="517" t="s">
        <v>266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472">
        <f>F43*1</f>
        <v>1</v>
      </c>
      <c r="G46" s="360">
        <f ca="1">IF(ISERROR(OFFSET('HARGA SATUAN'!$I$6,MATCH(RAB!C46,'HARGA SATUAN'!$C$7:$C$1492,0),0)),0,OFFSET('HARGA SATUAN'!$I$6,MATCH(RAB!C46,'HARGA SATUAN'!$C$7:$C$1492,0),0))</f>
        <v>23310</v>
      </c>
      <c r="H46" s="361">
        <f t="shared" ca="1" si="32"/>
        <v>0</v>
      </c>
      <c r="I46" s="361">
        <f t="shared" ca="1" si="33"/>
        <v>23310</v>
      </c>
      <c r="J46" s="361">
        <f t="shared" ca="1" si="34"/>
        <v>0</v>
      </c>
      <c r="K46" s="362">
        <f t="shared" ca="1" si="35"/>
        <v>23310</v>
      </c>
    </row>
    <row r="47" spans="2:11">
      <c r="B47" s="516">
        <v>4</v>
      </c>
      <c r="C47" s="517" t="s">
        <v>35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72">
        <f>F43*1</f>
        <v>1</v>
      </c>
      <c r="G47" s="360">
        <f ca="1">IF(ISERROR(OFFSET('HARGA SATUAN'!$I$6,MATCH(RAB!C47,'HARGA SATUAN'!$C$7:$C$1492,0),0)),0,OFFSET('HARGA SATUAN'!$I$6,MATCH(RAB!C47,'HARGA SATUAN'!$C$7:$C$1492,0),0))</f>
        <v>2300</v>
      </c>
      <c r="H47" s="361">
        <f t="shared" ca="1" si="32"/>
        <v>0</v>
      </c>
      <c r="I47" s="361">
        <f t="shared" ca="1" si="33"/>
        <v>2300</v>
      </c>
      <c r="J47" s="361">
        <f t="shared" ca="1" si="34"/>
        <v>0</v>
      </c>
      <c r="K47" s="362">
        <f t="shared" ca="1" si="35"/>
        <v>2300</v>
      </c>
    </row>
    <row r="48" spans="2:11">
      <c r="B48" s="516">
        <v>5</v>
      </c>
      <c r="C48" s="517" t="s">
        <v>632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72">
        <f>F43*1</f>
        <v>1</v>
      </c>
      <c r="G48" s="360">
        <f ca="1">IF(ISERROR(OFFSET('HARGA SATUAN'!$I$6,MATCH(RAB!C48,'HARGA SATUAN'!$C$7:$C$1492,0),0)),0,OFFSET('HARGA SATUAN'!$I$6,MATCH(RAB!C48,'HARGA SATUAN'!$C$7:$C$1492,0),0))</f>
        <v>22700</v>
      </c>
      <c r="H48" s="361">
        <f t="shared" ca="1" si="32"/>
        <v>0</v>
      </c>
      <c r="I48" s="361">
        <f t="shared" ca="1" si="33"/>
        <v>0</v>
      </c>
      <c r="J48" s="361">
        <f t="shared" ca="1" si="34"/>
        <v>22700</v>
      </c>
      <c r="K48" s="362">
        <f t="shared" ca="1" si="35"/>
        <v>22700</v>
      </c>
    </row>
    <row r="49" spans="2:11">
      <c r="B49" s="516"/>
      <c r="C49" s="517"/>
      <c r="D49" s="358"/>
      <c r="E49" s="359"/>
      <c r="F49" s="472"/>
      <c r="G49" s="360"/>
      <c r="H49" s="361"/>
      <c r="I49" s="361"/>
      <c r="J49" s="361"/>
      <c r="K49" s="362"/>
    </row>
    <row r="50" spans="2:11">
      <c r="B50" s="516" t="s">
        <v>1035</v>
      </c>
      <c r="C50" s="517" t="s">
        <v>1623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472">
        <v>2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54" ca="1" si="36">IF(OR(D50="MDU",D50="MDU-KD"),(IF($O$3="RAB NON MDU","PLN KD",G50*F50)),0)</f>
        <v>0</v>
      </c>
      <c r="I50" s="361">
        <f t="shared" ref="I50:I54" ca="1" si="37">IF(D50="HDW",G50*F50,0)</f>
        <v>0</v>
      </c>
      <c r="J50" s="361">
        <f t="shared" ref="J50:J54" ca="1" si="38">IF(D50="JASA",G50*F50,0)</f>
        <v>0</v>
      </c>
      <c r="K50" s="362">
        <f t="shared" ref="K50:K54" ca="1" si="39">SUM(H50:J50)</f>
        <v>0</v>
      </c>
    </row>
    <row r="51" spans="2:11">
      <c r="B51" s="516">
        <v>1</v>
      </c>
      <c r="C51" s="517" t="s">
        <v>30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72">
        <f>F50*1</f>
        <v>2</v>
      </c>
      <c r="G51" s="360">
        <f ca="1">IF(ISERROR(OFFSET('HARGA SATUAN'!$I$6,MATCH(RAB!C51,'HARGA SATUAN'!$C$7:$C$1492,0),0)),0,OFFSET('HARGA SATUAN'!$I$6,MATCH(RAB!C51,'HARGA SATUAN'!$C$7:$C$1492,0),0))</f>
        <v>47459</v>
      </c>
      <c r="H51" s="361">
        <f t="shared" ca="1" si="36"/>
        <v>0</v>
      </c>
      <c r="I51" s="361">
        <f t="shared" ca="1" si="37"/>
        <v>94918</v>
      </c>
      <c r="J51" s="361">
        <f t="shared" ca="1" si="38"/>
        <v>0</v>
      </c>
      <c r="K51" s="362">
        <f t="shared" ca="1" si="39"/>
        <v>94918</v>
      </c>
    </row>
    <row r="52" spans="2:11">
      <c r="B52" s="516">
        <v>2</v>
      </c>
      <c r="C52" s="517" t="s">
        <v>32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472">
        <f>F50*0.8</f>
        <v>1.6</v>
      </c>
      <c r="G52" s="360">
        <f ca="1">IF(ISERROR(OFFSET('HARGA SATUAN'!$I$6,MATCH(RAB!C52,'HARGA SATUAN'!$C$7:$C$1492,0),0)),0,OFFSET('HARGA SATUAN'!$I$6,MATCH(RAB!C52,'HARGA SATUAN'!$C$7:$C$1492,0),0))</f>
        <v>30000</v>
      </c>
      <c r="H52" s="361">
        <f t="shared" ca="1" si="36"/>
        <v>0</v>
      </c>
      <c r="I52" s="361">
        <f t="shared" ca="1" si="37"/>
        <v>48000</v>
      </c>
      <c r="J52" s="361">
        <f t="shared" ca="1" si="38"/>
        <v>0</v>
      </c>
      <c r="K52" s="362">
        <f t="shared" ca="1" si="39"/>
        <v>48000</v>
      </c>
    </row>
    <row r="53" spans="2:11">
      <c r="B53" s="516">
        <v>3</v>
      </c>
      <c r="C53" s="517" t="s">
        <v>33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72">
        <f>F50*1</f>
        <v>2</v>
      </c>
      <c r="G53" s="360">
        <f ca="1">IF(ISERROR(OFFSET('HARGA SATUAN'!$I$6,MATCH(RAB!C53,'HARGA SATUAN'!$C$7:$C$1492,0),0)),0,OFFSET('HARGA SATUAN'!$I$6,MATCH(RAB!C53,'HARGA SATUAN'!$C$7:$C$1492,0),0))</f>
        <v>9500</v>
      </c>
      <c r="H53" s="361">
        <f t="shared" ca="1" si="36"/>
        <v>0</v>
      </c>
      <c r="I53" s="361">
        <f t="shared" ca="1" si="37"/>
        <v>19000</v>
      </c>
      <c r="J53" s="361">
        <f t="shared" ca="1" si="38"/>
        <v>0</v>
      </c>
      <c r="K53" s="362">
        <f t="shared" ca="1" si="39"/>
        <v>19000</v>
      </c>
    </row>
    <row r="54" spans="2:11">
      <c r="B54" s="516">
        <v>4</v>
      </c>
      <c r="C54" s="517" t="s">
        <v>737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72">
        <f>F50*1</f>
        <v>2</v>
      </c>
      <c r="G54" s="360">
        <f ca="1">IF(ISERROR(OFFSET('HARGA SATUAN'!$I$6,MATCH(RAB!C54,'HARGA SATUAN'!$C$7:$C$1492,0),0)),0,OFFSET('HARGA SATUAN'!$I$6,MATCH(RAB!C54,'HARGA SATUAN'!$C$7:$C$1492,0),0))</f>
        <v>16200</v>
      </c>
      <c r="H54" s="361">
        <f t="shared" ca="1" si="36"/>
        <v>0</v>
      </c>
      <c r="I54" s="361">
        <f t="shared" ca="1" si="37"/>
        <v>0</v>
      </c>
      <c r="J54" s="361">
        <f t="shared" ca="1" si="38"/>
        <v>32400</v>
      </c>
      <c r="K54" s="362">
        <f t="shared" ca="1" si="39"/>
        <v>32400</v>
      </c>
    </row>
    <row r="55" spans="2:11">
      <c r="B55" s="516"/>
      <c r="C55" s="517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472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ref="H55:H75" ca="1" si="40">IF(OR(D55="MDU",D55="MDU-KD"),(IF($O$3="RAB NON MDU","PLN KD",G55*F55)),0)</f>
        <v>0</v>
      </c>
      <c r="I55" s="361">
        <f t="shared" ref="I55:I75" ca="1" si="41">IF(D55="HDW",G55*F55,0)</f>
        <v>0</v>
      </c>
      <c r="J55" s="361">
        <f t="shared" ref="J55:J75" ca="1" si="42">IF(D55="JASA",G55*F55,0)</f>
        <v>0</v>
      </c>
      <c r="K55" s="362">
        <f t="shared" ref="K55:K75" ca="1" si="43">SUM(H55:J55)</f>
        <v>0</v>
      </c>
    </row>
    <row r="56" spans="2:11">
      <c r="B56" s="501" t="s">
        <v>1035</v>
      </c>
      <c r="C56" s="505" t="s">
        <v>1625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472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40"/>
        <v>0</v>
      </c>
      <c r="I56" s="361">
        <f t="shared" ca="1" si="41"/>
        <v>0</v>
      </c>
      <c r="J56" s="361">
        <f t="shared" ca="1" si="42"/>
        <v>0</v>
      </c>
      <c r="K56" s="362">
        <f t="shared" ca="1" si="43"/>
        <v>0</v>
      </c>
    </row>
    <row r="57" spans="2:11">
      <c r="B57" s="516">
        <v>1</v>
      </c>
      <c r="C57" s="517" t="s">
        <v>28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72">
        <f>F56*1</f>
        <v>1</v>
      </c>
      <c r="G57" s="360">
        <f ca="1">IF(ISERROR(OFFSET('HARGA SATUAN'!$I$6,MATCH(RAB!C57,'HARGA SATUAN'!$C$7:$C$1492,0),0)),0,OFFSET('HARGA SATUAN'!$I$6,MATCH(RAB!C57,'HARGA SATUAN'!$C$7:$C$1492,0),0))</f>
        <v>26500</v>
      </c>
      <c r="H57" s="361">
        <f t="shared" ca="1" si="40"/>
        <v>0</v>
      </c>
      <c r="I57" s="361">
        <f t="shared" ca="1" si="41"/>
        <v>26500</v>
      </c>
      <c r="J57" s="361">
        <f t="shared" ca="1" si="42"/>
        <v>0</v>
      </c>
      <c r="K57" s="362">
        <f t="shared" ca="1" si="43"/>
        <v>26500</v>
      </c>
    </row>
    <row r="58" spans="2:11">
      <c r="B58" s="516">
        <v>2</v>
      </c>
      <c r="C58" s="517" t="s">
        <v>203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72">
        <f>F56*1</f>
        <v>1</v>
      </c>
      <c r="G58" s="360">
        <f ca="1">IF(ISERROR(OFFSET('HARGA SATUAN'!$I$6,MATCH(RAB!C58,'HARGA SATUAN'!$C$7:$C$1492,0),0)),0,OFFSET('HARGA SATUAN'!$I$6,MATCH(RAB!C58,'HARGA SATUAN'!$C$7:$C$1492,0),0))</f>
        <v>12500</v>
      </c>
      <c r="H58" s="361">
        <f t="shared" ca="1" si="40"/>
        <v>0</v>
      </c>
      <c r="I58" s="361">
        <f t="shared" ca="1" si="41"/>
        <v>12500</v>
      </c>
      <c r="J58" s="361">
        <f t="shared" ca="1" si="42"/>
        <v>0</v>
      </c>
      <c r="K58" s="362">
        <f t="shared" ca="1" si="43"/>
        <v>12500</v>
      </c>
    </row>
    <row r="59" spans="2:11">
      <c r="B59" s="516">
        <v>3</v>
      </c>
      <c r="C59" s="517" t="s">
        <v>205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472">
        <f>F56*12</f>
        <v>12</v>
      </c>
      <c r="G59" s="360">
        <f ca="1">IF(ISERROR(OFFSET('HARGA SATUAN'!$I$6,MATCH(RAB!C59,'HARGA SATUAN'!$C$7:$C$1492,0),0)),0,OFFSET('HARGA SATUAN'!$I$6,MATCH(RAB!C59,'HARGA SATUAN'!$C$7:$C$1492,0),0))</f>
        <v>24300</v>
      </c>
      <c r="H59" s="361">
        <f t="shared" ca="1" si="40"/>
        <v>0</v>
      </c>
      <c r="I59" s="361">
        <f t="shared" ca="1" si="41"/>
        <v>291600</v>
      </c>
      <c r="J59" s="361">
        <f t="shared" ca="1" si="42"/>
        <v>0</v>
      </c>
      <c r="K59" s="362">
        <f t="shared" ca="1" si="43"/>
        <v>291600</v>
      </c>
    </row>
    <row r="60" spans="2:11">
      <c r="B60" s="516">
        <v>4</v>
      </c>
      <c r="C60" s="517" t="s">
        <v>287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72">
        <f>F56*2</f>
        <v>2</v>
      </c>
      <c r="G60" s="360">
        <f ca="1">IF(ISERROR(OFFSET('HARGA SATUAN'!$I$6,MATCH(RAB!C60,'HARGA SATUAN'!$C$7:$C$1492,0),0)),0,OFFSET('HARGA SATUAN'!$I$6,MATCH(RAB!C60,'HARGA SATUAN'!$C$7:$C$1492,0),0))</f>
        <v>40000</v>
      </c>
      <c r="H60" s="361">
        <f t="shared" ca="1" si="40"/>
        <v>0</v>
      </c>
      <c r="I60" s="361">
        <f t="shared" ca="1" si="41"/>
        <v>80000</v>
      </c>
      <c r="J60" s="361">
        <f t="shared" ca="1" si="42"/>
        <v>0</v>
      </c>
      <c r="K60" s="362">
        <f t="shared" ca="1" si="43"/>
        <v>80000</v>
      </c>
    </row>
    <row r="61" spans="2:11">
      <c r="B61" s="516">
        <v>5</v>
      </c>
      <c r="C61" s="517" t="s">
        <v>26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72">
        <f>F56*1</f>
        <v>1</v>
      </c>
      <c r="G61" s="360">
        <f ca="1">IF(ISERROR(OFFSET('HARGA SATUAN'!$I$6,MATCH(RAB!C61,'HARGA SATUAN'!$C$7:$C$1492,0),0)),0,OFFSET('HARGA SATUAN'!$I$6,MATCH(RAB!C61,'HARGA SATUAN'!$C$7:$C$1492,0),0))</f>
        <v>2500</v>
      </c>
      <c r="H61" s="361">
        <f t="shared" ca="1" si="40"/>
        <v>0</v>
      </c>
      <c r="I61" s="361">
        <f t="shared" ca="1" si="41"/>
        <v>2500</v>
      </c>
      <c r="J61" s="361">
        <f t="shared" ca="1" si="42"/>
        <v>0</v>
      </c>
      <c r="K61" s="362">
        <f t="shared" ca="1" si="43"/>
        <v>2500</v>
      </c>
    </row>
    <row r="62" spans="2:11">
      <c r="B62" s="516">
        <v>6</v>
      </c>
      <c r="C62" s="517" t="s">
        <v>759</v>
      </c>
      <c r="D62" s="358" t="str">
        <f ca="1">IF(ISERROR(OFFSET('HARGA SATUAN'!$D$6,MATCH(RAB!C62,'HARGA SATUAN'!$C$7:$C$1492,0),0)),"",OFFSET('HARGA SATUAN'!$D$6,MATCH(RAB!C62,'HARGA SATUAN'!$C$7:$C$1492,0),0))</f>
        <v>JASA</v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472">
        <f>F56*1</f>
        <v>1</v>
      </c>
      <c r="G62" s="360">
        <f ca="1">IF(ISERROR(OFFSET('HARGA SATUAN'!$I$6,MATCH(RAB!C62,'HARGA SATUAN'!$C$7:$C$1492,0),0)),0,OFFSET('HARGA SATUAN'!$I$6,MATCH(RAB!C62,'HARGA SATUAN'!$C$7:$C$1492,0),0))</f>
        <v>43500</v>
      </c>
      <c r="H62" s="361">
        <f t="shared" ca="1" si="40"/>
        <v>0</v>
      </c>
      <c r="I62" s="361">
        <f t="shared" ca="1" si="41"/>
        <v>0</v>
      </c>
      <c r="J62" s="361">
        <f t="shared" ca="1" si="42"/>
        <v>43500</v>
      </c>
      <c r="K62" s="362">
        <f t="shared" ca="1" si="43"/>
        <v>43500</v>
      </c>
    </row>
    <row r="63" spans="2:11">
      <c r="B63" s="516"/>
      <c r="C63" s="517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472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40"/>
        <v>0</v>
      </c>
      <c r="I63" s="361">
        <f t="shared" ca="1" si="41"/>
        <v>0</v>
      </c>
      <c r="J63" s="361">
        <f t="shared" ca="1" si="42"/>
        <v>0</v>
      </c>
      <c r="K63" s="362">
        <f t="shared" ca="1" si="43"/>
        <v>0</v>
      </c>
    </row>
    <row r="64" spans="2:11">
      <c r="B64" s="516" t="s">
        <v>1035</v>
      </c>
      <c r="C64" s="517" t="s">
        <v>1626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18">
        <v>1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40"/>
        <v>0</v>
      </c>
      <c r="I64" s="361">
        <f t="shared" ca="1" si="41"/>
        <v>0</v>
      </c>
      <c r="J64" s="361">
        <f t="shared" ca="1" si="42"/>
        <v>0</v>
      </c>
      <c r="K64" s="362">
        <f t="shared" ca="1" si="43"/>
        <v>0</v>
      </c>
    </row>
    <row r="65" spans="2:11">
      <c r="B65" s="516">
        <v>1</v>
      </c>
      <c r="C65" s="517" t="s">
        <v>262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8">
        <f>F64*1</f>
        <v>1</v>
      </c>
      <c r="G65" s="360">
        <f ca="1">IF(ISERROR(OFFSET('HARGA SATUAN'!$I$6,MATCH(RAB!C65,'HARGA SATUAN'!$C$7:$C$1492,0),0)),0,OFFSET('HARGA SATUAN'!$I$6,MATCH(RAB!C65,'HARGA SATUAN'!$C$7:$C$1492,0),0))</f>
        <v>104200</v>
      </c>
      <c r="H65" s="361">
        <f t="shared" ca="1" si="40"/>
        <v>0</v>
      </c>
      <c r="I65" s="361">
        <f t="shared" ca="1" si="41"/>
        <v>104200</v>
      </c>
      <c r="J65" s="361">
        <f t="shared" ca="1" si="42"/>
        <v>0</v>
      </c>
      <c r="K65" s="362">
        <f t="shared" ca="1" si="43"/>
        <v>104200</v>
      </c>
    </row>
    <row r="66" spans="2:11">
      <c r="B66" s="516">
        <v>2</v>
      </c>
      <c r="C66" s="517" t="s">
        <v>596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8">
        <f>F64*1</f>
        <v>1</v>
      </c>
      <c r="G66" s="360">
        <f ca="1">IF(ISERROR(OFFSET('HARGA SATUAN'!$I$6,MATCH(RAB!C66,'HARGA SATUAN'!$C$7:$C$1492,0),0)),0,OFFSET('HARGA SATUAN'!$I$6,MATCH(RAB!C66,'HARGA SATUAN'!$C$7:$C$1492,0),0))</f>
        <v>120000</v>
      </c>
      <c r="H66" s="361">
        <f t="shared" ca="1" si="40"/>
        <v>0</v>
      </c>
      <c r="I66" s="361">
        <f t="shared" ca="1" si="41"/>
        <v>120000</v>
      </c>
      <c r="J66" s="361">
        <f t="shared" ca="1" si="42"/>
        <v>0</v>
      </c>
      <c r="K66" s="362">
        <f t="shared" ca="1" si="43"/>
        <v>120000</v>
      </c>
    </row>
    <row r="67" spans="2:11">
      <c r="B67" s="516">
        <v>4</v>
      </c>
      <c r="C67" s="517" t="s">
        <v>214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72">
        <f>F64*1</f>
        <v>1</v>
      </c>
      <c r="G67" s="360">
        <f ca="1">IF(ISERROR(OFFSET('HARGA SATUAN'!$I$6,MATCH(RAB!C67,'HARGA SATUAN'!$C$7:$C$1492,0),0)),0,OFFSET('HARGA SATUAN'!$I$6,MATCH(RAB!C67,'HARGA SATUAN'!$C$7:$C$1492,0),0))</f>
        <v>4500</v>
      </c>
      <c r="H67" s="361">
        <f t="shared" ca="1" si="40"/>
        <v>0</v>
      </c>
      <c r="I67" s="361">
        <f t="shared" ca="1" si="41"/>
        <v>4500</v>
      </c>
      <c r="J67" s="361">
        <f t="shared" ca="1" si="42"/>
        <v>0</v>
      </c>
      <c r="K67" s="362">
        <f t="shared" ca="1" si="43"/>
        <v>4500</v>
      </c>
    </row>
    <row r="68" spans="2:11">
      <c r="B68" s="516">
        <v>3</v>
      </c>
      <c r="C68" s="517" t="s">
        <v>767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18">
        <f>F64*1</f>
        <v>1</v>
      </c>
      <c r="G68" s="360">
        <f ca="1">IF(ISERROR(OFFSET('HARGA SATUAN'!$I$6,MATCH(RAB!C68,'HARGA SATUAN'!$C$7:$C$1492,0),0)),0,OFFSET('HARGA SATUAN'!$I$6,MATCH(RAB!C68,'HARGA SATUAN'!$C$7:$C$1492,0),0))</f>
        <v>55500</v>
      </c>
      <c r="H68" s="361">
        <f t="shared" ca="1" si="40"/>
        <v>0</v>
      </c>
      <c r="I68" s="361">
        <f t="shared" ca="1" si="41"/>
        <v>0</v>
      </c>
      <c r="J68" s="361">
        <f t="shared" ca="1" si="42"/>
        <v>55500</v>
      </c>
      <c r="K68" s="362">
        <f t="shared" ca="1" si="43"/>
        <v>55500</v>
      </c>
    </row>
    <row r="69" spans="2:11">
      <c r="B69" s="516"/>
      <c r="C69" s="517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472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40"/>
        <v>0</v>
      </c>
      <c r="I69" s="361">
        <f t="shared" ca="1" si="41"/>
        <v>0</v>
      </c>
      <c r="J69" s="361">
        <f t="shared" ca="1" si="42"/>
        <v>0</v>
      </c>
      <c r="K69" s="362">
        <f t="shared" ca="1" si="43"/>
        <v>0</v>
      </c>
    </row>
    <row r="70" spans="2:11">
      <c r="B70" s="516" t="s">
        <v>1035</v>
      </c>
      <c r="C70" s="517" t="s">
        <v>1624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472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40"/>
        <v>0</v>
      </c>
      <c r="I70" s="361">
        <f t="shared" ca="1" si="41"/>
        <v>0</v>
      </c>
      <c r="J70" s="361">
        <f t="shared" ca="1" si="42"/>
        <v>0</v>
      </c>
      <c r="K70" s="362">
        <f t="shared" ca="1" si="43"/>
        <v>0</v>
      </c>
    </row>
    <row r="71" spans="2:11">
      <c r="B71" s="516">
        <v>1</v>
      </c>
      <c r="C71" s="517" t="s">
        <v>30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72">
        <f>F70*1</f>
        <v>1</v>
      </c>
      <c r="G71" s="360">
        <f ca="1">IF(ISERROR(OFFSET('HARGA SATUAN'!$I$6,MATCH(RAB!C71,'HARGA SATUAN'!$C$7:$C$1492,0),0)),0,OFFSET('HARGA SATUAN'!$I$6,MATCH(RAB!C71,'HARGA SATUAN'!$C$7:$C$1492,0),0))</f>
        <v>47459</v>
      </c>
      <c r="H71" s="361">
        <f t="shared" ca="1" si="40"/>
        <v>0</v>
      </c>
      <c r="I71" s="361">
        <f t="shared" ca="1" si="41"/>
        <v>47459</v>
      </c>
      <c r="J71" s="361">
        <f t="shared" ca="1" si="42"/>
        <v>0</v>
      </c>
      <c r="K71" s="362">
        <f t="shared" ca="1" si="43"/>
        <v>47459</v>
      </c>
    </row>
    <row r="72" spans="2:11">
      <c r="B72" s="516">
        <v>2</v>
      </c>
      <c r="C72" s="517" t="s">
        <v>32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472">
        <f>F70*1</f>
        <v>1</v>
      </c>
      <c r="G72" s="360">
        <f ca="1">IF(ISERROR(OFFSET('HARGA SATUAN'!$I$6,MATCH(RAB!C72,'HARGA SATUAN'!$C$7:$C$1492,0),0)),0,OFFSET('HARGA SATUAN'!$I$6,MATCH(RAB!C72,'HARGA SATUAN'!$C$7:$C$1492,0),0))</f>
        <v>30000</v>
      </c>
      <c r="H72" s="361">
        <f t="shared" ca="1" si="40"/>
        <v>0</v>
      </c>
      <c r="I72" s="361">
        <f t="shared" ca="1" si="41"/>
        <v>30000</v>
      </c>
      <c r="J72" s="361">
        <f t="shared" ca="1" si="42"/>
        <v>0</v>
      </c>
      <c r="K72" s="362">
        <f t="shared" ca="1" si="43"/>
        <v>30000</v>
      </c>
    </row>
    <row r="73" spans="2:11">
      <c r="B73" s="516">
        <v>3</v>
      </c>
      <c r="C73" s="517" t="s">
        <v>33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472">
        <f>F70*1</f>
        <v>1</v>
      </c>
      <c r="G73" s="360">
        <f ca="1">IF(ISERROR(OFFSET('HARGA SATUAN'!$I$6,MATCH(RAB!C73,'HARGA SATUAN'!$C$7:$C$1492,0),0)),0,OFFSET('HARGA SATUAN'!$I$6,MATCH(RAB!C73,'HARGA SATUAN'!$C$7:$C$1492,0),0))</f>
        <v>9500</v>
      </c>
      <c r="H73" s="361">
        <f t="shared" ca="1" si="40"/>
        <v>0</v>
      </c>
      <c r="I73" s="361">
        <f t="shared" ca="1" si="41"/>
        <v>9500</v>
      </c>
      <c r="J73" s="361">
        <f t="shared" ca="1" si="42"/>
        <v>0</v>
      </c>
      <c r="K73" s="362">
        <f t="shared" ca="1" si="43"/>
        <v>9500</v>
      </c>
    </row>
    <row r="74" spans="2:11">
      <c r="B74" s="516">
        <v>4</v>
      </c>
      <c r="C74" s="517" t="s">
        <v>738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472">
        <f>F70*1</f>
        <v>1</v>
      </c>
      <c r="G74" s="360">
        <f ca="1">IF(ISERROR(OFFSET('HARGA SATUAN'!$I$6,MATCH(RAB!C74,'HARGA SATUAN'!$C$7:$C$1492,0),0)),0,OFFSET('HARGA SATUAN'!$I$6,MATCH(RAB!C74,'HARGA SATUAN'!$C$7:$C$1492,0),0))</f>
        <v>21200</v>
      </c>
      <c r="H74" s="361">
        <f t="shared" ca="1" si="40"/>
        <v>0</v>
      </c>
      <c r="I74" s="361">
        <f t="shared" ca="1" si="41"/>
        <v>0</v>
      </c>
      <c r="J74" s="361">
        <f t="shared" ca="1" si="42"/>
        <v>21200</v>
      </c>
      <c r="K74" s="362">
        <f t="shared" ca="1" si="43"/>
        <v>21200</v>
      </c>
    </row>
    <row r="75" spans="2:11">
      <c r="B75" s="367"/>
      <c r="C75" s="109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472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40"/>
        <v>0</v>
      </c>
      <c r="I75" s="361">
        <f t="shared" ca="1" si="41"/>
        <v>0</v>
      </c>
      <c r="J75" s="361">
        <f t="shared" ca="1" si="42"/>
        <v>0</v>
      </c>
      <c r="K75" s="362">
        <f t="shared" ca="1" si="43"/>
        <v>0</v>
      </c>
    </row>
    <row r="76" spans="2:11">
      <c r="B76" s="368"/>
      <c r="C76" s="369" t="s">
        <v>475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472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ref="H76" ca="1" si="44">IF(OR(D76="MDU",D76="MDU-KD"),(IF($O$3="RAB NON MDU","PLN KD",G76*F76)),0)</f>
        <v>0</v>
      </c>
      <c r="I76" s="361">
        <f t="shared" ref="I76" ca="1" si="45">IF(D76="HDW",G76*F76,0)</f>
        <v>0</v>
      </c>
      <c r="J76" s="361">
        <f t="shared" ref="J76" ca="1" si="46">IF(D76="JASA",G76*F76,0)</f>
        <v>0</v>
      </c>
      <c r="K76" s="362">
        <f t="shared" ref="K76" ca="1" si="47">SUM(H76:J76)</f>
        <v>0</v>
      </c>
    </row>
    <row r="77" spans="2:11">
      <c r="B77" s="371">
        <v>1</v>
      </c>
      <c r="C77" s="372" t="s">
        <v>1091</v>
      </c>
      <c r="D77" s="373" t="str">
        <f ca="1">IF(ISERROR(OFFSET('HARGA SATUAN'!$D$6,MATCH(RAB!C77,'HARGA SATUAN'!$C$7:$C$1492,0),0)),"",OFFSET('HARGA SATUAN'!$D$6,MATCH(RAB!C77,'HARGA SATUAN'!$C$7:$C$1492,0),0))</f>
        <v>JASA</v>
      </c>
      <c r="E77" s="374" t="str">
        <f ca="1">IF(ISERROR(OFFSET('HARGA SATUAN'!$E$6,MATCH(RAB!C77,'HARGA SATUAN'!$C$7:$C$1492,0),0)),"",OFFSET('HARGA SATUAN'!$E$6,MATCH(RAB!C77,'HARGA SATUAN'!$C$7:$C$1492,0),0))</f>
        <v>Lot</v>
      </c>
      <c r="F77" s="375">
        <v>1</v>
      </c>
      <c r="G77" s="376">
        <f ca="1">IF(ISERROR(OFFSET('HARGA SATUAN'!$I$6,MATCH(RAB!C77,'HARGA SATUAN'!$C$7:$C$1492,0),0)),0,OFFSET('HARGA SATUAN'!$I$6,MATCH(RAB!C77,'HARGA SATUAN'!$C$7:$C$1492,0),0))</f>
        <v>2.5000000000000001E-2</v>
      </c>
      <c r="H77" s="377"/>
      <c r="I77" s="377"/>
      <c r="J77" s="377">
        <f ca="1">2.5%*(SUM(K14:K76))</f>
        <v>434873.64766666666</v>
      </c>
      <c r="K77" s="378">
        <f ca="1">SUM(H77:J77)</f>
        <v>434873.64766666666</v>
      </c>
    </row>
    <row r="78" spans="2:11">
      <c r="B78" s="379"/>
      <c r="C78" s="380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IF(ISERROR(OFFSET('HARGA SATUAN'!$E$6,MATCH(RAB!C78,'HARGA SATUAN'!$C$7:$C$1492,0),0)),"",OFFSET('HARGA SATUAN'!$E$6,MATCH(RAB!C78,'HARGA SATUAN'!$C$7:$C$1492,0),0))</f>
        <v/>
      </c>
      <c r="F78" s="370"/>
      <c r="G78" s="360" t="str">
        <f ca="1">IF(ISERROR(OFFSET('HARGA SATUAN'!$I$6,MATCH(RAB!C78,'HARGA SATUAN'!$C$7:$C$1492,0),0)),"",OFFSET('HARGA SATUAN'!$I$6,MATCH(RAB!C78,'HARGA SATUAN'!$C$7:$C$1492,0),0))</f>
        <v/>
      </c>
      <c r="H78" s="361">
        <f ca="1">IF(OR(D78="MDU",D78="MDU-KD"),IF(G78="PLN",0,G78*F78),0)</f>
        <v>0</v>
      </c>
      <c r="I78" s="361">
        <f ca="1">IF(D78="HDW",IF(G78="PLN",0,G78*F78),0)</f>
        <v>0</v>
      </c>
      <c r="J78" s="361">
        <f ca="1">IF(D78="JASA",IF(G78="PLN",0,G78*F78),0)</f>
        <v>0</v>
      </c>
      <c r="K78" s="362">
        <f ca="1">SUM(H78:J78)</f>
        <v>0</v>
      </c>
    </row>
    <row r="79" spans="2:11" ht="15.75" thickBot="1">
      <c r="B79" s="381"/>
      <c r="C79" s="382"/>
      <c r="D79" s="383"/>
      <c r="E79" s="384"/>
      <c r="F79" s="384"/>
      <c r="G79" s="384"/>
      <c r="H79" s="385"/>
      <c r="I79" s="385"/>
      <c r="J79" s="385"/>
      <c r="K79" s="386"/>
    </row>
    <row r="80" spans="2:11">
      <c r="B80" s="387"/>
      <c r="C80" s="636" t="s">
        <v>1008</v>
      </c>
      <c r="D80" s="636"/>
      <c r="E80" s="636"/>
      <c r="F80" s="636"/>
      <c r="G80" s="388" t="s">
        <v>9</v>
      </c>
      <c r="H80" s="389">
        <f ca="1">SUM(H14:H78)</f>
        <v>8406750</v>
      </c>
      <c r="I80" s="389">
        <f ca="1">SUM(I14:I78)</f>
        <v>8006629.2400000002</v>
      </c>
      <c r="J80" s="389">
        <f ca="1">SUM(J14:J78)</f>
        <v>1416440.3143333334</v>
      </c>
      <c r="K80" s="389">
        <f ca="1">SUM(K14:K78)</f>
        <v>17829819.554333333</v>
      </c>
    </row>
    <row r="81" spans="2:13">
      <c r="B81" s="390"/>
      <c r="C81" s="619" t="s">
        <v>1457</v>
      </c>
      <c r="D81" s="619"/>
      <c r="E81" s="619"/>
      <c r="F81" s="619"/>
      <c r="G81" s="391" t="s">
        <v>9</v>
      </c>
      <c r="H81" s="392">
        <f ca="1">H80*0.11</f>
        <v>924742.5</v>
      </c>
      <c r="I81" s="392">
        <f ca="1">I80*0.11</f>
        <v>880729.21640000003</v>
      </c>
      <c r="J81" s="392">
        <f ca="1">J80*0.11</f>
        <v>155808.43457666668</v>
      </c>
      <c r="K81" s="392">
        <f ca="1">K80*0.11</f>
        <v>1961280.1509766667</v>
      </c>
    </row>
    <row r="82" spans="2:13" ht="15.75" thickBot="1">
      <c r="B82" s="390"/>
      <c r="C82" s="616" t="s">
        <v>463</v>
      </c>
      <c r="D82" s="616"/>
      <c r="E82" s="616"/>
      <c r="F82" s="616"/>
      <c r="G82" s="393" t="s">
        <v>9</v>
      </c>
      <c r="H82" s="394">
        <f ca="1">SUM(H80:H81)</f>
        <v>9331492.5</v>
      </c>
      <c r="I82" s="394">
        <f ca="1">SUM(I80:I81)</f>
        <v>8887358.4563999996</v>
      </c>
      <c r="J82" s="393">
        <f ca="1">SUM(J80:J81)</f>
        <v>1572248.7489100001</v>
      </c>
      <c r="K82" s="393">
        <f ca="1">SUM(K80:K81)</f>
        <v>19791099.705309998</v>
      </c>
      <c r="M82" s="477"/>
    </row>
    <row r="83" spans="2:13">
      <c r="B83" s="620" t="str">
        <f ca="1">"Terbilang : "&amp;PROPER(IF(K82=0,"nol",IF(K82&lt;0,"minus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IF(--MID(TEXT(ABS(K82),"000000000000000"),1,3)=0,"",MID(TEXT(ABS(K82),"000000000000000"),1,1)&amp;" ratus "&amp;MID(TEXT(ABS(K82),"000000000000000"),2,1)&amp;" puluh "&amp;MID(TEXT(ABS(K82),"000000000000000"),3,1)&amp;" trilyun ")&amp; IF(--MID(TEXT(ABS(K82),"000000000000000"),4,3)=0,"",MID(TEXT(ABS(K82),"000000000000000"),4,1)&amp;" ratus "&amp;MID(TEXT(ABS(K82),"000000000000000"),5,1)&amp;" puluh "&amp;MID(TEXT(ABS(K82),"000000000000000"),6,1)&amp;" milyar ")&amp; IF(--MID(TEXT(ABS(K82),"000000000000000"),7,3)=0,"",MID(TEXT(ABS(K82),"000000000000000"),7,1)&amp;" ratus "&amp;MID(TEXT(ABS(K82),"000000000000000"),8,1)&amp;" puluh "&amp;MID(TEXT(ABS(K82),"000000000000000"),9,1)&amp;" juta ")&amp; 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 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Belas Juta Tujuh Ratus Sembilan Puluh Satu Ribu Seratus Rupiah</v>
      </c>
      <c r="C83" s="621"/>
      <c r="D83" s="621"/>
      <c r="E83" s="621"/>
      <c r="F83" s="621"/>
      <c r="G83" s="621"/>
      <c r="H83" s="621"/>
      <c r="I83" s="621"/>
      <c r="J83" s="621"/>
      <c r="K83" s="622"/>
      <c r="M83" s="503"/>
    </row>
    <row r="84" spans="2:13">
      <c r="B84" s="623"/>
      <c r="C84" s="624"/>
      <c r="D84" s="624"/>
      <c r="E84" s="624"/>
      <c r="F84" s="624"/>
      <c r="G84" s="624"/>
      <c r="H84" s="624"/>
      <c r="I84" s="624"/>
      <c r="J84" s="624"/>
      <c r="K84" s="625"/>
    </row>
    <row r="85" spans="2:13" ht="15.75" thickBot="1">
      <c r="B85" s="395" t="str">
        <f>"Harga yang dipakai adalah "&amp;'HARGA SATUAN'!I5&amp;""</f>
        <v>Harga yang dipakai adalah RAB HSS 2023</v>
      </c>
      <c r="C85" s="396"/>
      <c r="D85" s="397"/>
      <c r="E85" s="397"/>
      <c r="F85" s="397"/>
      <c r="G85" s="398"/>
      <c r="H85" s="398"/>
      <c r="I85" s="398"/>
      <c r="J85" s="398"/>
      <c r="K85" s="399"/>
    </row>
    <row r="86" spans="2:13">
      <c r="C86" s="400"/>
      <c r="E86" s="402"/>
      <c r="F86" s="402"/>
      <c r="G86" s="402"/>
    </row>
    <row r="87" spans="2:13">
      <c r="C87" s="337"/>
      <c r="E87" s="402"/>
      <c r="F87" s="402"/>
      <c r="G87" s="402"/>
      <c r="H87" s="626"/>
      <c r="I87" s="626"/>
      <c r="J87" s="627"/>
      <c r="K87" s="627"/>
    </row>
    <row r="88" spans="2:13">
      <c r="C88" s="337"/>
      <c r="E88" s="402"/>
      <c r="F88" s="402"/>
      <c r="G88" s="402"/>
      <c r="H88" s="403"/>
      <c r="I88" s="615" t="s">
        <v>1621</v>
      </c>
      <c r="J88" s="615"/>
      <c r="K88" s="615"/>
    </row>
    <row r="89" spans="2:13">
      <c r="C89" s="337"/>
      <c r="E89" s="402"/>
      <c r="F89" s="402"/>
      <c r="G89" s="402"/>
      <c r="H89" s="403"/>
      <c r="I89" s="615" t="s">
        <v>1609</v>
      </c>
      <c r="J89" s="615"/>
      <c r="K89" s="615"/>
    </row>
    <row r="90" spans="2:13">
      <c r="C90" s="337"/>
      <c r="E90" s="402"/>
      <c r="F90" s="402"/>
      <c r="G90" s="402"/>
      <c r="H90" s="404"/>
      <c r="I90" s="405"/>
      <c r="J90" s="405"/>
      <c r="K90" s="405"/>
    </row>
    <row r="91" spans="2:13">
      <c r="C91" s="337"/>
      <c r="E91" s="402"/>
      <c r="F91" s="402"/>
      <c r="G91" s="402"/>
      <c r="H91" s="404"/>
      <c r="I91" s="404"/>
      <c r="J91" s="404"/>
      <c r="K91" s="404"/>
    </row>
    <row r="92" spans="2:13">
      <c r="C92" s="337"/>
      <c r="E92" s="402"/>
      <c r="F92" s="402"/>
      <c r="G92" s="402"/>
      <c r="H92" s="404"/>
      <c r="I92" s="404"/>
      <c r="J92" s="404"/>
      <c r="K92" s="404"/>
    </row>
    <row r="93" spans="2:13">
      <c r="C93" s="337"/>
      <c r="E93" s="402"/>
      <c r="F93" s="402"/>
      <c r="G93" s="402"/>
      <c r="H93" s="404"/>
      <c r="I93" s="404"/>
      <c r="J93" s="404"/>
      <c r="K93" s="404"/>
    </row>
    <row r="94" spans="2:13">
      <c r="C94" s="337"/>
      <c r="E94" s="402"/>
      <c r="F94" s="402"/>
      <c r="G94" s="402"/>
      <c r="H94" s="406"/>
      <c r="I94" s="615" t="s">
        <v>1611</v>
      </c>
      <c r="J94" s="615"/>
      <c r="K94" s="615"/>
    </row>
    <row r="95" spans="2:13">
      <c r="C95" s="400"/>
      <c r="E95" s="402"/>
      <c r="F95" s="402"/>
      <c r="G95" s="402"/>
      <c r="H95" s="404"/>
      <c r="I95" s="404"/>
      <c r="J95" s="404"/>
      <c r="K95" s="404"/>
    </row>
    <row r="96" spans="2:13">
      <c r="C96" s="400"/>
      <c r="E96" s="402"/>
      <c r="F96" s="402"/>
      <c r="G96" s="402"/>
      <c r="H96" s="404"/>
      <c r="I96" s="404"/>
      <c r="J96" s="404"/>
      <c r="K96" s="404"/>
    </row>
    <row r="97" spans="3:11">
      <c r="C97" s="400"/>
      <c r="E97" s="402"/>
      <c r="F97" s="402"/>
      <c r="G97" s="402"/>
      <c r="H97" s="404"/>
      <c r="I97" s="404"/>
      <c r="J97" s="404"/>
      <c r="K97" s="404"/>
    </row>
  </sheetData>
  <sheetProtection sort="0" autoFilter="0"/>
  <protectedRanges>
    <protectedRange sqref="B75" name="Range1_1"/>
    <protectedRange sqref="F14" name="Range1_1_2_2"/>
    <protectedRange sqref="C75" name="Range1_1_3_12"/>
    <protectedRange sqref="B17:B21" name="Range1_1_4"/>
    <protectedRange sqref="B15:C16 B23:C23" name="Range1_6_2"/>
    <protectedRange sqref="C17 C19:C20" name="Range1_3"/>
    <protectedRange sqref="F16:F75" name="Range1_1_3_1_1"/>
    <protectedRange sqref="F15" name="Range1_1_2_2_3_2"/>
    <protectedRange sqref="B24:B74" name="Range1_6_2_2"/>
    <protectedRange sqref="C36:C74" name="Range1_1_3_2"/>
    <protectedRange sqref="C30:C35" name="Range1_1_3_3"/>
    <protectedRange sqref="C21" name="Range1_1_3_4"/>
    <protectedRange sqref="C24" name="Range1_1_3_7"/>
    <protectedRange sqref="C25 C28:C29" name="Range1_1_3_8"/>
    <protectedRange sqref="C18" name="Range1_1_3_1"/>
    <protectedRange sqref="C26" name="Range1_1_3_9"/>
    <protectedRange sqref="C27" name="Range1_1_3_10"/>
  </protectedRanges>
  <mergeCells count="22">
    <mergeCell ref="O3:P4"/>
    <mergeCell ref="B4:K4"/>
    <mergeCell ref="C80:F80"/>
    <mergeCell ref="B11:B13"/>
    <mergeCell ref="C11:C13"/>
    <mergeCell ref="D11:D13"/>
    <mergeCell ref="E11:E13"/>
    <mergeCell ref="F11:F13"/>
    <mergeCell ref="G11:G13"/>
    <mergeCell ref="I12:I13"/>
    <mergeCell ref="I89:K89"/>
    <mergeCell ref="I94:K94"/>
    <mergeCell ref="C82:F82"/>
    <mergeCell ref="G6:K6"/>
    <mergeCell ref="I88:K88"/>
    <mergeCell ref="C81:F81"/>
    <mergeCell ref="B83:K84"/>
    <mergeCell ref="H87:K87"/>
    <mergeCell ref="H11:K11"/>
    <mergeCell ref="H12:H13"/>
    <mergeCell ref="J12:J13"/>
    <mergeCell ref="K12:K13"/>
  </mergeCells>
  <phoneticPr fontId="138" type="noConversion"/>
  <conditionalFormatting sqref="C18">
    <cfRule type="cellIs" dxfId="5" priority="9" operator="equal">
      <formula>0</formula>
    </cfRule>
  </conditionalFormatting>
  <conditionalFormatting sqref="C24:C28">
    <cfRule type="cellIs" dxfId="4" priority="7" operator="equal">
      <formula>0</formula>
    </cfRule>
  </conditionalFormatting>
  <conditionalFormatting sqref="C35 C75">
    <cfRule type="cellIs" dxfId="3" priority="139" operator="equal">
      <formula>0</formula>
    </cfRule>
  </conditionalFormatting>
  <conditionalFormatting sqref="E1:E3 G1:G13 E5:E13 H12:I12 O13 S14:V14 E77:G77 H77:K79 E78:H78 E79:F79">
    <cfRule type="cellIs" dxfId="2" priority="1121" stopIfTrue="1" operator="equal">
      <formula>0</formula>
    </cfRule>
  </conditionalFormatting>
  <conditionalFormatting sqref="E14:K76">
    <cfRule type="cellIs" dxfId="1" priority="1" stopIfTrue="1" operator="equal">
      <formula>0</formula>
    </cfRule>
  </conditionalFormatting>
  <conditionalFormatting sqref="G78:G65544 E83:E65544">
    <cfRule type="cellIs" dxfId="0" priority="25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F67 F69:F76 H14:K79 F23:F63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S13" sqref="S1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8" t="s">
        <v>1439</v>
      </c>
      <c r="X2" s="699"/>
      <c r="Y2" s="699"/>
      <c r="Z2" s="699"/>
      <c r="AA2" s="699"/>
      <c r="AB2" s="699"/>
      <c r="AC2" s="699"/>
      <c r="AD2" s="700"/>
    </row>
    <row r="3" spans="3:30">
      <c r="C3" s="238"/>
      <c r="W3" s="701"/>
      <c r="X3" s="702"/>
      <c r="Y3" s="702"/>
      <c r="Z3" s="702"/>
      <c r="AA3" s="702"/>
      <c r="AB3" s="702"/>
      <c r="AC3" s="702"/>
      <c r="AD3" s="703"/>
    </row>
    <row r="4" spans="3:30">
      <c r="C4" s="238"/>
      <c r="Q4" s="483" t="s">
        <v>1614</v>
      </c>
      <c r="W4" s="239" t="s">
        <v>987</v>
      </c>
      <c r="AD4" s="240"/>
    </row>
    <row r="5" spans="3:30">
      <c r="C5" s="238"/>
      <c r="W5" s="241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 ht="21">
      <c r="C6" s="238"/>
      <c r="Q6" s="504" t="s">
        <v>1622</v>
      </c>
      <c r="W6" s="241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238"/>
      <c r="W7" s="241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238"/>
      <c r="W8" s="241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238"/>
      <c r="W9" s="241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238"/>
      <c r="W10" s="241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238"/>
      <c r="W11" s="241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238"/>
      <c r="W12" s="241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238"/>
      <c r="W13" s="241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238"/>
      <c r="W14" s="241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238"/>
      <c r="W15" s="241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238"/>
      <c r="W16" s="241">
        <v>11</v>
      </c>
      <c r="X16" s="648" t="s">
        <v>1455</v>
      </c>
      <c r="Y16" s="648"/>
      <c r="Z16" s="648"/>
      <c r="AA16" s="648"/>
      <c r="AB16" s="648"/>
      <c r="AC16" s="648"/>
      <c r="AD16" s="649"/>
    </row>
    <row r="17" spans="3:30">
      <c r="C17" s="238"/>
      <c r="S17" s="242"/>
      <c r="W17" s="241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243"/>
      <c r="D18" s="244"/>
      <c r="E18" s="244"/>
      <c r="W18" s="241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238"/>
      <c r="W19" s="245"/>
      <c r="X19" s="696"/>
      <c r="Y19" s="696"/>
      <c r="Z19" s="696"/>
      <c r="AA19" s="696"/>
      <c r="AB19" s="696"/>
      <c r="AC19" s="696"/>
      <c r="AD19" s="697"/>
    </row>
    <row r="20" spans="3:30">
      <c r="C20" s="238"/>
      <c r="W20" s="683" t="s">
        <v>992</v>
      </c>
      <c r="X20" s="684"/>
      <c r="Y20" s="684"/>
      <c r="Z20" s="684"/>
      <c r="AA20" s="684"/>
      <c r="AB20" s="684"/>
      <c r="AC20" s="684"/>
      <c r="AD20" s="685"/>
    </row>
    <row r="21" spans="3:30">
      <c r="C21" s="238"/>
      <c r="W21" s="686" t="s">
        <v>985</v>
      </c>
      <c r="X21" s="687"/>
      <c r="Y21" s="687"/>
      <c r="Z21" s="688"/>
      <c r="AA21" s="689" t="s">
        <v>986</v>
      </c>
      <c r="AB21" s="690"/>
      <c r="AC21" s="690"/>
      <c r="AD21" s="691"/>
    </row>
    <row r="22" spans="3:30">
      <c r="C22" s="238"/>
      <c r="W22" s="692"/>
      <c r="X22" s="693"/>
      <c r="Y22" s="485"/>
      <c r="Z22" s="488"/>
      <c r="AA22" s="694"/>
      <c r="AB22" s="695"/>
      <c r="AC22" s="248"/>
      <c r="AD22" s="249"/>
    </row>
    <row r="23" spans="3:30">
      <c r="C23" s="238"/>
      <c r="W23" s="692"/>
      <c r="X23" s="693"/>
      <c r="Y23" s="485"/>
      <c r="Z23" s="488"/>
      <c r="AA23" s="681"/>
      <c r="AB23" s="682"/>
      <c r="AC23" s="248"/>
      <c r="AD23" s="249"/>
    </row>
    <row r="24" spans="3:30">
      <c r="C24" s="238"/>
      <c r="W24" s="676"/>
      <c r="X24" s="678"/>
      <c r="Y24" s="246"/>
      <c r="Z24" s="247"/>
      <c r="AA24" s="679"/>
      <c r="AB24" s="680"/>
      <c r="AC24" s="248"/>
      <c r="AD24" s="249"/>
    </row>
    <row r="25" spans="3:30">
      <c r="C25" s="238"/>
      <c r="W25" s="676"/>
      <c r="X25" s="678"/>
      <c r="Y25" s="246"/>
      <c r="Z25" s="247"/>
      <c r="AA25" s="681"/>
      <c r="AB25" s="682"/>
      <c r="AC25" s="248"/>
      <c r="AD25" s="249"/>
    </row>
    <row r="26" spans="3:30">
      <c r="C26" s="238"/>
      <c r="W26" s="473"/>
      <c r="X26" s="474"/>
      <c r="Y26" s="246"/>
      <c r="Z26" s="247"/>
      <c r="AA26" s="681"/>
      <c r="AB26" s="682"/>
      <c r="AC26" s="248"/>
      <c r="AD26" s="249"/>
    </row>
    <row r="27" spans="3:30">
      <c r="C27" s="238"/>
      <c r="W27" s="473"/>
      <c r="X27" s="474"/>
      <c r="Y27" s="246"/>
      <c r="Z27" s="247"/>
      <c r="AA27" s="675"/>
      <c r="AB27" s="670"/>
      <c r="AC27" s="248"/>
      <c r="AD27" s="249"/>
    </row>
    <row r="28" spans="3:30">
      <c r="C28" s="238"/>
      <c r="W28" s="473"/>
      <c r="X28" s="474"/>
      <c r="Y28" s="246"/>
      <c r="Z28" s="247"/>
      <c r="AA28" s="675"/>
      <c r="AB28" s="670"/>
      <c r="AC28" s="248"/>
      <c r="AD28" s="249"/>
    </row>
    <row r="29" spans="3:30">
      <c r="C29" s="238"/>
      <c r="W29" s="473"/>
      <c r="X29" s="474"/>
      <c r="Y29" s="246"/>
      <c r="Z29" s="247"/>
      <c r="AA29" s="675"/>
      <c r="AB29" s="670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75"/>
      <c r="AB30" s="670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75"/>
      <c r="AB31" s="670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75"/>
      <c r="AB32" s="670"/>
      <c r="AC32" s="248"/>
      <c r="AD32" s="249"/>
    </row>
    <row r="33" spans="3:30">
      <c r="C33" s="238"/>
      <c r="W33" s="473"/>
      <c r="X33" s="474"/>
      <c r="Y33" s="246"/>
      <c r="Z33" s="247"/>
      <c r="AA33" s="675"/>
      <c r="AB33" s="670"/>
      <c r="AC33" s="248"/>
      <c r="AD33" s="249"/>
    </row>
    <row r="34" spans="3:30">
      <c r="C34" s="238"/>
      <c r="W34" s="473"/>
      <c r="X34" s="474"/>
      <c r="Y34" s="246"/>
      <c r="Z34" s="247"/>
      <c r="AA34" s="675"/>
      <c r="AB34" s="670"/>
      <c r="AC34" s="248"/>
      <c r="AD34" s="249"/>
    </row>
    <row r="35" spans="3:30">
      <c r="C35" s="238"/>
      <c r="W35" s="676"/>
      <c r="X35" s="677"/>
      <c r="Y35" s="246"/>
      <c r="Z35" s="247"/>
      <c r="AA35" s="675"/>
      <c r="AB35" s="670"/>
      <c r="AC35" s="248"/>
      <c r="AD35" s="249"/>
    </row>
    <row r="36" spans="3:30">
      <c r="C36" s="238"/>
      <c r="W36" s="667"/>
      <c r="X36" s="668"/>
      <c r="Y36" s="246"/>
      <c r="Z36" s="251"/>
      <c r="AA36" s="669"/>
      <c r="AB36" s="670"/>
      <c r="AC36" s="248"/>
      <c r="AD36" s="249"/>
    </row>
    <row r="37" spans="3:30" ht="12.75" customHeight="1">
      <c r="C37" s="238"/>
      <c r="W37" s="671"/>
      <c r="X37" s="672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71"/>
      <c r="X38" s="67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1"/>
      <c r="X39" s="672"/>
      <c r="Y39" s="254"/>
      <c r="Z39" s="257"/>
      <c r="AA39" s="663"/>
      <c r="AB39" s="664"/>
      <c r="AC39" s="252"/>
      <c r="AD39" s="253"/>
    </row>
    <row r="40" spans="3:30" ht="12" customHeight="1">
      <c r="C40" s="238"/>
      <c r="W40" s="659"/>
      <c r="X40" s="66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1"/>
      <c r="X41" s="662"/>
      <c r="Y41" s="260"/>
      <c r="Z41" s="261"/>
      <c r="AA41" s="663"/>
      <c r="AB41" s="664"/>
      <c r="AC41" s="252"/>
      <c r="AD41" s="253"/>
    </row>
    <row r="42" spans="3:30" ht="12" customHeight="1">
      <c r="C42" s="238"/>
      <c r="W42" s="665" t="s">
        <v>1456</v>
      </c>
      <c r="X42" s="666"/>
      <c r="Y42" s="666"/>
      <c r="Z42" s="66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5" t="s">
        <v>11</v>
      </c>
      <c r="X44" s="646"/>
      <c r="Y44" s="648"/>
      <c r="Z44" s="648"/>
      <c r="AA44" s="648"/>
      <c r="AB44" s="648"/>
      <c r="AC44" s="648"/>
      <c r="AD44" s="64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5" t="s">
        <v>984</v>
      </c>
      <c r="X45" s="646"/>
      <c r="Y45" s="648">
        <v>1</v>
      </c>
      <c r="Z45" s="648"/>
      <c r="AA45" s="648"/>
      <c r="AB45" s="648" t="s">
        <v>12</v>
      </c>
      <c r="AC45" s="64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5" t="s">
        <v>15</v>
      </c>
      <c r="X46" s="646"/>
      <c r="Y46" s="658"/>
      <c r="Z46" s="658"/>
      <c r="AA46" s="658"/>
      <c r="AB46" s="648" t="s">
        <v>16</v>
      </c>
      <c r="AC46" s="64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3" t="s">
        <v>17</v>
      </c>
      <c r="X47" s="653"/>
      <c r="Y47" s="653"/>
      <c r="Z47" s="653"/>
      <c r="AA47" s="653"/>
      <c r="AB47" s="653"/>
      <c r="AC47" s="653"/>
      <c r="AD47" s="65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5" t="str">
        <f>RAB!G6</f>
        <v>MITRATEL TSEL</v>
      </c>
      <c r="X48" s="656"/>
      <c r="Y48" s="656"/>
      <c r="Z48" s="656"/>
      <c r="AA48" s="656"/>
      <c r="AB48" s="656"/>
      <c r="AC48" s="656"/>
      <c r="AD48" s="65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5" t="str">
        <f>RAB!G7</f>
        <v>PELEM GABUS</v>
      </c>
      <c r="X49" s="656"/>
      <c r="Y49" s="656"/>
      <c r="Z49" s="656"/>
      <c r="AA49" s="656"/>
      <c r="AB49" s="656"/>
      <c r="AC49" s="656"/>
      <c r="AD49" s="65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5" t="s">
        <v>18</v>
      </c>
      <c r="X52" s="646"/>
      <c r="Y52" s="648" t="s">
        <v>1607</v>
      </c>
      <c r="Z52" s="648"/>
      <c r="AA52" s="648"/>
      <c r="AB52" s="648"/>
      <c r="AC52" s="648"/>
      <c r="AD52" s="64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5" t="s">
        <v>19</v>
      </c>
      <c r="X53" s="646"/>
      <c r="Y53" s="648" t="s">
        <v>1608</v>
      </c>
      <c r="Z53" s="648"/>
      <c r="AA53" s="648"/>
      <c r="AB53" s="648"/>
      <c r="AC53" s="648"/>
      <c r="AD53" s="64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5" t="s">
        <v>20</v>
      </c>
      <c r="X54" s="646"/>
      <c r="Y54" s="647" t="s">
        <v>1547</v>
      </c>
      <c r="Z54" s="647"/>
      <c r="AA54" s="647"/>
      <c r="AB54" s="648"/>
      <c r="AC54" s="648"/>
      <c r="AD54" s="64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0" t="s">
        <v>21</v>
      </c>
      <c r="X55" s="651"/>
      <c r="Y55" s="647"/>
      <c r="Z55" s="647"/>
      <c r="AA55" s="647"/>
      <c r="AB55" s="647"/>
      <c r="AC55" s="647"/>
      <c r="AD55" s="652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3"/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0"/>
      <c r="Z6" s="420"/>
      <c r="AA6" s="420"/>
      <c r="AB6" s="421"/>
      <c r="AC6" s="421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SYERLY HERMAN</cp:lastModifiedBy>
  <cp:lastPrinted>2023-08-11T05:50:27Z</cp:lastPrinted>
  <dcterms:created xsi:type="dcterms:W3CDTF">2011-02-06T11:57:38Z</dcterms:created>
  <dcterms:modified xsi:type="dcterms:W3CDTF">2024-03-20T03:07:46Z</dcterms:modified>
</cp:coreProperties>
</file>