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5. MEI 2024\27. 52554 KKO KKF MTS N 2 KALIREJO PD 11 KE 23KVA\"/>
    </mc:Choice>
  </mc:AlternateContent>
  <xr:revisionPtr revIDLastSave="0" documentId="13_ncr:1_{CCBC884E-C3BC-4617-9A14-90A8D8319B2F}" xr6:coauthVersionLast="47" xr6:coauthVersionMax="47" xr10:uidLastSave="{00000000-0000-0000-0000-000000000000}"/>
  <bookViews>
    <workbookView xWindow="-120" yWindow="-120" windowWidth="20730" windowHeight="110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D45" i="11" l="1"/>
  <c r="I45" i="11" s="1"/>
  <c r="E45" i="11"/>
  <c r="G45" i="11"/>
  <c r="D46" i="11"/>
  <c r="I46" i="11" s="1"/>
  <c r="E46" i="11"/>
  <c r="G46" i="11"/>
  <c r="D47" i="11"/>
  <c r="I47" i="11" s="1"/>
  <c r="E47" i="11"/>
  <c r="F47" i="11"/>
  <c r="G47" i="11"/>
  <c r="D48" i="11"/>
  <c r="I48" i="11" s="1"/>
  <c r="E48" i="11"/>
  <c r="F48" i="11"/>
  <c r="G48" i="11"/>
  <c r="H45" i="11" l="1"/>
  <c r="H47" i="11"/>
  <c r="H46" i="11"/>
  <c r="J48" i="11"/>
  <c r="J47" i="11"/>
  <c r="J46" i="11"/>
  <c r="J45" i="11"/>
  <c r="K45" i="11" s="1"/>
  <c r="H48" i="11"/>
  <c r="K48" i="11" s="1"/>
  <c r="K47" i="11" l="1"/>
  <c r="K46" i="11"/>
  <c r="K13" i="60" l="1"/>
  <c r="K12" i="60"/>
  <c r="F44" i="11"/>
  <c r="F26" i="11"/>
  <c r="F22" i="11"/>
  <c r="F20" i="11"/>
  <c r="F19" i="11"/>
  <c r="F18" i="11"/>
  <c r="D49" i="11" l="1"/>
  <c r="J49" i="11" s="1"/>
  <c r="E49" i="11"/>
  <c r="G49" i="11"/>
  <c r="H49" i="11" l="1"/>
  <c r="I49" i="11"/>
  <c r="D33" i="11"/>
  <c r="E33" i="11"/>
  <c r="G33" i="11"/>
  <c r="G6" i="11"/>
  <c r="K49" i="11" l="1"/>
  <c r="F59" i="11" l="1"/>
  <c r="F58" i="11"/>
  <c r="F57" i="11"/>
  <c r="F56" i="11"/>
  <c r="F55" i="11"/>
  <c r="F54" i="11"/>
  <c r="F53" i="11"/>
  <c r="F52" i="11"/>
  <c r="F51" i="11"/>
  <c r="D50" i="11"/>
  <c r="J50" i="11" s="1"/>
  <c r="E50" i="11"/>
  <c r="G50" i="11"/>
  <c r="D51" i="11"/>
  <c r="J51" i="11" s="1"/>
  <c r="E51" i="11"/>
  <c r="D52" i="11"/>
  <c r="H52" i="11" s="1"/>
  <c r="E52" i="11"/>
  <c r="D53" i="11"/>
  <c r="H53" i="11" s="1"/>
  <c r="E53" i="11"/>
  <c r="D54" i="11"/>
  <c r="J54" i="11" s="1"/>
  <c r="E54" i="11"/>
  <c r="D55" i="11"/>
  <c r="J55" i="11" s="1"/>
  <c r="E55" i="11"/>
  <c r="D56" i="11"/>
  <c r="H56" i="11" s="1"/>
  <c r="E56" i="11"/>
  <c r="D57" i="11"/>
  <c r="J57" i="11" s="1"/>
  <c r="E57" i="11"/>
  <c r="D58" i="11"/>
  <c r="J58" i="11" s="1"/>
  <c r="E58" i="11"/>
  <c r="D59" i="11"/>
  <c r="E59" i="11"/>
  <c r="D61" i="11"/>
  <c r="J61" i="11" s="1"/>
  <c r="E61" i="11"/>
  <c r="G61" i="11"/>
  <c r="G23" i="11"/>
  <c r="G24" i="11"/>
  <c r="G25" i="11"/>
  <c r="G27" i="11"/>
  <c r="G29" i="11"/>
  <c r="J53" i="11" l="1"/>
  <c r="H50" i="11"/>
  <c r="I50" i="11"/>
  <c r="I61" i="11"/>
  <c r="J52" i="11"/>
  <c r="J56" i="11"/>
  <c r="H54" i="11"/>
  <c r="H61" i="11"/>
  <c r="I59" i="11"/>
  <c r="H57" i="11"/>
  <c r="H58" i="11"/>
  <c r="H59" i="11"/>
  <c r="H55" i="11"/>
  <c r="H51" i="11"/>
  <c r="K61" i="11" l="1"/>
  <c r="K50" i="11"/>
  <c r="E28" i="11" l="1"/>
  <c r="E29" i="11"/>
  <c r="E30" i="11"/>
  <c r="E31" i="11"/>
  <c r="E32" i="11"/>
  <c r="E34" i="11"/>
  <c r="E35" i="11"/>
  <c r="E36" i="11"/>
  <c r="E37" i="11"/>
  <c r="E38" i="11"/>
  <c r="E39" i="11"/>
  <c r="E40" i="11"/>
  <c r="E41" i="11"/>
  <c r="E42" i="11"/>
  <c r="E43" i="11"/>
  <c r="D24" i="11" l="1"/>
  <c r="E24" i="11"/>
  <c r="D25" i="11"/>
  <c r="E25" i="11"/>
  <c r="D26" i="11"/>
  <c r="E26" i="11"/>
  <c r="D27" i="11"/>
  <c r="E27" i="11"/>
  <c r="D28" i="11"/>
  <c r="D29" i="11"/>
  <c r="D30" i="11"/>
  <c r="D31" i="11"/>
  <c r="D32" i="11"/>
  <c r="D34" i="11"/>
  <c r="D35" i="11"/>
  <c r="D36" i="11"/>
  <c r="D37" i="11"/>
  <c r="D38" i="11"/>
  <c r="D39" i="11"/>
  <c r="D40" i="11"/>
  <c r="D41" i="11"/>
  <c r="D42" i="11"/>
  <c r="D43" i="11"/>
  <c r="D44" i="11"/>
  <c r="H44" i="11" s="1"/>
  <c r="E44" i="11"/>
  <c r="H33" i="11" l="1"/>
  <c r="I33" i="11"/>
  <c r="J33" i="11"/>
  <c r="J34" i="11"/>
  <c r="H34" i="11"/>
  <c r="I30" i="11"/>
  <c r="J30" i="11"/>
  <c r="H27" i="11"/>
  <c r="I27" i="11"/>
  <c r="J27" i="11"/>
  <c r="J41" i="11"/>
  <c r="H41" i="11"/>
  <c r="H40" i="11"/>
  <c r="J40" i="11"/>
  <c r="H32" i="11"/>
  <c r="J32" i="11"/>
  <c r="H43" i="11"/>
  <c r="J43" i="11"/>
  <c r="H39" i="11"/>
  <c r="J39" i="11"/>
  <c r="H35" i="11"/>
  <c r="J35" i="11"/>
  <c r="I31" i="11"/>
  <c r="J31" i="11"/>
  <c r="J42" i="11"/>
  <c r="H42" i="11"/>
  <c r="J37" i="11"/>
  <c r="H37" i="11"/>
  <c r="J29" i="11"/>
  <c r="H29" i="11"/>
  <c r="I29" i="11"/>
  <c r="J38" i="11"/>
  <c r="H38" i="11"/>
  <c r="J25" i="11"/>
  <c r="H25" i="11"/>
  <c r="I25" i="11"/>
  <c r="H36" i="11"/>
  <c r="J36" i="11"/>
  <c r="I28" i="11"/>
  <c r="J28" i="11"/>
  <c r="I26" i="11"/>
  <c r="J26" i="11"/>
  <c r="H24" i="11"/>
  <c r="I24" i="11"/>
  <c r="J24" i="11"/>
  <c r="I44" i="11"/>
  <c r="K33" i="11" l="1"/>
  <c r="K25" i="11"/>
  <c r="K27" i="11"/>
  <c r="K29" i="11"/>
  <c r="K24" i="11"/>
  <c r="D23" i="11" l="1"/>
  <c r="E23" i="11"/>
  <c r="H23" i="11" l="1"/>
  <c r="I23" i="11"/>
  <c r="J23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D19" i="11"/>
  <c r="E19" i="11"/>
  <c r="D20" i="11"/>
  <c r="J20" i="11" s="1"/>
  <c r="E20" i="11"/>
  <c r="D21" i="11"/>
  <c r="J21" i="11" s="1"/>
  <c r="E21" i="11"/>
  <c r="D22" i="11"/>
  <c r="I22" i="11" s="1"/>
  <c r="E22" i="11"/>
  <c r="K23" i="11" l="1"/>
  <c r="I15" i="11"/>
  <c r="J15" i="11"/>
  <c r="I17" i="11"/>
  <c r="I19" i="11"/>
  <c r="J17" i="11"/>
  <c r="I16" i="11"/>
  <c r="J19" i="11"/>
  <c r="H22" i="11"/>
  <c r="J18" i="11"/>
  <c r="I18" i="11"/>
  <c r="H20" i="11"/>
  <c r="H16" i="11"/>
  <c r="K15" i="11" l="1"/>
  <c r="K17" i="11"/>
  <c r="K16" i="11"/>
  <c r="W49" i="64"/>
  <c r="D62" i="11" l="1"/>
  <c r="I62" i="11" s="1"/>
  <c r="E62" i="11"/>
  <c r="G62" i="11"/>
  <c r="J62" i="11" l="1"/>
  <c r="H62" i="11"/>
  <c r="K62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6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3" i="11"/>
  <c r="D64" i="11"/>
  <c r="H64" i="11" s="1"/>
  <c r="E6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70" i="10" s="1"/>
  <c r="N7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L129" i="10" s="1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L203" i="10" s="1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M314" i="10" s="1"/>
  <c r="N314" i="10" s="1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M598" i="10" s="1"/>
  <c r="N598" i="10" s="1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N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N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N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N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N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N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N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N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N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N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N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N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N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N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K827" i="10"/>
  <c r="M827" i="10" s="1"/>
  <c r="N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N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N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N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N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N883" i="10" s="1"/>
  <c r="O883" i="10"/>
  <c r="P883" i="10" s="1"/>
  <c r="J884" i="10"/>
  <c r="L884" i="10" s="1"/>
  <c r="K884" i="10"/>
  <c r="M884" i="10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N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N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N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N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N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N993" i="10" s="1"/>
  <c r="K993" i="10"/>
  <c r="M993" i="10" s="1"/>
  <c r="O993" i="10"/>
  <c r="P993" i="10" s="1"/>
  <c r="J994" i="10"/>
  <c r="L994" i="10" s="1"/>
  <c r="N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N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N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N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N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N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N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N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700" i="10"/>
  <c r="N775" i="10"/>
  <c r="N960" i="10"/>
  <c r="N944" i="10"/>
  <c r="N676" i="10"/>
  <c r="N824" i="10"/>
  <c r="N723" i="10"/>
  <c r="N973" i="10"/>
  <c r="N968" i="10"/>
  <c r="N956" i="10"/>
  <c r="N751" i="10"/>
  <c r="N661" i="10"/>
  <c r="N1124" i="10"/>
  <c r="N952" i="10"/>
  <c r="N664" i="10"/>
  <c r="N921" i="10"/>
  <c r="N763" i="10"/>
  <c r="N645" i="10"/>
  <c r="N964" i="10"/>
  <c r="N1085" i="10"/>
  <c r="N1053" i="10"/>
  <c r="N1045" i="10"/>
  <c r="N977" i="10"/>
  <c r="N937" i="10"/>
  <c r="N925" i="10"/>
  <c r="N909" i="10"/>
  <c r="N689" i="10"/>
  <c r="N681" i="10"/>
  <c r="N668" i="10"/>
  <c r="N657" i="10"/>
  <c r="N649" i="10"/>
  <c r="O7" i="10"/>
  <c r="P7" i="10" s="1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56" i="11" s="1"/>
  <c r="I56" i="11" s="1"/>
  <c r="K56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G18" i="11" s="1"/>
  <c r="H18" i="11" s="1"/>
  <c r="K18" i="11" s="1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4" i="11"/>
  <c r="I14" i="10"/>
  <c r="I29" i="10"/>
  <c r="I80" i="10"/>
  <c r="I96" i="10"/>
  <c r="G19" i="11" s="1"/>
  <c r="H19" i="11" s="1"/>
  <c r="K19" i="11" s="1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G55" i="11" s="1"/>
  <c r="I55" i="11" s="1"/>
  <c r="K55" i="11" s="1"/>
  <c r="I446" i="10"/>
  <c r="I462" i="10"/>
  <c r="I478" i="10"/>
  <c r="I494" i="10"/>
  <c r="I510" i="10"/>
  <c r="I526" i="10"/>
  <c r="G43" i="11" s="1"/>
  <c r="I43" i="11" s="1"/>
  <c r="K43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4" i="11" s="1"/>
  <c r="I34" i="11" s="1"/>
  <c r="K34" i="11" s="1"/>
  <c r="I401" i="10"/>
  <c r="I423" i="10"/>
  <c r="I444" i="10"/>
  <c r="G39" i="11" s="1"/>
  <c r="I39" i="11" s="1"/>
  <c r="K39" i="11" s="1"/>
  <c r="I465" i="10"/>
  <c r="I487" i="10"/>
  <c r="G41" i="11" s="1"/>
  <c r="I41" i="11" s="1"/>
  <c r="K41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51" i="11" s="1"/>
  <c r="I51" i="11" s="1"/>
  <c r="K51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G44" i="11" s="1"/>
  <c r="J44" i="11" s="1"/>
  <c r="K44" i="11" s="1"/>
  <c r="I1037" i="10"/>
  <c r="I1074" i="10"/>
  <c r="I1106" i="10"/>
  <c r="I1138" i="10"/>
  <c r="I1170" i="10"/>
  <c r="I17" i="10"/>
  <c r="G20" i="11" s="1"/>
  <c r="I20" i="11" s="1"/>
  <c r="K20" i="11" s="1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36" i="11" s="1"/>
  <c r="I36" i="11" s="1"/>
  <c r="K36" i="11" s="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30" i="11" s="1"/>
  <c r="H30" i="11" s="1"/>
  <c r="K30" i="11" s="1"/>
  <c r="I203" i="10"/>
  <c r="I222" i="10"/>
  <c r="I248" i="10"/>
  <c r="I273" i="10"/>
  <c r="I302" i="10"/>
  <c r="I334" i="10"/>
  <c r="I360" i="10"/>
  <c r="I393" i="10"/>
  <c r="I436" i="10"/>
  <c r="G53" i="11" s="1"/>
  <c r="I53" i="11" s="1"/>
  <c r="K53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38" i="11" s="1"/>
  <c r="I38" i="11" s="1"/>
  <c r="K38" i="11" s="1"/>
  <c r="I437" i="10"/>
  <c r="I464" i="10"/>
  <c r="I496" i="10"/>
  <c r="I523" i="10"/>
  <c r="G42" i="11" s="1"/>
  <c r="I42" i="11" s="1"/>
  <c r="K42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G26" i="11" s="1"/>
  <c r="H26" i="11" s="1"/>
  <c r="K26" i="11" s="1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5" i="11" s="1"/>
  <c r="I35" i="11" s="1"/>
  <c r="K35" i="11" s="1"/>
  <c r="I418" i="10"/>
  <c r="I438" i="10"/>
  <c r="I458" i="10"/>
  <c r="I482" i="10"/>
  <c r="I502" i="10"/>
  <c r="I522" i="10"/>
  <c r="G58" i="11" s="1"/>
  <c r="I58" i="11" s="1"/>
  <c r="K58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28" i="11" s="1"/>
  <c r="H28" i="11" s="1"/>
  <c r="K28" i="11" s="1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G37" i="11" s="1"/>
  <c r="I37" i="11" s="1"/>
  <c r="K37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54" i="11" s="1"/>
  <c r="I54" i="11" s="1"/>
  <c r="K54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G52" i="11" s="1"/>
  <c r="I52" i="11" s="1"/>
  <c r="K52" i="11" s="1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57" i="11" s="1"/>
  <c r="I57" i="11" s="1"/>
  <c r="K57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40" i="11" s="1"/>
  <c r="I40" i="11" s="1"/>
  <c r="K40" i="11" s="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G32" i="11" s="1"/>
  <c r="I32" i="11" s="1"/>
  <c r="K32" i="11" s="1"/>
  <c r="I229" i="10"/>
  <c r="I354" i="10"/>
  <c r="I457" i="10"/>
  <c r="I515" i="10"/>
  <c r="I580" i="10"/>
  <c r="I671" i="10"/>
  <c r="I724" i="10"/>
  <c r="I813" i="10"/>
  <c r="G59" i="11" s="1"/>
  <c r="J59" i="11" s="1"/>
  <c r="K59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31" i="11" s="1"/>
  <c r="H31" i="11" s="1"/>
  <c r="K31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22" i="11" s="1"/>
  <c r="J22" i="11" s="1"/>
  <c r="K22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21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1" i="11"/>
  <c r="I1220" i="10"/>
  <c r="I1219" i="10"/>
  <c r="I9" i="10"/>
  <c r="P191" i="10"/>
  <c r="P193" i="10"/>
  <c r="P190" i="10"/>
  <c r="P192" i="10"/>
  <c r="P195" i="10"/>
  <c r="P194" i="10"/>
  <c r="L108" i="10"/>
  <c r="L111" i="10"/>
  <c r="L204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80" i="10"/>
  <c r="L206" i="10"/>
  <c r="L247" i="10"/>
  <c r="N1155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13" i="10"/>
  <c r="M222" i="10"/>
  <c r="P80" i="10"/>
  <c r="N1298" i="10"/>
  <c r="N1096" i="10"/>
  <c r="G8" i="29"/>
  <c r="N1359" i="10"/>
  <c r="N1208" i="10"/>
  <c r="N1370" i="10"/>
  <c r="N1052" i="10"/>
  <c r="N976" i="10"/>
  <c r="N961" i="10"/>
  <c r="N1199" i="10"/>
  <c r="N1177" i="10"/>
  <c r="N969" i="10"/>
  <c r="N939" i="10"/>
  <c r="N916" i="10"/>
  <c r="N870" i="10"/>
  <c r="N767" i="10"/>
  <c r="N759" i="10"/>
  <c r="N755" i="10"/>
  <c r="N743" i="10"/>
  <c r="N735" i="10"/>
  <c r="N731" i="10"/>
  <c r="N719" i="10"/>
  <c r="N715" i="10"/>
  <c r="N913" i="10"/>
  <c r="N882" i="10"/>
  <c r="N861" i="10"/>
  <c r="N844" i="10"/>
  <c r="N830" i="10"/>
  <c r="N829" i="10"/>
  <c r="N934" i="10"/>
  <c r="N933" i="10"/>
  <c r="N932" i="10"/>
  <c r="N930" i="10"/>
  <c r="N929" i="10"/>
  <c r="N695" i="10"/>
  <c r="N687" i="10"/>
  <c r="N683" i="10"/>
  <c r="N671" i="10"/>
  <c r="N667" i="10"/>
  <c r="N663" i="10"/>
  <c r="N651" i="10"/>
  <c r="N647" i="10"/>
  <c r="P202" i="10"/>
  <c r="N1252" i="10"/>
  <c r="N1238" i="10"/>
  <c r="N1386" i="10"/>
  <c r="N1326" i="10"/>
  <c r="N1185" i="10"/>
  <c r="N1139" i="10"/>
  <c r="L86" i="10"/>
  <c r="N86" i="10" s="1"/>
  <c r="L45" i="10"/>
  <c r="N1237" i="10"/>
  <c r="N1164" i="10"/>
  <c r="N1145" i="10"/>
  <c r="N1144" i="10"/>
  <c r="N1041" i="10"/>
  <c r="N972" i="10"/>
  <c r="N1318" i="10"/>
  <c r="N1254" i="10"/>
  <c r="N1163" i="10"/>
  <c r="N1048" i="10"/>
  <c r="N862" i="10"/>
  <c r="N860" i="10"/>
  <c r="N817" i="10"/>
  <c r="N812" i="10"/>
  <c r="N947" i="10"/>
  <c r="N917" i="10"/>
  <c r="N915" i="10"/>
  <c r="N885" i="10"/>
  <c r="N833" i="10"/>
  <c r="N794" i="10"/>
  <c r="N790" i="10"/>
  <c r="N786" i="10"/>
  <c r="N782" i="10"/>
  <c r="N778" i="10"/>
  <c r="N774" i="10"/>
  <c r="N766" i="10"/>
  <c r="N1097" i="10"/>
  <c r="N1084" i="10"/>
  <c r="N694" i="10"/>
  <c r="N682" i="10"/>
  <c r="N678" i="10"/>
  <c r="N670" i="10"/>
  <c r="N666" i="10"/>
  <c r="N662" i="10"/>
  <c r="N646" i="10"/>
  <c r="N1011" i="10"/>
  <c r="N1009" i="10"/>
  <c r="N1005" i="10"/>
  <c r="N1001" i="10"/>
  <c r="N998" i="10"/>
  <c r="N980" i="10"/>
  <c r="N943" i="10"/>
  <c r="N927" i="10"/>
  <c r="N920" i="10"/>
  <c r="N895" i="10"/>
  <c r="N852" i="10"/>
  <c r="N836" i="10"/>
  <c r="N832" i="10"/>
  <c r="N825" i="10"/>
  <c r="N816" i="10"/>
  <c r="N805" i="10"/>
  <c r="N804" i="10"/>
  <c r="N800" i="10"/>
  <c r="N796" i="10"/>
  <c r="N789" i="10"/>
  <c r="N788" i="10"/>
  <c r="N785" i="10"/>
  <c r="N781" i="10"/>
  <c r="N780" i="10"/>
  <c r="N776" i="10"/>
  <c r="N772" i="10"/>
  <c r="N769" i="10"/>
  <c r="N768" i="10"/>
  <c r="N760" i="10"/>
  <c r="N756" i="10"/>
  <c r="N752" i="10"/>
  <c r="N744" i="10"/>
  <c r="N740" i="10"/>
  <c r="N736" i="10"/>
  <c r="N728" i="10"/>
  <c r="N724" i="10"/>
  <c r="N720" i="10"/>
  <c r="N710" i="10"/>
  <c r="N746" i="10"/>
  <c r="N730" i="10"/>
  <c r="N726" i="10"/>
  <c r="N718" i="10"/>
  <c r="N714" i="10"/>
  <c r="N707" i="10"/>
  <c r="N705" i="10"/>
  <c r="N696" i="10"/>
  <c r="N692" i="10"/>
  <c r="N688" i="10"/>
  <c r="N672" i="10"/>
  <c r="N660" i="10"/>
  <c r="N656" i="10"/>
  <c r="N634" i="10"/>
  <c r="N1312" i="10"/>
  <c r="N1168" i="10"/>
  <c r="N1158" i="10"/>
  <c r="N1157" i="10"/>
  <c r="N1141" i="10"/>
  <c r="N1140" i="10"/>
  <c r="N1137" i="10"/>
  <c r="N1136" i="10"/>
  <c r="N1135" i="10"/>
  <c r="N1133" i="10"/>
  <c r="N1056" i="10"/>
  <c r="N997" i="10"/>
  <c r="N1166" i="10"/>
  <c r="L208" i="10"/>
  <c r="L242" i="10"/>
  <c r="L269" i="10"/>
  <c r="L240" i="10"/>
  <c r="L233" i="10"/>
  <c r="L241" i="10"/>
  <c r="L268" i="10"/>
  <c r="N1270" i="10"/>
  <c r="N1121" i="10"/>
  <c r="N1173" i="10"/>
  <c r="N1272" i="10"/>
  <c r="N1129" i="10"/>
  <c r="N1128" i="10"/>
  <c r="N1064" i="10"/>
  <c r="N1049" i="10"/>
  <c r="N1294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035" i="10"/>
  <c r="N1034" i="10"/>
  <c r="P10" i="10"/>
  <c r="P203" i="10"/>
  <c r="P198" i="10"/>
  <c r="M1452" i="10"/>
  <c r="N1452" i="10" s="1"/>
  <c r="M98" i="10"/>
  <c r="M606" i="10"/>
  <c r="N606" i="10" s="1"/>
  <c r="M183" i="10"/>
  <c r="M99" i="10"/>
  <c r="M639" i="10"/>
  <c r="N639" i="10" s="1"/>
  <c r="M193" i="10"/>
  <c r="M106" i="10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M198" i="10"/>
  <c r="N198" i="10" s="1"/>
  <c r="M1435" i="10"/>
  <c r="M231" i="10"/>
  <c r="L172" i="29"/>
  <c r="L42" i="39"/>
  <c r="H21" i="11" l="1"/>
  <c r="I21" i="11"/>
  <c r="N106" i="10"/>
  <c r="L235" i="10"/>
  <c r="L93" i="10"/>
  <c r="N93" i="10" s="1"/>
  <c r="L127" i="10"/>
  <c r="L128" i="10"/>
  <c r="L9" i="10"/>
  <c r="N1431" i="10"/>
  <c r="N1407" i="10"/>
  <c r="N1108" i="10"/>
  <c r="N912" i="10"/>
  <c r="N557" i="10"/>
  <c r="N1267" i="10"/>
  <c r="N1262" i="10"/>
  <c r="N1192" i="10"/>
  <c r="N1134" i="10"/>
  <c r="N784" i="10"/>
  <c r="N764" i="10"/>
  <c r="N748" i="10"/>
  <c r="N732" i="10"/>
  <c r="N712" i="10"/>
  <c r="N684" i="10"/>
  <c r="N1356" i="10"/>
  <c r="N1268" i="10"/>
  <c r="N1246" i="10"/>
  <c r="N1088" i="10"/>
  <c r="N1073" i="10"/>
  <c r="N1072" i="10"/>
  <c r="N1040" i="10"/>
  <c r="N928" i="10"/>
  <c r="N889" i="10"/>
  <c r="N840" i="10"/>
  <c r="N815" i="10"/>
  <c r="N701" i="10"/>
  <c r="N669" i="10"/>
  <c r="N652" i="10"/>
  <c r="N633" i="10"/>
  <c r="K14" i="29"/>
  <c r="N877" i="10"/>
  <c r="N873" i="10"/>
  <c r="N869" i="10"/>
  <c r="N865" i="10"/>
  <c r="N699" i="10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247" i="29"/>
  <c r="D247" i="29" s="1"/>
  <c r="F247" i="29" s="1"/>
  <c r="C245" i="29"/>
  <c r="D245" i="29" s="1"/>
  <c r="F245" i="29" s="1"/>
  <c r="C268" i="29"/>
  <c r="D268" i="29" s="1"/>
  <c r="F268" i="29" s="1"/>
  <c r="N9" i="10"/>
  <c r="C228" i="29"/>
  <c r="D228" i="29" s="1"/>
  <c r="E228" i="29" s="1"/>
  <c r="C299" i="29"/>
  <c r="D299" i="29" s="1"/>
  <c r="F299" i="29" s="1"/>
  <c r="C264" i="29"/>
  <c r="D264" i="29" s="1"/>
  <c r="F264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4" i="11"/>
  <c r="I64" i="11"/>
  <c r="K21" i="11" l="1"/>
  <c r="C266" i="29"/>
  <c r="D266" i="29" s="1"/>
  <c r="E266" i="29" s="1"/>
  <c r="C273" i="29"/>
  <c r="D273" i="29" s="1"/>
  <c r="F273" i="29" s="1"/>
  <c r="C256" i="29"/>
  <c r="D256" i="29" s="1"/>
  <c r="E256" i="29" s="1"/>
  <c r="C293" i="29"/>
  <c r="D293" i="29" s="1"/>
  <c r="E293" i="29" s="1"/>
  <c r="C261" i="29"/>
  <c r="D261" i="29" s="1"/>
  <c r="F261" i="29" s="1"/>
  <c r="C298" i="29"/>
  <c r="D298" i="29" s="1"/>
  <c r="E298" i="29" s="1"/>
  <c r="C250" i="29"/>
  <c r="D250" i="29" s="1"/>
  <c r="E250" i="29" s="1"/>
  <c r="C284" i="29"/>
  <c r="D284" i="29" s="1"/>
  <c r="E284" i="29" s="1"/>
  <c r="C308" i="29"/>
  <c r="D308" i="29" s="1"/>
  <c r="E308" i="29" s="1"/>
  <c r="C313" i="29"/>
  <c r="D313" i="29" s="1"/>
  <c r="C270" i="29"/>
  <c r="D270" i="29" s="1"/>
  <c r="E270" i="29" s="1"/>
  <c r="C316" i="29"/>
  <c r="D316" i="29" s="1"/>
  <c r="E316" i="29" s="1"/>
  <c r="C302" i="29"/>
  <c r="D302" i="29" s="1"/>
  <c r="E302" i="29" s="1"/>
  <c r="C289" i="29"/>
  <c r="D289" i="29" s="1"/>
  <c r="E289" i="29" s="1"/>
  <c r="C271" i="29"/>
  <c r="D271" i="29" s="1"/>
  <c r="E271" i="29" s="1"/>
  <c r="C294" i="29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66" i="29"/>
  <c r="E245" i="29"/>
  <c r="F289" i="29"/>
  <c r="E299" i="29"/>
  <c r="E268" i="29"/>
  <c r="E273" i="29"/>
  <c r="F308" i="29"/>
  <c r="E264" i="29"/>
  <c r="E261" i="29"/>
  <c r="F270" i="29"/>
  <c r="E276" i="29"/>
  <c r="E251" i="29"/>
  <c r="F29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64" i="11"/>
  <c r="F250" i="29" l="1"/>
  <c r="F271" i="29"/>
  <c r="F256" i="29"/>
  <c r="F316" i="29"/>
  <c r="F284" i="29"/>
  <c r="E236" i="29"/>
  <c r="J63" i="11"/>
  <c r="K63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6" i="11"/>
  <c r="H67" i="11" s="1"/>
  <c r="I66" i="11"/>
  <c r="I67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68" i="11"/>
  <c r="I6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66" i="11"/>
  <c r="K67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66" i="11"/>
  <c r="J6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68" i="11"/>
  <c r="B69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<sst xmlns="http://schemas.openxmlformats.org/spreadsheetml/2006/main" count="4728" uniqueCount="1629">
  <si>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</si>
  <si>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</si>
  <si>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</si>
  <si>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</si>
  <si>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</si>
  <si>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</si>
  <si>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</si>
  <si>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</si>
  <si>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</si>
  <si>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</si>
  <si>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</si>
  <si>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</si>
  <si>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</si>
  <si>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</si>
  <si>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</si>
  <si>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</si>
  <si>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</si>
  <si>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</si>
  <si>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</si>
  <si>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</si>
  <si>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</si>
  <si>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</si>
  <si>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</si>
  <si>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</si>
  <si>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</si>
  <si>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</si>
  <si>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</si>
  <si>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</si>
  <si>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</si>
  <si>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</si>
  <si>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</si>
  <si>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</si>
  <si>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</si>
  <si>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</si>
  <si>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</si>
  <si>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</si>
  <si>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</si>
  <si>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</si>
  <si>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</si>
  <si>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</si>
  <si>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</si>
  <si>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</si>
  <si>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</si>
  <si>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</si>
  <si>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</si>
  <si>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</si>
  <si>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</si>
  <si>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</si>
  <si>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</si>
  <si>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</si>
  <si>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</si>
  <si>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</si>
  <si>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</si>
  <si>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</si>
  <si>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</si>
  <si>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</si>
  <si>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</si>
  <si>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</si>
  <si>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</si>
  <si>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</si>
  <si>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</si>
  <si>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</si>
  <si>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</si>
  <si>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</si>
  <si>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</si>
  <si>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</si>
  <si>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</si>
  <si>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</si>
  <si>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</si>
  <si>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</si>
  <si>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</si>
  <si>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</si>
  <si>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</si>
  <si>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</si>
  <si>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</si>
  <si>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</si>
  <si>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</si>
  <si>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</si>
  <si>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</si>
  <si>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</si>
  <si>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</si>
  <si>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</si>
  <si>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</si>
  <si>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</si>
  <si>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</si>
  <si>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</si>
  <si>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</si>
  <si>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</si>
  <si>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</si>
  <si>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</si>
  <si>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</si>
  <si>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</si>
  <si>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</si>
  <si>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</si>
  <si>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</si>
  <si>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</si>
  <si>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</si>
  <si>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</si>
  <si>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</si>
  <si>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</si>
  <si>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</si>
  <si>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</si>
  <si>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</si>
  <si>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</si>
  <si>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</si>
  <si>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</si>
  <si>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</si>
  <si>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</si>
  <si>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</si>
  <si>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</si>
  <si>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</si>
  <si>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</si>
  <si>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</si>
  <si>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</si>
  <si>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</si>
  <si>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</si>
  <si>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</si>
  <si>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</si>
  <si>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</si>
  <si>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</si>
  <si>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</si>
  <si>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</si>
  <si>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</si>
  <si>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</si>
  <si>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</si>
  <si>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</si>
  <si>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</si>
  <si>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</si>
  <si>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</si>
  <si>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</si>
  <si>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</si>
  <si>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</si>
  <si>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</si>
  <si>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</si>
  <si>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</si>
  <si>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</si>
  <si>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</si>
  <si>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</si>
  <si>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</si>
  <si>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</si>
  <si>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</si>
  <si>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</si>
  <si>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</si>
  <si>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</si>
  <si>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</si>
  <si>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</si>
  <si>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</si>
  <si>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</si>
  <si>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</si>
  <si>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</si>
  <si>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</si>
  <si>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</si>
  <si>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</si>
  <si>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</si>
  <si>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</si>
  <si>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</si>
  <si>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</si>
  <si>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</si>
  <si>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</si>
  <si>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</si>
  <si>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</si>
  <si>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</si>
  <si>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</si>
  <si>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</si>
  <si>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</si>
  <si>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</si>
  <si>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</si>
  <si>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</si>
  <si>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</si>
  <si>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</si>
  <si>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</si>
  <si>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</si>
  <si>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</si>
  <si>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</si>
  <si>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</si>
  <si>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</si>
  <si>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</si>
  <si>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</si>
  <si>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</si>
  <si>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</si>
  <si>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</si>
  <si>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</si>
  <si>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</si>
  <si>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</si>
  <si>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</si>
  <si>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</si>
  <si>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</si>
  <si>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</si>
  <si>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</si>
  <si>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</si>
  <si>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</si>
  <si>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</si>
  <si>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</si>
  <si>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</si>
  <si>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</si>
  <si>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</si>
  <si>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</si>
  <si>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</si>
  <si>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</si>
  <si>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</si>
  <si>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</si>
  <si>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</si>
  <si>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</si>
  <si>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</si>
  <si>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</si>
  <si>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</si>
  <si>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</si>
  <si>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</si>
  <si>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</si>
  <si>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</si>
  <si>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</si>
  <si>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</si>
  <si>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</si>
  <si>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</si>
  <si>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</si>
  <si>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</si>
  <si>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</si>
  <si>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</si>
  <si>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</si>
  <si>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</si>
  <si>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</si>
  <si>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</si>
  <si>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</si>
  <si>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</si>
  <si>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</si>
  <si>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</si>
  <si>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</si>
  <si>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</si>
  <si>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</si>
  <si>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</si>
  <si>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</si>
  <si>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</si>
  <si>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</si>
  <si>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</si>
  <si>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</si>
  <si>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</si>
  <si>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</si>
  <si>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</si>
  <si>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</si>
  <si>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</si>
  <si>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</si>
  <si>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</si>
  <si>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</si>
  <si>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</si>
  <si>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</si>
  <si>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</si>
  <si>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</si>
  <si>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</si>
  <si>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</si>
  <si>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</si>
  <si>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</si>
  <si>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</si>
  <si>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</si>
  <si>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</si>
  <si>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</si>
  <si>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</si>
  <si>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</si>
  <si>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</si>
  <si>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</si>
  <si>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</si>
  <si>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</si>
  <si>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</si>
  <si>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</si>
  <si>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</si>
  <si>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</si>
  <si>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</si>
  <si>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</si>
  <si>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</si>
  <si>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</si>
  <si>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</si>
  <si>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</si>
  <si>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</si>
  <si>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</si>
  <si>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</si>
  <si>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</si>
  <si>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</si>
  <si>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</si>
  <si>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</si>
  <si>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</si>
  <si>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</si>
  <si>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</si>
  <si>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</si>
  <si>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</si>
  <si>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</si>
  <si>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</si>
  <si>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</si>
  <si>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</si>
  <si>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</si>
  <si>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</si>
  <si>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</si>
  <si>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</si>
  <si>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</si>
  <si>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</si>
  <si>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</si>
  <si>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</si>
  <si>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</si>
  <si>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</si>
  <si>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</si>
  <si>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</si>
  <si>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</si>
  <si>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</si>
  <si>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</si>
  <si>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</si>
  <si>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</si>
  <si>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</si>
  <si>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</si>
  <si>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</si>
  <si>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</si>
  <si>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</si>
  <si>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</si>
  <si>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</si>
  <si>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</si>
  <si>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</si>
  <si>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</si>
  <si>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</si>
  <si>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</si>
  <si>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</si>
  <si>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</si>
  <si>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</si>
  <si>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</si>
  <si>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</si>
  <si>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</si>
  <si>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</si>
  <si>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</si>
  <si>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</si>
  <si>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</si>
  <si>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</si>
  <si>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</si>
  <si>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</si>
  <si>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</si>
  <si>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</si>
  <si>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</si>
  <si>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</si>
  <si>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</si>
  <si>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</si>
  <si>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</si>
  <si>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</si>
  <si>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</si>
  <si>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</si>
  <si>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</si>
  <si>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</si>
  <si>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</si>
  <si>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</si>
  <si>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</si>
  <si>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</si>
  <si>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</si>
  <si>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</si>
  <si>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</si>
  <si>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</si>
  <si>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</si>
  <si>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</si>
  <si>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</si>
  <si>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</si>
  <si>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</si>
  <si>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</si>
  <si>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</si>
  <si>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</si>
  <si>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</si>
  <si>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</si>
  <si>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</si>
  <si>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</si>
  <si>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</si>
  <si>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</si>
  <si>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</si>
  <si>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</si>
  <si>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</si>
  <si>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</si>
  <si>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</si>
  <si>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</si>
  <si>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</si>
  <si>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</si>
  <si>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</si>
  <si>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</si>
  <si>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</si>
  <si>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</si>
  <si>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</si>
  <si>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</si>
  <si>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</si>
  <si>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</si>
  <si>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</si>
  <si>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</si>
  <si>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</si>
  <si>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</si>
  <si>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</si>
  <si>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</si>
  <si>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</si>
  <si>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</si>
  <si>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</si>
  <si>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</si>
  <si>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</si>
  <si>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</si>
  <si>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</si>
  <si>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</si>
  <si>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</si>
  <si>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</si>
  <si>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</si>
  <si>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</si>
  <si>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</si>
  <si>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</si>
  <si>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</si>
  <si>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</si>
  <si>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</si>
  <si>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</si>
  <si>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</si>
  <si>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</si>
  <si>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</si>
  <si>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</si>
  <si>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</si>
  <si>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</si>
  <si>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</si>
  <si>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</si>
  <si>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</si>
  <si>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</si>
  <si>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</si>
  <si>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</si>
  <si>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</si>
  <si>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</si>
  <si>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</si>
  <si>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</si>
  <si>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</si>
  <si>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</si>
  <si>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</si>
  <si>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</si>
  <si>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</si>
  <si>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</si>
  <si>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</si>
  <si>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</si>
  <si>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</si>
  <si>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</si>
  <si>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</si>
  <si>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</si>
  <si>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</si>
  <si>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</si>
  <si>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</si>
  <si>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</si>
  <si>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</si>
  <si>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</si>
  <si>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</si>
  <si>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</si>
  <si>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</si>
  <si>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</si>
  <si>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</si>
  <si>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</si>
  <si>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</si>
  <si>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</si>
  <si>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</si>
  <si>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</si>
  <si>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</si>
  <si>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</si>
  <si>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</si>
  <si>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</si>
  <si>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</si>
  <si>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</si>
  <si>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</si>
  <si>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</si>
  <si>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</si>
  <si>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</si>
  <si>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</si>
  <si>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</si>
  <si>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</si>
  <si>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</si>
  <si>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</si>
  <si>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</si>
  <si>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</si>
  <si>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</si>
  <si>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</si>
  <si>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</si>
  <si>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</si>
  <si>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</si>
  <si>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</si>
  <si>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</si>
  <si>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</si>
  <si>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</si>
  <si>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</si>
  <si>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</si>
  <si>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</si>
  <si>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</si>
  <si>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</si>
  <si>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</si>
  <si>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</si>
  <si>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</si>
  <si>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</si>
  <si>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</si>
  <si>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</si>
  <si>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</si>
  <si>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</si>
  <si>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</si>
  <si>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</si>
  <si>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</si>
  <si>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</si>
  <si>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</si>
  <si>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</si>
  <si>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</si>
  <si>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</si>
  <si>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</si>
  <si>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</si>
  <si>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</si>
  <si>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</si>
  <si>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</si>
  <si>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</si>
  <si>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</si>
  <si>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</si>
  <si>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</si>
  <si>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</si>
  <si>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</si>
  <si>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</si>
  <si>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</si>
  <si>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</si>
  <si>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</si>
  <si>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</si>
  <si>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</si>
  <si>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</si>
  <si>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</si>
  <si>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</si>
  <si>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</si>
  <si>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</si>
  <si>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</si>
  <si>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</si>
  <si>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</si>
  <si>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</si>
  <si>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</si>
  <si>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</si>
  <si>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</si>
  <si>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</si>
  <si>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</si>
  <si>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</si>
  <si>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</si>
  <si>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</si>
  <si>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</si>
  <si>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</si>
  <si>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</si>
  <si>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</si>
  <si>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</si>
  <si>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</si>
  <si>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</si>
  <si>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</si>
  <si>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</si>
  <si>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</si>
  <si>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</si>
  <si>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</si>
  <si>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</si>
  <si>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</si>
  <si>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</si>
  <si>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</si>
  <si>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</si>
  <si>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</si>
  <si>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</si>
  <si>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</si>
  <si>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</si>
  <si>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</si>
  <si>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</si>
  <si>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</si>
  <si>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</si>
  <si>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</si>
  <si>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</si>
  <si>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</si>
  <si>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</si>
  <si>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</si>
  <si>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</si>
  <si>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</si>
  <si>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</si>
  <si>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</si>
  <si>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</si>
  <si>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</si>
  <si>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</si>
  <si>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</si>
  <si>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</si>
  <si>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</si>
  <si>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</si>
  <si>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</si>
  <si>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</si>
  <si>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</si>
  <si>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</si>
  <si>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</si>
  <si>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</si>
  <si>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</si>
  <si>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</si>
  <si>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</si>
  <si>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</si>
  <si>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</si>
  <si>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</si>
  <si>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</si>
  <si>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</si>
  <si>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</si>
  <si>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</si>
  <si>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</si>
  <si>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</si>
  <si>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</si>
  <si>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</si>
  <si>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</si>
  <si>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</si>
  <si>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</si>
  <si>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</si>
  <si>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</si>
  <si>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</si>
  <si>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</si>
  <si>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</si>
  <si>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</si>
  <si>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</si>
  <si>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</si>
  <si>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</si>
  <si>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</si>
  <si>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</si>
  <si>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</si>
  <si>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</si>
  <si>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</si>
  <si>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</si>
  <si>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</si>
  <si>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</si>
  <si>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</si>
  <si>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</si>
  <si>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</si>
  <si>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</si>
  <si>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</si>
  <si>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</si>
  <si>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</si>
  <si>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</si>
  <si>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</si>
  <si>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</si>
  <si>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</si>
  <si>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</si>
  <si>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</si>
  <si>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</si>
  <si>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</si>
  <si>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</si>
  <si>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</si>
  <si>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</si>
  <si>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</si>
  <si>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</si>
  <si>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</si>
  <si>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</si>
  <si>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</si>
  <si>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</si>
  <si>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</si>
  <si>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</si>
  <si>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</si>
  <si>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</si>
  <si>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</si>
  <si>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</si>
  <si>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</si>
  <si>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</si>
  <si>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</si>
  <si>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</si>
  <si>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</si>
  <si>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</si>
  <si>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</si>
  <si>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</si>
  <si>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</si>
  <si>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</si>
  <si>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</si>
  <si>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</si>
  <si>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</si>
  <si>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</si>
  <si>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</si>
  <si>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</si>
  <si>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</si>
  <si>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</si>
  <si>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</si>
  <si>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</si>
  <si>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</si>
  <si>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</si>
  <si>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</si>
  <si>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</si>
  <si>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</si>
  <si>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</si>
  <si>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</si>
  <si>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</si>
  <si>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</si>
  <si>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</si>
  <si>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</si>
  <si>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</si>
  <si>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</si>
  <si>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</si>
  <si>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</si>
  <si>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</si>
  <si>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</si>
  <si>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</si>
  <si>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</si>
  <si>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</si>
  <si>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</si>
  <si>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</si>
  <si>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</si>
  <si>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</si>
  <si>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</si>
  <si>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</si>
  <si>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</si>
  <si>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</si>
  <si>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</si>
  <si>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</si>
  <si>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</si>
  <si>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</si>
  <si>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</si>
  <si>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</si>
  <si>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</si>
  <si>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</si>
  <si>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</si>
  <si>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</si>
  <si>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</si>
  <si>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</si>
  <si>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</si>
  <si>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</si>
  <si>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</si>
  <si>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</si>
  <si>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</si>
  <si>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</si>
  <si>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</si>
  <si>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</si>
  <si>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</si>
  <si>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</si>
  <si>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</si>
  <si>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</si>
  <si>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</si>
  <si>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</si>
  <si>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</si>
  <si>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</si>
  <si>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</si>
  <si>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</si>
  <si>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</si>
  <si>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</si>
  <si>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</si>
  <si>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</si>
  <si>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</si>
  <si>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</si>
  <si>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</si>
  <si>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</si>
  <si>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</si>
  <si>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</si>
  <si>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</si>
  <si>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</si>
  <si>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</si>
  <si>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</si>
  <si>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</si>
  <si>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</si>
  <si>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</si>
  <si>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</si>
  <si>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</si>
  <si>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</si>
  <si>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</si>
  <si>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</si>
  <si>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</si>
  <si>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</si>
  <si>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</si>
  <si>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</si>
  <si>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</si>
  <si>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</si>
  <si>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</si>
  <si>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</si>
  <si>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</si>
  <si>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</si>
  <si>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</si>
  <si>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</si>
  <si>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</si>
  <si>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</si>
  <si>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</si>
  <si>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</si>
  <si>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</si>
  <si>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</si>
  <si>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</si>
  <si>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</si>
  <si>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</si>
  <si>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</si>
  <si>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</si>
  <si>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</si>
  <si>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</si>
  <si>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</si>
  <si>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</si>
  <si>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</si>
  <si>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</si>
  <si>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</si>
  <si>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</si>
  <si>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</si>
  <si>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</si>
  <si>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</si>
  <si>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</si>
  <si>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</si>
  <si>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</si>
  <si>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</si>
  <si>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</si>
  <si>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</si>
  <si>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</si>
  <si>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</si>
  <si>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</si>
  <si>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</si>
  <si>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</si>
  <si>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</si>
  <si>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</si>
  <si>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</si>
  <si>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</si>
  <si>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</si>
  <si>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</si>
  <si>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</si>
  <si>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</si>
  <si>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</si>
  <si>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</si>
  <si>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</si>
  <si>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</si>
  <si>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</si>
  <si>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</si>
  <si>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</si>
  <si>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</si>
  <si>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</si>
  <si>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</si>
  <si>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</si>
  <si>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</si>
  <si>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</si>
  <si>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</si>
  <si>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</si>
  <si>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</si>
  <si>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</si>
  <si>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</si>
  <si>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</si>
  <si>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</si>
  <si>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</si>
  <si>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</si>
  <si>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</si>
  <si>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</si>
  <si>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</si>
  <si>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</si>
  <si>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</si>
  <si>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</si>
  <si>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</si>
  <si>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</si>
  <si>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</si>
  <si>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</si>
  <si>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</si>
  <si>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</si>
  <si>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</si>
  <si>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</si>
  <si>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</si>
  <si>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</si>
  <si>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</si>
  <si>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</si>
  <si>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</si>
  <si>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</si>
  <si>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</si>
  <si>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</si>
  <si>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</si>
  <si>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</si>
  <si>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</si>
  <si>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</si>
  <si>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</si>
  <si>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</si>
  <si>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</si>
  <si>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</si>
  <si>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</si>
  <si>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</si>
  <si>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</si>
  <si>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</si>
  <si>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</si>
  <si>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</si>
  <si>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</si>
  <si>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</si>
  <si>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</si>
  <si>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</si>
  <si>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</si>
  <si>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</si>
  <si>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</si>
  <si>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</si>
  <si>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</si>
  <si>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</si>
  <si>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</si>
  <si>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</si>
  <si>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</si>
  <si>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</si>
  <si>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</si>
  <si>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</si>
  <si>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</si>
  <si>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</si>
  <si>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</si>
  <si>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</si>
  <si>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</si>
  <si>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</si>
  <si>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</si>
  <si>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</si>
  <si>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</si>
  <si>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</si>
  <si>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</si>
  <si>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</si>
  <si>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</si>
  <si>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</si>
  <si>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</si>
  <si>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</si>
  <si>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</si>
  <si>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</si>
  <si>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</si>
  <si>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</si>
  <si>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</si>
  <si>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</si>
  <si>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</si>
  <si>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</si>
  <si>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</si>
  <si>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</si>
  <si>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</si>
  <si>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</si>
  <si>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</si>
  <si>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</si>
  <si>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</si>
  <si>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</si>
  <si>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</si>
  <si>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</si>
  <si>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</si>
  <si>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</si>
  <si>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</si>
  <si>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</si>
  <si>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</si>
  <si>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</si>
  <si>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</si>
  <si>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</si>
  <si>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</si>
  <si>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</si>
  <si>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</si>
  <si>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</si>
  <si>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</si>
  <si>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</si>
  <si>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</si>
  <si>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</si>
  <si>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</si>
  <si>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</si>
  <si>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</si>
  <si>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</si>
  <si>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</si>
  <si>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</si>
  <si>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</si>
  <si>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</si>
  <si>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</si>
  <si>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</si>
  <si>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</si>
  <si>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</si>
  <si>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</si>
  <si>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</si>
  <si>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</si>
  <si>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</si>
  <si>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</si>
  <si>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</si>
  <si>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</si>
  <si>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</si>
  <si>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</si>
  <si>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</si>
  <si>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</si>
  <si>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</si>
  <si>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</si>
  <si>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</si>
  <si>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</si>
  <si>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</si>
  <si>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</si>
  <si>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</si>
  <si>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</si>
  <si>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</si>
  <si>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</si>
  <si>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</si>
  <si>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</si>
  <si>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</si>
  <si>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</si>
  <si>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</si>
  <si>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</si>
  <si>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</si>
  <si>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</si>
  <si>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</si>
  <si>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</si>
  <si>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</si>
  <si>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</si>
  <si>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</si>
  <si>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</si>
  <si>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</si>
  <si>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</si>
  <si>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</si>
  <si>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</si>
  <si>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</si>
  <si>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</si>
  <si>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</si>
  <si>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</si>
  <si>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</si>
  <si>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</si>
  <si>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</si>
  <si>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</si>
  <si>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</si>
  <si>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</si>
  <si>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</si>
  <si>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</si>
  <si>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</si>
  <si>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</si>
  <si>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</si>
  <si>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</si>
  <si>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</si>
  <si>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</si>
  <si>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</si>
  <si>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</si>
  <si>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</si>
  <si>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</si>
  <si>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</si>
  <si>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</si>
  <si>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</si>
  <si>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</si>
  <si>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</si>
  <si>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</si>
  <si>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</si>
  <si>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</si>
  <si>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</si>
  <si>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</si>
  <si>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</si>
  <si>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</si>
  <si>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</si>
  <si>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</si>
  <si>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</si>
  <si>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</si>
  <si>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</si>
  <si>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</si>
  <si>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</si>
  <si>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</si>
  <si>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</si>
  <si>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</si>
  <si>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</si>
  <si>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</si>
  <si>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</si>
  <si>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</si>
  <si>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</si>
  <si>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</si>
  <si>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</si>
  <si>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</si>
  <si>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</si>
  <si>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</si>
  <si>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</si>
  <si>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</si>
  <si>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</si>
  <si>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</si>
  <si>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</si>
  <si>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</si>
  <si>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</si>
  <si>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</si>
  <si>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</si>
  <si>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</si>
  <si>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</si>
  <si>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</si>
  <si>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</si>
  <si>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</si>
  <si>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</si>
  <si>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</si>
  <si>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</si>
  <si>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</si>
  <si>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</si>
  <si>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</si>
  <si>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</si>
  <si>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</si>
  <si>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</si>
  <si>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</si>
  <si>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</si>
  <si>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</si>
  <si>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</si>
  <si>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</si>
  <si>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</si>
  <si>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</si>
  <si>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</si>
  <si>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</si>
  <si>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</si>
  <si>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</si>
  <si>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</si>
  <si>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</si>
  <si>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</si>
  <si>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</si>
  <si>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</si>
  <si>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</si>
  <si>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</si>
  <si>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</si>
  <si>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</si>
  <si>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</si>
  <si>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</si>
  <si>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</si>
  <si>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</si>
  <si>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</si>
  <si>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</si>
  <si>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</si>
  <si>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</si>
  <si>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</si>
  <si>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</si>
  <si>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</si>
  <si>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</si>
  <si>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</si>
  <si>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</si>
  <si>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</si>
  <si>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</si>
  <si>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</si>
  <si>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</si>
  <si>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</si>
  <si>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</si>
  <si>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</si>
  <si>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</si>
  <si>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</si>
  <si>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</si>
  <si>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</si>
  <si>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</si>
  <si>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</si>
  <si>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</si>
  <si>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</si>
  <si>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</si>
  <si>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</si>
  <si>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</si>
  <si>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</si>
  <si>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</si>
  <si>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</si>
  <si>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</si>
  <si>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</si>
  <si>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</si>
  <si>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</si>
  <si>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</si>
  <si>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</si>
  <si>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</si>
  <si>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</si>
  <si>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</si>
  <si>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</si>
  <si>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</si>
  <si>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</si>
  <si>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</si>
  <si>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</si>
  <si>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</si>
  <si>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</si>
  <si>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</si>
  <si>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</si>
  <si>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</si>
  <si>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</si>
  <si>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</si>
  <si>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</si>
  <si>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</si>
  <si>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</si>
  <si>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</si>
  <si>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</si>
  <si>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</si>
  <si>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</si>
  <si>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</si>
  <si>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</si>
  <si>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</si>
  <si>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</si>
  <si>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</si>
  <si>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</si>
  <si>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</si>
  <si>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</si>
  <si>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</si>
  <si>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</si>
  <si>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</si>
  <si>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</si>
  <si>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</si>
  <si>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</si>
  <si>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</si>
  <si>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</si>
  <si>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</si>
  <si>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</si>
  <si>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</si>
  <si>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</si>
  <si>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</si>
  <si>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</si>
  <si>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</si>
  <si>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</si>
  <si>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</si>
  <si>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</si>
  <si>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</si>
  <si>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</si>
  <si>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</si>
  <si>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</si>
  <si>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</si>
  <si>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</si>
  <si>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</si>
  <si>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</si>
  <si>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</si>
  <si>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</si>
  <si>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</si>
  <si>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</si>
  <si>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</si>
  <si>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</si>
  <si>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</si>
  <si>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</si>
  <si>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</si>
  <si>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</si>
  <si>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</si>
  <si>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</si>
  <si>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</si>
  <si>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</si>
  <si>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</si>
  <si>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</si>
  <si>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</si>
  <si>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</si>
  <si>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</si>
  <si>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</si>
  <si>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</si>
  <si>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</si>
  <si>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</si>
  <si>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</si>
  <si>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</si>
  <si>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</si>
  <si>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</si>
  <si>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</si>
  <si>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</si>
  <si>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</si>
  <si>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</si>
  <si>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</si>
  <si>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</si>
  <si>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</si>
  <si>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</si>
  <si>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</si>
  <si>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</si>
  <si>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</si>
  <si>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</si>
  <si>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</si>
  <si>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</si>
  <si>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</si>
  <si>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</si>
  <si>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</si>
  <si>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</si>
  <si>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</si>
  <si>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</si>
  <si>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</si>
  <si>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</si>
  <si>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</si>
  <si>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</si>
  <si>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</si>
  <si>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</si>
  <si>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</si>
  <si>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</si>
  <si>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</si>
  <si>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</si>
  <si>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</si>
  <si>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</si>
  <si>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</si>
  <si>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</si>
  <si>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</si>
  <si>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</si>
  <si>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</si>
  <si>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</si>
  <si>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</si>
  <si>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</si>
  <si>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</si>
  <si>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</si>
  <si>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</si>
  <si>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</si>
  <si>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</si>
  <si>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</si>
  <si>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</si>
  <si>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</si>
  <si>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</si>
  <si>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</si>
  <si>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</si>
  <si>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</si>
  <si>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</si>
  <si>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</si>
  <si>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</si>
  <si>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</si>
  <si>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</si>
  <si>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</si>
  <si>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</si>
  <si>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</si>
  <si>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</si>
  <si>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</si>
  <si>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</si>
  <si>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</si>
  <si>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</si>
  <si>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</si>
  <si>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</si>
  <si>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</si>
  <si>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</si>
  <si>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</si>
  <si>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</si>
  <si>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</si>
  <si>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</si>
  <si>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</si>
  <si>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</si>
  <si>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</si>
  <si>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</si>
  <si>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</si>
  <si>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</si>
  <si>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</si>
  <si>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</si>
  <si>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</si>
  <si>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</si>
  <si>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</si>
  <si>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</si>
  <si>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</si>
  <si>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</si>
  <si>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</si>
  <si>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</si>
  <si>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</si>
  <si>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</si>
  <si>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</si>
  <si>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</si>
  <si>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</si>
  <si>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</si>
  <si>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</si>
  <si>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</si>
  <si>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</si>
  <si>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</si>
  <si>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</si>
  <si>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</si>
  <si>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</si>
  <si>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</si>
  <si>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</si>
  <si>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</si>
  <si>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</si>
  <si>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</si>
  <si>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</si>
  <si>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</si>
  <si>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</si>
  <si>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</si>
  <si>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</si>
  <si>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</si>
  <si>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</si>
  <si>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</si>
  <si>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</si>
  <si>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</si>
  <si>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</si>
  <si>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</si>
  <si>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</si>
  <si>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</si>
  <si>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</si>
  <si>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</si>
  <si>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</si>
  <si>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</si>
  <si>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</si>
  <si>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</si>
  <si>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</si>
  <si>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</si>
  <si>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</si>
  <si>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</si>
  <si>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</si>
  <si>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</si>
  <si>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</si>
  <si>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</si>
  <si>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</si>
  <si>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</si>
  <si>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</si>
  <si>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</si>
  <si>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</si>
  <si>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</si>
  <si>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</si>
  <si>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</si>
  <si>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</si>
  <si>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</si>
  <si>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</si>
  <si>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</si>
  <si>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</si>
  <si>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</si>
  <si>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</si>
  <si>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</si>
  <si>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</si>
  <si>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</si>
  <si>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</si>
  <si>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</si>
  <si>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</si>
  <si>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</si>
  <si>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</si>
  <si>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</si>
  <si>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</si>
  <si>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</si>
  <si>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</si>
  <si>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</si>
  <si>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</si>
  <si>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</si>
  <si>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</si>
  <si>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</si>
  <si>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</si>
  <si>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</si>
  <si>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</si>
  <si>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</si>
  <si>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</si>
  <si>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</si>
  <si>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</si>
  <si>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</si>
  <si>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</si>
  <si>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</si>
  <si>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</si>
  <si>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</si>
  <si>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</si>
  <si>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</si>
  <si>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</si>
  <si>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</si>
  <si>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</si>
  <si>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</si>
  <si>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</si>
  <si>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</si>
  <si>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</si>
  <si>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</si>
  <si>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</si>
  <si>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</si>
  <si>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</si>
  <si>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</si>
  <si>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</si>
  <si>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</si>
  <si>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</si>
  <si>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</si>
  <si>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</si>
  <si>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</si>
  <si>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</si>
  <si>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</si>
  <si>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</si>
  <si>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</si>
  <si>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</si>
  <si>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</si>
  <si>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</si>
  <si>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</si>
  <si>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</si>
  <si>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</si>
  <si>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</si>
  <si>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</si>
  <si>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</si>
  <si>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</si>
  <si>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</si>
  <si>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</si>
  <si>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</si>
  <si>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</si>
  <si>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</si>
  <si>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</si>
  <si>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</si>
  <si>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</si>
  <si>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</si>
  <si>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</si>
  <si>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</si>
  <si>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</si>
  <si>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</si>
  <si>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</si>
  <si>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</si>
  <si>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</si>
  <si>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</si>
  <si>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</si>
  <si>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</si>
  <si>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</si>
  <si>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</si>
  <si>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</si>
  <si>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</si>
  <si>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</si>
  <si>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</si>
  <si>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</si>
  <si>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</si>
  <si>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</si>
  <si>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</si>
  <si>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</si>
  <si>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</si>
  <si>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</si>
  <si>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</si>
  <si>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</si>
  <si>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</si>
  <si>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</si>
  <si>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</si>
  <si>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</si>
  <si>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</si>
  <si>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</si>
  <si>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</si>
  <si>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</si>
  <si>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</si>
  <si>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</si>
  <si>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</si>
  <si>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</si>
  <si>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</si>
  <si>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</si>
  <si>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</si>
  <si>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</si>
  <si>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</si>
  <si>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</si>
  <si>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</si>
  <si>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</si>
  <si>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</si>
  <si>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</si>
  <si>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</si>
  <si>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</si>
  <si>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</si>
  <si>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</si>
  <si>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</si>
  <si>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</si>
  <si>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</si>
  <si>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</si>
  <si>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</si>
  <si>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</si>
  <si>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</si>
  <si>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</si>
  <si>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</si>
  <si>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</si>
  <si>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</si>
  <si>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</si>
  <si>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</si>
  <si>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</si>
  <si>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</si>
  <si>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</si>
  <si>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</si>
  <si>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</si>
  <si>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</si>
  <si>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</si>
  <si>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</si>
  <si>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</si>
  <si>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</si>
  <si>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</si>
  <si>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</si>
  <si>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</si>
  <si>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</si>
  <si>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</si>
  <si>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</si>
  <si>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</si>
  <si>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</si>
  <si>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</si>
  <si>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</si>
  <si>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</si>
  <si>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</si>
  <si>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</si>
  <si>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</si>
  <si>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</si>
  <si>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</si>
  <si>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</si>
  <si>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</si>
  <si>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</si>
  <si>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</si>
  <si>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</si>
  <si>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</si>
  <si>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</si>
  <si>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</si>
  <si>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</si>
  <si>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</si>
  <si>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</si>
  <si>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</si>
  <si>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</si>
  <si>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</si>
  <si>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</si>
  <si>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</si>
  <si>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</si>
  <si>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</si>
  <si>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</si>
  <si>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</si>
  <si>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</si>
  <si>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</si>
  <si>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</si>
  <si>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</si>
  <si>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</si>
  <si>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</si>
  <si>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</si>
  <si>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</si>
  <si>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</si>
  <si>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</si>
  <si>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</si>
  <si>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</si>
  <si>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</si>
  <si>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</si>
  <si>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</si>
  <si>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</si>
  <si>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</si>
  <si>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</si>
  <si>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</si>
  <si>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</si>
  <si>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</si>
  <si>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</si>
  <si>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</si>
  <si>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</si>
  <si>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</si>
  <si>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</si>
  <si>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</si>
  <si>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</si>
  <si>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</si>
  <si>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</si>
  <si>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</si>
  <si>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</si>
  <si>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</si>
  <si>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</si>
  <si>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</si>
  <si>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</si>
  <si>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</si>
  <si>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</si>
  <si>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</si>
  <si>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</si>
  <si>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</si>
  <si>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</si>
  <si>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</si>
  <si>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</si>
  <si>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</si>
  <si>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</si>
  <si>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</si>
  <si>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</si>
  <si>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</si>
  <si>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</si>
  <si>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</si>
  <si>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</si>
  <si>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</si>
  <si>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</si>
  <si>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</si>
  <si>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</si>
  <si>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</si>
  <si>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</si>
  <si>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</si>
  <si>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</si>
  <si>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</si>
  <si>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</si>
  <si>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</si>
  <si>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</si>
  <si>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</si>
  <si>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</si>
  <si>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</si>
  <si>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</si>
  <si>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</si>
  <si>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</si>
  <si>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</si>
  <si>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</si>
  <si>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</si>
  <si>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</si>
  <si>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</si>
  <si>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</si>
  <si>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</si>
  <si>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</si>
  <si>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</si>
  <si>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</si>
  <si>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</si>
  <si>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</si>
  <si>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</si>
  <si>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</si>
  <si>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</si>
  <si>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</si>
  <si>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</si>
  <si>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</si>
  <si>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</si>
  <si>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</si>
  <si>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</si>
  <si>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</si>
  <si>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 xml:space="preserve">Jumper Wire : </t>
  </si>
  <si>
    <t>NFA2X-T 3 x 70 + N 50 mm²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</si>
  <si>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</si>
  <si>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</si>
  <si>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</si>
  <si>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</si>
  <si>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</si>
  <si>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S2</t>
  </si>
  <si>
    <t>Trafo 3 Fasa 100 KVA 1 Tiang (G312-A)</t>
  </si>
  <si>
    <t>Sepatu Kabel AL/CU Ring-70 mm²</t>
  </si>
  <si>
    <t>-7,091801,111,0978919</t>
  </si>
  <si>
    <t>MTS N 2 KALIREJO</t>
  </si>
  <si>
    <t>K2-603/370/32</t>
  </si>
  <si>
    <t>PWI11</t>
  </si>
  <si>
    <t>JL KUWU KM 2 KALIREJO</t>
  </si>
  <si>
    <t>Daya 23.000 VA</t>
  </si>
  <si>
    <t>Wirosari,  Mei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</si>
</sst>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0" fontId="42" fillId="0" borderId="21" xfId="0" applyFont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41" fontId="151" fillId="0" borderId="0" xfId="1614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5" fillId="33" borderId="0" xfId="0" quotePrefix="1" applyFont="1" applyFill="1" applyAlignment="1">
      <alignment horizontal="center"/>
    </xf>
    <xf numFmtId="0" fontId="42" fillId="0" borderId="21" xfId="1450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14" fontId="94" fillId="0" borderId="0" xfId="1653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167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18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0.94777820190168949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290379</xdr:colOff>
      <xdr:row>22</xdr:row>
      <xdr:rowOff>47259</xdr:rowOff>
    </xdr:from>
    <xdr:to>
      <xdr:col>12</xdr:col>
      <xdr:colOff>290379</xdr:colOff>
      <xdr:row>31</xdr:row>
      <xdr:rowOff>44336</xdr:rowOff>
    </xdr:to>
    <xdr:cxnSp macro="">
      <xdr:nvCxnSpPr>
        <xdr:cNvPr id="449" name="Straight Connector 448">
          <a:extLst>
            <a:ext uri="{FF2B5EF4-FFF2-40B4-BE49-F238E27FC236}">
              <a16:creationId xmlns:a16="http://schemas.microsoft.com/office/drawing/2014/main" id="{00000000-0008-0000-0900-0000C1010000}"/>
            </a:ext>
          </a:extLst>
        </xdr:cNvPr>
        <xdr:cNvCxnSpPr/>
      </xdr:nvCxnSpPr>
      <xdr:spPr>
        <a:xfrm flipH="1">
          <a:off x="4415118" y="3492824"/>
          <a:ext cx="0" cy="13305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139343</xdr:colOff>
      <xdr:row>11</xdr:row>
      <xdr:rowOff>53751</xdr:rowOff>
    </xdr:from>
    <xdr:to>
      <xdr:col>13</xdr:col>
      <xdr:colOff>139343</xdr:colOff>
      <xdr:row>39</xdr:row>
      <xdr:rowOff>64956</xdr:rowOff>
    </xdr:to>
    <xdr:sp macro="" textlink="">
      <xdr:nvSpPr>
        <xdr:cNvPr id="104" name="Freeform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rot="16200000" flipH="1">
          <a:off x="2531555" y="3956321"/>
          <a:ext cx="4227053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91109</xdr:colOff>
      <xdr:row>26</xdr:row>
      <xdr:rowOff>46039</xdr:rowOff>
    </xdr:from>
    <xdr:to>
      <xdr:col>10</xdr:col>
      <xdr:colOff>299637</xdr:colOff>
      <xdr:row>29</xdr:row>
      <xdr:rowOff>122290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2310848" y="4087952"/>
          <a:ext cx="1351528" cy="52351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MTS N 2 KALIREJO 11 - 23 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9483780" y="792255"/>
          <a:ext cx="1506076" cy="2260039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00000000-0008-0000-0900-000091010000}"/>
            </a:ext>
          </a:extLst>
        </xdr:cNvPr>
        <xdr:cNvGrpSpPr/>
      </xdr:nvGrpSpPr>
      <xdr:grpSpPr>
        <a:xfrm>
          <a:off x="9683004" y="2953346"/>
          <a:ext cx="250500" cy="227317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00000000-0008-0000-0900-000092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000000-0008-0000-0900-000094010000}"/>
            </a:ext>
          </a:extLst>
        </xdr:cNvPr>
        <xdr:cNvGrpSpPr/>
      </xdr:nvGrpSpPr>
      <xdr:grpSpPr>
        <a:xfrm>
          <a:off x="10466140" y="2902512"/>
          <a:ext cx="251113" cy="227317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00000000-0008-0000-0900-000095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100853</xdr:colOff>
      <xdr:row>18</xdr:row>
      <xdr:rowOff>84606</xdr:rowOff>
    </xdr:from>
    <xdr:to>
      <xdr:col>16</xdr:col>
      <xdr:colOff>67236</xdr:colOff>
      <xdr:row>22</xdr:row>
      <xdr:rowOff>134470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4605618" y="3020547"/>
          <a:ext cx="1109383" cy="677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K2-603/182/71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312 100 KVA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 312 50KVA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100853</xdr:colOff>
      <xdr:row>24</xdr:row>
      <xdr:rowOff>145678</xdr:rowOff>
    </xdr:from>
    <xdr:to>
      <xdr:col>12</xdr:col>
      <xdr:colOff>232835</xdr:colOff>
      <xdr:row>25</xdr:row>
      <xdr:rowOff>131356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00000000-0008-0000-0900-0000CC010000}"/>
            </a:ext>
          </a:extLst>
        </xdr:cNvPr>
        <xdr:cNvSpPr/>
      </xdr:nvSpPr>
      <xdr:spPr>
        <a:xfrm>
          <a:off x="4224618" y="402291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354105</xdr:colOff>
      <xdr:row>24</xdr:row>
      <xdr:rowOff>129990</xdr:rowOff>
    </xdr:from>
    <xdr:to>
      <xdr:col>12</xdr:col>
      <xdr:colOff>105087</xdr:colOff>
      <xdr:row>25</xdr:row>
      <xdr:rowOff>115668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00000000-0008-0000-0900-0000CD010000}"/>
            </a:ext>
          </a:extLst>
        </xdr:cNvPr>
        <xdr:cNvSpPr/>
      </xdr:nvSpPr>
      <xdr:spPr>
        <a:xfrm>
          <a:off x="4096870" y="4007225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24650</xdr:colOff>
      <xdr:row>25</xdr:row>
      <xdr:rowOff>2241</xdr:rowOff>
    </xdr:from>
    <xdr:to>
      <xdr:col>12</xdr:col>
      <xdr:colOff>156632</xdr:colOff>
      <xdr:row>25</xdr:row>
      <xdr:rowOff>144802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00000000-0008-0000-0900-0000CE010000}"/>
            </a:ext>
          </a:extLst>
        </xdr:cNvPr>
        <xdr:cNvSpPr/>
      </xdr:nvSpPr>
      <xdr:spPr>
        <a:xfrm>
          <a:off x="4148415" y="4036359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4254828" y="3753811"/>
          <a:ext cx="152400" cy="133470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89162</xdr:colOff>
      <xdr:row>26</xdr:row>
      <xdr:rowOff>145190</xdr:rowOff>
    </xdr:from>
    <xdr:to>
      <xdr:col>12</xdr:col>
      <xdr:colOff>209478</xdr:colOff>
      <xdr:row>27</xdr:row>
      <xdr:rowOff>97021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GrpSpPr/>
      </xdr:nvGrpSpPr>
      <xdr:grpSpPr>
        <a:xfrm>
          <a:off x="4203962" y="4250465"/>
          <a:ext cx="120316" cy="104231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0000000-0008-0000-0900-000097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00000000-0008-0000-0900-000098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00000000-0008-0000-0900-000099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293789</xdr:colOff>
      <xdr:row>24</xdr:row>
      <xdr:rowOff>66454</xdr:rowOff>
    </xdr:from>
    <xdr:to>
      <xdr:col>12</xdr:col>
      <xdr:colOff>151623</xdr:colOff>
      <xdr:row>27</xdr:row>
      <xdr:rowOff>3411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CxnSpPr/>
      </xdr:nvCxnSpPr>
      <xdr:spPr>
        <a:xfrm flipV="1">
          <a:off x="3656528" y="3810193"/>
          <a:ext cx="619834" cy="38421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135058</xdr:colOff>
      <xdr:row>29</xdr:row>
      <xdr:rowOff>92484</xdr:rowOff>
    </xdr:from>
    <xdr:to>
      <xdr:col>12</xdr:col>
      <xdr:colOff>287458</xdr:colOff>
      <xdr:row>30</xdr:row>
      <xdr:rowOff>81837</xdr:rowOff>
    </xdr:to>
    <xdr:grpSp>
      <xdr:nvGrpSpPr>
        <xdr:cNvPr id="88" name="Group 2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GrpSpPr>
          <a:grpSpLocks/>
        </xdr:cNvGrpSpPr>
      </xdr:nvGrpSpPr>
      <xdr:grpSpPr bwMode="auto">
        <a:xfrm>
          <a:off x="4249858" y="4654959"/>
          <a:ext cx="152400" cy="132228"/>
          <a:chOff x="3725636" y="1945820"/>
          <a:chExt cx="153760" cy="144237"/>
        </a:xfrm>
        <a:noFill/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00000000-0008-0000-0900-000059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0000000-0008-0000-0900-00005A000000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0000000-0008-0000-0900-00005B000000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149093</xdr:colOff>
      <xdr:row>24</xdr:row>
      <xdr:rowOff>67137</xdr:rowOff>
    </xdr:from>
    <xdr:to>
      <xdr:col>12</xdr:col>
      <xdr:colOff>149093</xdr:colOff>
      <xdr:row>30</xdr:row>
      <xdr:rowOff>71058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/>
      </xdr:nvCxnSpPr>
      <xdr:spPr>
        <a:xfrm flipH="1">
          <a:off x="4273832" y="3810876"/>
          <a:ext cx="0" cy="890160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150453</xdr:colOff>
      <xdr:row>25</xdr:row>
      <xdr:rowOff>82242</xdr:rowOff>
    </xdr:from>
    <xdr:to>
      <xdr:col>11</xdr:col>
      <xdr:colOff>270769</xdr:colOff>
      <xdr:row>26</xdr:row>
      <xdr:rowOff>34073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GrpSpPr/>
      </xdr:nvGrpSpPr>
      <xdr:grpSpPr>
        <a:xfrm>
          <a:off x="3884253" y="4035117"/>
          <a:ext cx="120316" cy="104231"/>
          <a:chOff x="4552393" y="5147729"/>
          <a:chExt cx="228791" cy="193248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240196</xdr:colOff>
      <xdr:row>23</xdr:row>
      <xdr:rowOff>24847</xdr:rowOff>
    </xdr:from>
    <xdr:to>
      <xdr:col>11</xdr:col>
      <xdr:colOff>372178</xdr:colOff>
      <xdr:row>24</xdr:row>
      <xdr:rowOff>10525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F62595E6-4B70-448B-A6FA-B55B2567F86D}"/>
            </a:ext>
          </a:extLst>
        </xdr:cNvPr>
        <xdr:cNvSpPr/>
      </xdr:nvSpPr>
      <xdr:spPr>
        <a:xfrm>
          <a:off x="3983935" y="3619499"/>
          <a:ext cx="131982" cy="134765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28160</xdr:colOff>
      <xdr:row>23</xdr:row>
      <xdr:rowOff>44727</xdr:rowOff>
    </xdr:from>
    <xdr:to>
      <xdr:col>12</xdr:col>
      <xdr:colOff>160142</xdr:colOff>
      <xdr:row>24</xdr:row>
      <xdr:rowOff>30405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A642CE32-7FC7-4D66-B4C2-5652B0BA830D}"/>
            </a:ext>
          </a:extLst>
        </xdr:cNvPr>
        <xdr:cNvSpPr/>
      </xdr:nvSpPr>
      <xdr:spPr>
        <a:xfrm>
          <a:off x="4152899" y="3639379"/>
          <a:ext cx="131982" cy="134765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304800</xdr:colOff>
      <xdr:row>23</xdr:row>
      <xdr:rowOff>39756</xdr:rowOff>
    </xdr:from>
    <xdr:to>
      <xdr:col>12</xdr:col>
      <xdr:colOff>55782</xdr:colOff>
      <xdr:row>24</xdr:row>
      <xdr:rowOff>25434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77E3B1FF-ACF9-44AB-8651-B2C4B91240EB}"/>
            </a:ext>
          </a:extLst>
        </xdr:cNvPr>
        <xdr:cNvSpPr/>
      </xdr:nvSpPr>
      <xdr:spPr>
        <a:xfrm>
          <a:off x="4048539" y="3634408"/>
          <a:ext cx="131982" cy="134765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215348</xdr:colOff>
      <xdr:row>22</xdr:row>
      <xdr:rowOff>124239</xdr:rowOff>
    </xdr:from>
    <xdr:to>
      <xdr:col>12</xdr:col>
      <xdr:colOff>173935</xdr:colOff>
      <xdr:row>24</xdr:row>
      <xdr:rowOff>124239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D274A58-A067-714F-3438-B0DAEF1F76F7}"/>
            </a:ext>
          </a:extLst>
        </xdr:cNvPr>
        <xdr:cNvCxnSpPr/>
      </xdr:nvCxnSpPr>
      <xdr:spPr>
        <a:xfrm flipV="1">
          <a:off x="3959087" y="3569804"/>
          <a:ext cx="339587" cy="2981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173935</xdr:colOff>
      <xdr:row>23</xdr:row>
      <xdr:rowOff>0</xdr:rowOff>
    </xdr:from>
    <xdr:to>
      <xdr:col>12</xdr:col>
      <xdr:colOff>270110</xdr:colOff>
      <xdr:row>24</xdr:row>
      <xdr:rowOff>67745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CAEC521C-663B-4F38-99E2-CD95013CBC78}"/>
            </a:ext>
          </a:extLst>
        </xdr:cNvPr>
        <xdr:cNvCxnSpPr>
          <a:endCxn id="107" idx="5"/>
        </xdr:cNvCxnSpPr>
      </xdr:nvCxnSpPr>
      <xdr:spPr>
        <a:xfrm>
          <a:off x="3917674" y="3594652"/>
          <a:ext cx="477175" cy="2168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74544</xdr:colOff>
      <xdr:row>21</xdr:row>
      <xdr:rowOff>74544</xdr:rowOff>
    </xdr:from>
    <xdr:to>
      <xdr:col>16</xdr:col>
      <xdr:colOff>24848</xdr:colOff>
      <xdr:row>21</xdr:row>
      <xdr:rowOff>91109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B4874C9-08A1-A6D7-2663-21A843EB8666}"/>
            </a:ext>
          </a:extLst>
        </xdr:cNvPr>
        <xdr:cNvCxnSpPr/>
      </xdr:nvCxnSpPr>
      <xdr:spPr>
        <a:xfrm flipV="1">
          <a:off x="4580283" y="3371022"/>
          <a:ext cx="1093304" cy="165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2" t="s">
        <v>1134</v>
      </c>
      <c r="C4" s="522"/>
      <c r="D4" s="522"/>
      <c r="E4" s="522"/>
      <c r="F4" s="522"/>
      <c r="G4" s="522"/>
      <c r="H4" s="52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1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3" t="s">
        <v>0</v>
      </c>
      <c r="C7" s="523" t="s">
        <v>1</v>
      </c>
      <c r="D7" s="524" t="s">
        <v>42</v>
      </c>
      <c r="E7" s="524" t="s">
        <v>43</v>
      </c>
      <c r="F7" s="524" t="s">
        <v>1135</v>
      </c>
      <c r="G7" s="525" t="s">
        <v>41</v>
      </c>
      <c r="H7" s="521" t="s">
        <v>1042</v>
      </c>
      <c r="I7" s="521" t="s">
        <v>1137</v>
      </c>
      <c r="J7" s="521" t="s">
        <v>1026</v>
      </c>
      <c r="K7" s="515" t="s">
        <v>1024</v>
      </c>
      <c r="L7" s="516"/>
    </row>
    <row r="8" spans="1:12" ht="15" customHeight="1">
      <c r="B8" s="523"/>
      <c r="C8" s="523"/>
      <c r="D8" s="524"/>
      <c r="E8" s="524"/>
      <c r="F8" s="524"/>
      <c r="G8" s="525"/>
      <c r="H8" s="521"/>
      <c r="I8" s="521"/>
      <c r="J8" s="521"/>
      <c r="K8" s="517"/>
      <c r="L8" s="518"/>
    </row>
    <row r="9" spans="1:12" ht="15" customHeight="1">
      <c r="B9" s="523"/>
      <c r="C9" s="523"/>
      <c r="D9" s="524"/>
      <c r="E9" s="524"/>
      <c r="F9" s="524"/>
      <c r="G9" s="525"/>
      <c r="H9" s="521"/>
      <c r="I9" s="521"/>
      <c r="J9" s="521"/>
      <c r="K9" s="519"/>
      <c r="L9" s="52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SUMIFS(RAB!$F$14:$F$62,RAB!$C$14:$C$62,C714)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SUMIFS(RAB!$F$14:$F$62,RAB!$C$14:$C$62,C715)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SUMIFS(RAB!$F$14:$F$62,RAB!$C$14:$C$62,C716)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SUMIFS(RAB!$F$14:$F$62,RAB!$C$14:$C$62,C717)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SUMIFS(RAB!$F$14:$F$62,RAB!$C$14:$C$62,C718)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SUMIFS(RAB!$F$14:$F$62,RAB!$C$14:$C$62,C719)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SUMIFS(RAB!$F$14:$F$62,RAB!$C$14:$C$62,C720)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SUMIFS(RAB!$F$14:$F$62,RAB!$C$14:$C$62,C721)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SUMIFS(RAB!$F$14:$F$62,RAB!$C$14:$C$62,C722)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SUMIFS(RAB!$F$14:$F$62,RAB!$C$14:$C$62,C723)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SUMIFS(RAB!$F$14:$F$62,RAB!$C$14:$C$62,C724)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SUMIFS(RAB!$F$14:$F$62,RAB!$C$14:$C$62,C725)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SUMIFS(RAB!$F$14:$F$62,RAB!$C$14:$C$62,C726)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SUMIFS(RAB!$F$14:$F$62,RAB!$C$14:$C$62,C727)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SUMIFS(RAB!$F$14:$F$62,RAB!$C$14:$C$62,C728)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SUMIFS(RAB!$F$14:$F$62,RAB!$C$14:$C$62,C729)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SUMIFS(RAB!$F$14:$F$62,RAB!$C$14:$C$62,C730)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SUMIFS(RAB!$F$14:$F$62,RAB!$C$14:$C$62,C731)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SUMIFS(RAB!$F$14:$F$62,RAB!$C$14:$C$62,C732)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SUMIFS(RAB!$F$14:$F$62,RAB!$C$14:$C$62,C733)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SUMIFS(RAB!$F$14:$F$62,RAB!$C$14:$C$62,C734)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SUMIFS(RAB!$F$14:$F$62,RAB!$C$14:$C$62,C735)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SUMIFS(RAB!$F$14:$F$62,RAB!$C$14:$C$62,C736)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SUMIFS(RAB!$F$14:$F$62,RAB!$C$14:$C$62,C737)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SUMIFS(RAB!$F$14:$F$62,RAB!$C$14:$C$62,C738)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SUMIFS(RAB!$F$14:$F$62,RAB!$C$14:$C$62,C739)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SUMIFS(RAB!$F$14:$F$62,RAB!$C$14:$C$62,C740)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SUMIFS(RAB!$F$14:$F$62,RAB!$C$14:$C$62,C741)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SUMIFS(RAB!$F$14:$F$62,RAB!$C$14:$C$62,C742)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SUMIFS(RAB!$F$14:$F$62,RAB!$C$14:$C$62,C743)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SUMIFS(RAB!$F$14:$F$62,RAB!$C$14:$C$62,C744)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SUMIFS(RAB!$F$14:$F$62,RAB!$C$14:$C$62,C745)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SUMIFS(RAB!$F$14:$F$62,RAB!$C$14:$C$62,C746)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SUMIFS(RAB!$F$14:$F$62,RAB!$C$14:$C$62,C747)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SUMIFS(RAB!$F$14:$F$62,RAB!$C$14:$C$62,C748)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SUMIFS(RAB!$F$14:$F$62,RAB!$C$14:$C$62,C749)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SUMIFS(RAB!$F$14:$F$62,RAB!$C$14:$C$62,C750)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SUMIFS(RAB!$F$14:$F$62,RAB!$C$14:$C$62,C751)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SUMIFS(RAB!$F$14:$F$62,RAB!$C$14:$C$62,C752)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SUMIFS(RAB!$F$14:$F$62,RAB!$C$14:$C$62,C753)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SUMIFS(RAB!$F$14:$F$62,RAB!$C$14:$C$62,C754)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SUMIFS(RAB!$F$14:$F$62,RAB!$C$14:$C$62,C755)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SUMIFS(RAB!$F$14:$F$62,RAB!$C$14:$C$62,C756)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SUMIFS(RAB!$F$14:$F$62,RAB!$C$14:$C$62,C757)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SUMIFS(RAB!$F$14:$F$62,RAB!$C$14:$C$62,C758)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SUMIFS(RAB!$F$14:$F$62,RAB!$C$14:$C$62,C759)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SUMIFS(RAB!$F$14:$F$62,RAB!$C$14:$C$62,C760)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SUMIFS(RAB!$F$14:$F$62,RAB!$C$14:$C$62,C761)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SUMIFS(RAB!$F$14:$F$62,RAB!$C$14:$C$62,C762)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SUMIFS(RAB!$F$14:$F$62,RAB!$C$14:$C$62,C763)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SUMIFS(RAB!$F$14:$F$62,RAB!$C$14:$C$62,C764)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SUMIFS(RAB!$F$14:$F$62,RAB!$C$14:$C$62,C765)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SUMIFS(RAB!$F$14:$F$62,RAB!$C$14:$C$62,C766)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SUMIFS(RAB!$F$14:$F$62,RAB!$C$14:$C$62,C767)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SUMIFS(RAB!$F$14:$F$62,RAB!$C$14:$C$62,C768)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SUMIFS(RAB!$F$14:$F$62,RAB!$C$14:$C$62,C769)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SUMIFS(RAB!$F$14:$F$62,RAB!$C$14:$C$62,C770)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SUMIFS(RAB!$F$14:$F$62,RAB!$C$14:$C$62,C771)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SUMIFS(RAB!$F$14:$F$62,RAB!$C$14:$C$62,C772)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SUMIFS(RAB!$F$14:$F$62,RAB!$C$14:$C$62,C773)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SUMIFS(RAB!$F$14:$F$62,RAB!$C$14:$C$62,C774)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SUMIFS(RAB!$F$14:$F$62,RAB!$C$14:$C$62,C775)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SUMIFS(RAB!$F$14:$F$62,RAB!$C$14:$C$62,C776)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SUMIFS(RAB!$F$14:$F$62,RAB!$C$14:$C$62,C777)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SUMIFS(RAB!$F$14:$F$62,RAB!$C$14:$C$62,C778)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SUMIFS(RAB!$F$14:$F$62,RAB!$C$14:$C$62,C779)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SUMIFS(RAB!$F$14:$F$62,RAB!$C$14:$C$62,C780)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SUMIFS(RAB!$F$14:$F$62,RAB!$C$14:$C$62,C781)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SUMIFS(RAB!$F$14:$F$62,RAB!$C$14:$C$62,C782)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SUMIFS(RAB!$F$14:$F$62,RAB!$C$14:$C$62,C783)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SUMIFS(RAB!$F$14:$F$62,RAB!$C$14:$C$62,C784)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SUMIFS(RAB!$F$14:$F$62,RAB!$C$14:$C$62,C785)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SUMIFS(RAB!$F$14:$F$62,RAB!$C$14:$C$62,C786)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SUMIFS(RAB!$F$14:$F$62,RAB!$C$14:$C$62,C787)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SUMIFS(RAB!$F$14:$F$62,RAB!$C$14:$C$62,C788)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SUMIFS(RAB!$F$14:$F$62,RAB!$C$14:$C$62,C789)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SUMIFS(RAB!$F$14:$F$62,RAB!$C$14:$C$62,C790)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SUMIFS(RAB!$F$14:$F$62,RAB!$C$14:$C$62,C791)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SUMIFS(RAB!$F$14:$F$62,RAB!$C$14:$C$62,C792)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SUMIFS(RAB!$F$14:$F$62,RAB!$C$14:$C$62,C793)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SUMIFS(RAB!$F$14:$F$62,RAB!$C$14:$C$62,C794)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SUMIFS(RAB!$F$14:$F$62,RAB!$C$14:$C$62,C795)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SUMIFS(RAB!$F$14:$F$62,RAB!$C$14:$C$62,C796)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SUMIFS(RAB!$F$14:$F$62,RAB!$C$14:$C$62,C797)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SUMIFS(RAB!$F$14:$F$62,RAB!$C$14:$C$62,C798)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SUMIFS(RAB!$F$14:$F$62,RAB!$C$14:$C$62,C799)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SUMIFS(RAB!$F$14:$F$62,RAB!$C$14:$C$62,C800)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SUMIFS(RAB!$F$14:$F$62,RAB!$C$14:$C$62,C801)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SUMIFS(RAB!$F$14:$F$62,RAB!$C$14:$C$62,C802)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SUMIFS(RAB!$F$14:$F$62,RAB!$C$14:$C$62,C803)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SUMIFS(RAB!$F$14:$F$62,RAB!$C$14:$C$62,C804)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SUMIFS(RAB!$F$14:$F$62,RAB!$C$14:$C$62,C805)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SUMIFS(RAB!$F$14:$F$62,RAB!$C$14:$C$62,C806)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SUMIFS(RAB!$F$14:$F$62,RAB!$C$14:$C$62,C807)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SUMIFS(RAB!$F$14:$F$62,RAB!$C$14:$C$62,C808)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SUMIFS(RAB!$F$14:$F$62,RAB!$C$14:$C$62,C809)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SUMIFS(RAB!$F$14:$F$62,RAB!$C$14:$C$62,C810)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SUMIFS(RAB!$F$14:$F$62,RAB!$C$14:$C$62,C811)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SUMIFS(RAB!$F$14:$F$62,RAB!$C$14:$C$62,C812)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SUMIFS(RAB!$F$14:$F$62,RAB!$C$14:$C$62,C813)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SUMIFS(RAB!$F$14:$F$62,RAB!$C$14:$C$62,C814)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SUMIFS(RAB!$F$14:$F$62,RAB!$C$14:$C$62,C815)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SUMIFS(RAB!$F$14:$F$62,RAB!$C$14:$C$62,C816)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SUMIFS(RAB!$F$14:$F$62,RAB!$C$14:$C$62,C817)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SUMIFS(RAB!$F$14:$F$62,RAB!$C$14:$C$62,C818)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SUMIFS(RAB!$F$14:$F$62,RAB!$C$14:$C$62,C819)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SUMIFS(RAB!$F$14:$F$62,RAB!$C$14:$C$62,C820)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SUMIFS(RAB!$F$14:$F$62,RAB!$C$14:$C$62,C821)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SUMIFS(RAB!$F$14:$F$62,RAB!$C$14:$C$62,C822)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SUMIFS(RAB!$F$14:$F$62,RAB!$C$14:$C$62,C823)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SUMIFS(RAB!$F$14:$F$62,RAB!$C$14:$C$62,C824)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SUMIFS(RAB!$F$14:$F$62,RAB!$C$14:$C$62,C825)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SUMIFS(RAB!$F$14:$F$62,RAB!$C$14:$C$62,C826)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SUMIFS(RAB!$F$14:$F$62,RAB!$C$14:$C$62,C827)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SUMIFS(RAB!$F$14:$F$62,RAB!$C$14:$C$62,C828)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SUMIFS(RAB!$F$14:$F$62,RAB!$C$14:$C$62,C829)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SUMIFS(RAB!$F$14:$F$62,RAB!$C$14:$C$62,C830)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SUMIFS(RAB!$F$14:$F$62,RAB!$C$14:$C$62,C831)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SUMIFS(RAB!$F$14:$F$62,RAB!$C$14:$C$62,C832)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SUMIFS(RAB!$F$14:$F$62,RAB!$C$14:$C$62,C833)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SUMIFS(RAB!$F$14:$F$62,RAB!$C$14:$C$62,C834)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SUMIFS(RAB!$F$14:$F$62,RAB!$C$14:$C$62,C835)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SUMIFS(RAB!$F$14:$F$62,RAB!$C$14:$C$62,C836)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SUMIFS(RAB!$F$14:$F$62,RAB!$C$14:$C$62,C837)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SUMIFS(RAB!$F$14:$F$62,RAB!$C$14:$C$62,C838)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SUMIFS(RAB!$F$14:$F$62,RAB!$C$14:$C$62,C839)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SUMIFS(RAB!$F$14:$F$62,RAB!$C$14:$C$62,C840)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SUMIFS(RAB!$F$14:$F$62,RAB!$C$14:$C$62,C841)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SUMIFS(RAB!$F$14:$F$62,RAB!$C$14:$C$62,C842)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SUMIFS(RAB!$F$14:$F$62,RAB!$C$14:$C$62,C843)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SUMIFS(RAB!$F$14:$F$62,RAB!$C$14:$C$62,C844)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SUMIFS(RAB!$F$14:$F$62,RAB!$C$14:$C$62,C845)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SUMIFS(RAB!$F$14:$F$62,RAB!$C$14:$C$62,C846)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SUMIFS(RAB!$F$14:$F$62,RAB!$C$14:$C$62,C847)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SUMIFS(RAB!$F$14:$F$62,RAB!$C$14:$C$62,C848)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SUMIFS(RAB!$F$14:$F$62,RAB!$C$14:$C$62,C849)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SUMIFS(RAB!$F$14:$F$62,RAB!$C$14:$C$62,C850)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SUMIFS(RAB!$F$14:$F$62,RAB!$C$14:$C$62,C851)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SUMIFS(RAB!$F$14:$F$62,RAB!$C$14:$C$62,C852)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SUMIFS(RAB!$F$14:$F$62,RAB!$C$14:$C$62,C853)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SUMIFS(RAB!$F$14:$F$62,RAB!$C$14:$C$62,C854)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SUMIFS(RAB!$F$14:$F$62,RAB!$C$14:$C$62,C855)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SUMIFS(RAB!$F$14:$F$62,RAB!$C$14:$C$62,C856)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SUMIFS(RAB!$F$14:$F$62,RAB!$C$14:$C$62,C857)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SUMIFS(RAB!$F$14:$F$62,RAB!$C$14:$C$62,C858)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SUMIFS(RAB!$F$14:$F$62,RAB!$C$14:$C$62,C859)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SUMIFS(RAB!$F$14:$F$62,RAB!$C$14:$C$62,C860)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SUMIFS(RAB!$F$14:$F$62,RAB!$C$14:$C$62,C861)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SUMIFS(RAB!$F$14:$F$62,RAB!$C$14:$C$62,C862)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SUMIFS(RAB!$F$14:$F$62,RAB!$C$14:$C$62,C863)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SUMIFS(RAB!$F$14:$F$62,RAB!$C$14:$C$62,C864)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SUMIFS(RAB!$F$14:$F$62,RAB!$C$14:$C$62,C865)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SUMIFS(RAB!$F$14:$F$62,RAB!$C$14:$C$62,C866)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SUMIFS(RAB!$F$14:$F$62,RAB!$C$14:$C$62,C867)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SUMIFS(RAB!$F$14:$F$62,RAB!$C$14:$C$62,C868)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SUMIFS(RAB!$F$14:$F$62,RAB!$C$14:$C$62,C869)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SUMIFS(RAB!$F$14:$F$62,RAB!$C$14:$C$62,C870)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SUMIFS(RAB!$F$14:$F$62,RAB!$C$14:$C$62,C871)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SUMIFS(RAB!$F$14:$F$62,RAB!$C$14:$C$62,C872)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SUMIFS(RAB!$F$14:$F$62,RAB!$C$14:$C$62,C873)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SUMIFS(RAB!$F$14:$F$62,RAB!$C$14:$C$62,C874)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SUMIFS(RAB!$F$14:$F$62,RAB!$C$14:$C$62,C875)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SUMIFS(RAB!$F$14:$F$62,RAB!$C$14:$C$62,C876)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SUMIFS(RAB!$F$14:$F$62,RAB!$C$14:$C$62,C877)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SUMIFS(RAB!$F$14:$F$62,RAB!$C$14:$C$62,C878)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SUMIFS(RAB!$F$14:$F$62,RAB!$C$14:$C$62,C879)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SUMIFS(RAB!$F$14:$F$62,RAB!$C$14:$C$62,C880)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SUMIFS(RAB!$F$14:$F$62,RAB!$C$14:$C$62,C881)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SUMIFS(RAB!$F$14:$F$62,RAB!$C$14:$C$62,C882)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SUMIFS(RAB!$F$14:$F$62,RAB!$C$14:$C$62,C883)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SUMIFS(RAB!$F$14:$F$62,RAB!$C$14:$C$62,C884)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SUMIFS(RAB!$F$14:$F$62,RAB!$C$14:$C$62,C885)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SUMIFS(RAB!$F$14:$F$62,RAB!$C$14:$C$62,C886)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SUMIFS(RAB!$F$14:$F$62,RAB!$C$14:$C$62,C887)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SUMIFS(RAB!$F$14:$F$62,RAB!$C$14:$C$62,C888)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SUMIFS(RAB!$F$14:$F$62,RAB!$C$14:$C$62,C889)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SUMIFS(RAB!$F$14:$F$62,RAB!$C$14:$C$62,C890)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SUMIFS(RAB!$F$14:$F$62,RAB!$C$14:$C$62,C891)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SUMIFS(RAB!$F$14:$F$62,RAB!$C$14:$C$62,C892)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SUMIFS(RAB!$F$14:$F$62,RAB!$C$14:$C$62,C893)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SUMIFS(RAB!$F$14:$F$62,RAB!$C$14:$C$62,C894)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SUMIFS(RAB!$F$14:$F$62,RAB!$C$14:$C$62,C895)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SUMIFS(RAB!$F$14:$F$62,RAB!$C$14:$C$62,C896)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SUMIFS(RAB!$F$14:$F$62,RAB!$C$14:$C$62,C897)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SUMIFS(RAB!$F$14:$F$62,RAB!$C$14:$C$62,C898)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SUMIFS(RAB!$F$14:$F$62,RAB!$C$14:$C$62,C899)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SUMIFS(RAB!$F$14:$F$62,RAB!$C$14:$C$62,C900)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SUMIFS(RAB!$F$14:$F$62,RAB!$C$14:$C$62,C901)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SUMIFS(RAB!$F$14:$F$62,RAB!$C$14:$C$62,C902)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SUMIFS(RAB!$F$14:$F$62,RAB!$C$14:$C$62,C903)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SUMIFS(RAB!$F$14:$F$62,RAB!$C$14:$C$62,C904)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SUMIFS(RAB!$F$14:$F$62,RAB!$C$14:$C$62,C905)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SUMIFS(RAB!$F$14:$F$62,RAB!$C$14:$C$62,C906)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SUMIFS(RAB!$F$14:$F$62,RAB!$C$14:$C$62,C907)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SUMIFS(RAB!$F$14:$F$62,RAB!$C$14:$C$62,C908)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SUMIFS(RAB!$F$14:$F$62,RAB!$C$14:$C$62,C909)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SUMIFS(RAB!$F$14:$F$62,RAB!$C$14:$C$62,C910)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SUMIFS(RAB!$F$14:$F$62,RAB!$C$14:$C$62,C911)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SUMIFS(RAB!$F$14:$F$62,RAB!$C$14:$C$62,C912)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SUMIFS(RAB!$F$14:$F$62,RAB!$C$14:$C$62,C913)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SUMIFS(RAB!$F$14:$F$62,RAB!$C$14:$C$62,C914)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SUMIFS(RAB!$F$14:$F$62,RAB!$C$14:$C$62,C915)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SUMIFS(RAB!$F$14:$F$62,RAB!$C$14:$C$62,C916)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SUMIFS(RAB!$F$14:$F$62,RAB!$C$14:$C$62,C917)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SUMIFS(RAB!$F$14:$F$62,RAB!$C$14:$C$62,C918)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SUMIFS(RAB!$F$14:$F$62,RAB!$C$14:$C$62,C919)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SUMIFS(RAB!$F$14:$F$62,RAB!$C$14:$C$62,C920)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SUMIFS(RAB!$F$14:$F$62,RAB!$C$14:$C$62,C921)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SUMIFS(RAB!$F$14:$F$62,RAB!$C$14:$C$62,C922)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SUMIFS(RAB!$F$14:$F$62,RAB!$C$14:$C$62,C923)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SUMIFS(RAB!$F$14:$F$62,RAB!$C$14:$C$62,C924)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SUMIFS(RAB!$F$14:$F$62,RAB!$C$14:$C$62,C925)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SUMIFS(RAB!$F$14:$F$62,RAB!$C$14:$C$62,C926)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SUMIFS(RAB!$F$14:$F$62,RAB!$C$14:$C$62,C927)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SUMIFS(RAB!$F$14:$F$62,RAB!$C$14:$C$62,C928)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SUMIFS(RAB!$F$14:$F$62,RAB!$C$14:$C$62,C929)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SUMIFS(RAB!$F$14:$F$62,RAB!$C$14:$C$62,C930)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SUMIFS(RAB!$F$14:$F$62,RAB!$C$14:$C$62,C931)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SUMIFS(RAB!$F$14:$F$62,RAB!$C$14:$C$62,C932)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SUMIFS(RAB!$F$14:$F$62,RAB!$C$14:$C$62,C933)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SUMIFS(RAB!$F$14:$F$62,RAB!$C$14:$C$62,C934)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SUMIFS(RAB!$F$14:$F$62,RAB!$C$14:$C$62,C935)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SUMIFS(RAB!$F$14:$F$62,RAB!$C$14:$C$62,C936)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SUMIFS(RAB!$F$14:$F$62,RAB!$C$14:$C$62,C937)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SUMIFS(RAB!$F$14:$F$62,RAB!$C$14:$C$62,C938)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SUMIFS(RAB!$F$14:$F$62,RAB!$C$14:$C$62,C939)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SUMIFS(RAB!$F$14:$F$62,RAB!$C$14:$C$62,C940)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SUMIFS(RAB!$F$14:$F$62,RAB!$C$14:$C$62,C941)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SUMIFS(RAB!$F$14:$F$62,RAB!$C$14:$C$62,C942)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SUMIFS(RAB!$F$14:$F$62,RAB!$C$14:$C$62,C943)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SUMIFS(RAB!$F$14:$F$62,RAB!$C$14:$C$62,C944)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SUMIFS(RAB!$F$14:$F$62,RAB!$C$14:$C$62,C945)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SUMIFS(RAB!$F$14:$F$62,RAB!$C$14:$C$62,C946)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SUMIFS(RAB!$F$14:$F$62,RAB!$C$14:$C$62,C947)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SUMIFS(RAB!$F$14:$F$62,RAB!$C$14:$C$62,C948)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SUMIFS(RAB!$F$14:$F$62,RAB!$C$14:$C$62,C949)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SUMIFS(RAB!$F$14:$F$62,RAB!$C$14:$C$62,C950)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SUMIFS(RAB!$F$14:$F$62,RAB!$C$14:$C$62,C951)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SUMIFS(RAB!$F$14:$F$62,RAB!$C$14:$C$62,C952)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SUMIFS(RAB!$F$14:$F$62,RAB!$C$14:$C$62,C953)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SUMIFS(RAB!$F$14:$F$62,RAB!$C$14:$C$62,C954)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SUMIFS(RAB!$F$14:$F$62,RAB!$C$14:$C$62,C955)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SUMIFS(RAB!$F$14:$F$62,RAB!$C$14:$C$62,C956)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SUMIFS(RAB!$F$14:$F$62,RAB!$C$14:$C$62,C957)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SUMIFS(RAB!$F$14:$F$62,RAB!$C$14:$C$62,C958)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SUMIFS(RAB!$F$14:$F$62,RAB!$C$14:$C$62,C959)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SUMIFS(RAB!$F$14:$F$62,RAB!$C$14:$C$62,C960)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SUMIFS(RAB!$F$14:$F$62,RAB!$C$14:$C$62,C961)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SUMIFS(RAB!$F$14:$F$62,RAB!$C$14:$C$62,C962)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SUMIFS(RAB!$F$14:$F$62,RAB!$C$14:$C$62,C963)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SUMIFS(RAB!$F$14:$F$62,RAB!$C$14:$C$62,C964)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SUMIFS(RAB!$F$14:$F$62,RAB!$C$14:$C$62,C965)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SUMIFS(RAB!$F$14:$F$62,RAB!$C$14:$C$62,C966)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SUMIFS(RAB!$F$14:$F$62,RAB!$C$14:$C$62,C967)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SUMIFS(RAB!$F$14:$F$62,RAB!$C$14:$C$62,C968)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SUMIFS(RAB!$F$14:$F$62,RAB!$C$14:$C$62,C969)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SUMIFS(RAB!$F$14:$F$62,RAB!$C$14:$C$62,C970)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SUMIFS(RAB!$F$14:$F$62,RAB!$C$14:$C$62,C971)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SUMIFS(RAB!$F$14:$F$62,RAB!$C$14:$C$62,C972)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SUMIFS(RAB!$F$14:$F$62,RAB!$C$14:$C$62,C973)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SUMIFS(RAB!$F$14:$F$62,RAB!$C$14:$C$62,C974)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SUMIFS(RAB!$F$14:$F$62,RAB!$C$14:$C$62,C975)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SUMIFS(RAB!$F$14:$F$62,RAB!$C$14:$C$62,C976)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SUMIFS(RAB!$F$14:$F$62,RAB!$C$14:$C$62,C977)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SUMIFS(RAB!$F$14:$F$62,RAB!$C$14:$C$62,C978)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SUMIFS(RAB!$F$14:$F$62,RAB!$C$14:$C$62,C979)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SUMIFS(RAB!$F$14:$F$62,RAB!$C$14:$C$62,C980)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SUMIFS(RAB!$F$14:$F$62,RAB!$C$14:$C$62,C981)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SUMIFS(RAB!$F$14:$F$62,RAB!$C$14:$C$62,C982)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SUMIFS(RAB!$F$14:$F$62,RAB!$C$14:$C$62,C983)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SUMIFS(RAB!$F$14:$F$62,RAB!$C$14:$C$62,C984)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SUMIFS(RAB!$F$14:$F$62,RAB!$C$14:$C$62,C985)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SUMIFS(RAB!$F$14:$F$62,RAB!$C$14:$C$62,C986)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SUMIFS(RAB!$F$14:$F$62,RAB!$C$14:$C$62,C987)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SUMIFS(RAB!$F$14:$F$62,RAB!$C$14:$C$62,C988)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SUMIFS(RAB!$F$14:$F$62,RAB!$C$14:$C$62,C989)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SUMIFS(RAB!$F$14:$F$62,RAB!$C$14:$C$62,C990)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SUMIFS(RAB!$F$14:$F$62,RAB!$C$14:$C$62,C991)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SUMIFS(RAB!$F$14:$F$62,RAB!$C$14:$C$62,C992)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SUMIFS(RAB!$F$14:$F$62,RAB!$C$14:$C$62,C993)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SUMIFS(RAB!$F$14:$F$62,RAB!$C$14:$C$62,C994)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SUMIFS(RAB!$F$14:$F$62,RAB!$C$14:$C$62,C995)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SUMIFS(RAB!$F$14:$F$62,RAB!$C$14:$C$62,C996)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SUMIFS(RAB!$F$14:$F$62,RAB!$C$14:$C$62,C997)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SUMIFS(RAB!$F$14:$F$62,RAB!$C$14:$C$62,C998)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SUMIFS(RAB!$F$14:$F$62,RAB!$C$14:$C$62,C999)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SUMIFS(RAB!$F$14:$F$62,RAB!$C$14:$C$62,C1000)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SUMIFS(RAB!$F$14:$F$62,RAB!$C$14:$C$62,C1001)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SUMIFS(RAB!$F$14:$F$62,RAB!$C$14:$C$62,C1002)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SUMIFS(RAB!$F$14:$F$62,RAB!$C$14:$C$62,C1003)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SUMIFS(RAB!$F$14:$F$62,RAB!$C$14:$C$62,C1004)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SUMIFS(RAB!$F$14:$F$62,RAB!$C$14:$C$62,C1005)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SUMIFS(RAB!$F$14:$F$62,RAB!$C$14:$C$62,C1006)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SUMIFS(RAB!$F$14:$F$62,RAB!$C$14:$C$62,C1007)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SUMIFS(RAB!$F$14:$F$62,RAB!$C$14:$C$62,C1008)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SUMIFS(RAB!$F$14:$F$62,RAB!$C$14:$C$62,C1009)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SUMIFS(RAB!$F$14:$F$62,RAB!$C$14:$C$62,C1010)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SUMIFS(RAB!$F$14:$F$62,RAB!$C$14:$C$62,C1011)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SUMIFS(RAB!$F$14:$F$62,RAB!$C$14:$C$62,C1012)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SUMIFS(RAB!$F$14:$F$62,RAB!$C$14:$C$62,C1013)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SUMIFS(RAB!$F$14:$F$62,RAB!$C$14:$C$62,C1014)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SUMIFS(RAB!$F$14:$F$62,RAB!$C$14:$C$62,C1015)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SUMIFS(RAB!$F$14:$F$62,RAB!$C$14:$C$62,C1016)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SUMIFS(RAB!$F$14:$F$62,RAB!$C$14:$C$62,C1017)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SUMIFS(RAB!$F$14:$F$62,RAB!$C$14:$C$62,C1018)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SUMIFS(RAB!$F$14:$F$62,RAB!$C$14:$C$62,C1019)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SUMIFS(RAB!$F$14:$F$62,RAB!$C$14:$C$62,C1020)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SUMIFS(RAB!$F$14:$F$62,RAB!$C$14:$C$62,C1021)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SUMIFS(RAB!$F$14:$F$62,RAB!$C$14:$C$62,C1022)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SUMIFS(RAB!$F$14:$F$62,RAB!$C$14:$C$62,C1023)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SUMIFS(RAB!$F$14:$F$62,RAB!$C$14:$C$62,C1024)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SUMIFS(RAB!$F$14:$F$62,RAB!$C$14:$C$62,C1025)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SUMIFS(RAB!$F$14:$F$62,RAB!$C$14:$C$62,C1026)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SUMIFS(RAB!$F$14:$F$62,RAB!$C$14:$C$62,C1027)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SUMIFS(RAB!$F$14:$F$62,RAB!$C$14:$C$62,C1028)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SUMIFS(RAB!$F$14:$F$62,RAB!$C$14:$C$62,C1029)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SUMIFS(RAB!$F$14:$F$62,RAB!$C$14:$C$62,C1030)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SUMIFS(RAB!$F$14:$F$62,RAB!$C$14:$C$62,C1031)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SUMIFS(RAB!$F$14:$F$62,RAB!$C$14:$C$62,C1032)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SUMIFS(RAB!$F$14:$F$62,RAB!$C$14:$C$62,C1033)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SUMIFS(RAB!$F$14:$F$62,RAB!$C$14:$C$62,C1034)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SUMIFS(RAB!$F$14:$F$62,RAB!$C$14:$C$62,C1035)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SUMIFS(RAB!$F$14:$F$62,RAB!$C$14:$C$62,C1036)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SUMIFS(RAB!$F$14:$F$62,RAB!$C$14:$C$62,C1037)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SUMIFS(RAB!$F$14:$F$62,RAB!$C$14:$C$62,C1038)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SUMIFS(RAB!$F$14:$F$62,RAB!$C$14:$C$62,C1039)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SUMIFS(RAB!$F$14:$F$62,RAB!$C$14:$C$62,C1040)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SUMIFS(RAB!$F$14:$F$62,RAB!$C$14:$C$62,C1041)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SUMIFS(RAB!$F$14:$F$62,RAB!$C$14:$C$62,C1042)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SUMIFS(RAB!$F$14:$F$62,RAB!$C$14:$C$62,C1043)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SUMIFS(RAB!$F$14:$F$62,RAB!$C$14:$C$62,C1044)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SUMIFS(RAB!$F$14:$F$62,RAB!$C$14:$C$62,C1045)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SUMIFS(RAB!$F$14:$F$62,RAB!$C$14:$C$62,C1046)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SUMIFS(RAB!$F$14:$F$62,RAB!$C$14:$C$62,C1047)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SUMIFS(RAB!$F$14:$F$62,RAB!$C$14:$C$62,C1048)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SUMIFS(RAB!$F$14:$F$62,RAB!$C$14:$C$62,C1049)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SUMIFS(RAB!$F$14:$F$62,RAB!$C$14:$C$62,C1050)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SUMIFS(RAB!$F$14:$F$62,RAB!$C$14:$C$62,C1051)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SUMIFS(RAB!$F$14:$F$62,RAB!$C$14:$C$62,C1052)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SUMIFS(RAB!$F$14:$F$62,RAB!$C$14:$C$62,C1053)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SUMIFS(RAB!$F$14:$F$62,RAB!$C$14:$C$62,C1054)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SUMIFS(RAB!$F$14:$F$62,RAB!$C$14:$C$62,C1055)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SUMIFS(RAB!$F$14:$F$62,RAB!$C$14:$C$62,C1056)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SUMIFS(RAB!$F$14:$F$62,RAB!$C$14:$C$62,C1057)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SUMIFS(RAB!$F$14:$F$62,RAB!$C$14:$C$62,C1058)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SUMIFS(RAB!$F$14:$F$62,RAB!$C$14:$C$62,C1059)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SUMIFS(RAB!$F$14:$F$62,RAB!$C$14:$C$62,C1060)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SUMIFS(RAB!$F$14:$F$62,RAB!$C$14:$C$62,C1061)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SUMIFS(RAB!$F$14:$F$62,RAB!$C$14:$C$62,C1062)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SUMIFS(RAB!$F$14:$F$62,RAB!$C$14:$C$62,C1063)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SUMIFS(RAB!$F$14:$F$62,RAB!$C$14:$C$62,C1064)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SUMIFS(RAB!$F$14:$F$62,RAB!$C$14:$C$62,C1065)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SUMIFS(RAB!$F$14:$F$62,RAB!$C$14:$C$62,C1066)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SUMIFS(RAB!$F$14:$F$62,RAB!$C$14:$C$62,C1067)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SUMIFS(RAB!$F$14:$F$62,RAB!$C$14:$C$62,C1068)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SUMIFS(RAB!$F$14:$F$62,RAB!$C$14:$C$62,C1069)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SUMIFS(RAB!$F$14:$F$62,RAB!$C$14:$C$62,C1070)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SUMIFS(RAB!$F$14:$F$62,RAB!$C$14:$C$62,C1071)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SUMIFS(RAB!$F$14:$F$62,RAB!$C$14:$C$62,C1072)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SUMIFS(RAB!$F$14:$F$62,RAB!$C$14:$C$62,C1073)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SUMIFS(RAB!$F$14:$F$62,RAB!$C$14:$C$62,C1074)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SUMIFS(RAB!$F$14:$F$62,RAB!$C$14:$C$62,C1075)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SUMIFS(RAB!$F$14:$F$62,RAB!$C$14:$C$62,C1076)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SUMIFS(RAB!$F$14:$F$62,RAB!$C$14:$C$62,C1077)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SUMIFS(RAB!$F$14:$F$62,RAB!$C$14:$C$62,C1078)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SUMIFS(RAB!$F$14:$F$62,RAB!$C$14:$C$62,C1079)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SUMIFS(RAB!$F$14:$F$62,RAB!$C$14:$C$62,C1080)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SUMIFS(RAB!$F$14:$F$62,RAB!$C$14:$C$62,C1081)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SUMIFS(RAB!$F$14:$F$62,RAB!$C$14:$C$62,C1082)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SUMIFS(RAB!$F$14:$F$62,RAB!$C$14:$C$62,C1083)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SUMIFS(RAB!$F$14:$F$62,RAB!$C$14:$C$62,C1084)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SUMIFS(RAB!$F$14:$F$62,RAB!$C$14:$C$62,C1085)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SUMIFS(RAB!$F$14:$F$62,RAB!$C$14:$C$62,C1086)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SUMIFS(RAB!$F$14:$F$62,RAB!$C$14:$C$62,C1087)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SUMIFS(RAB!$F$14:$F$62,RAB!$C$14:$C$62,C1088)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SUMIFS(RAB!$F$14:$F$62,RAB!$C$14:$C$62,C1089)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SUMIFS(RAB!$F$14:$F$62,RAB!$C$14:$C$62,C1090)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SUMIFS(RAB!$F$14:$F$62,RAB!$C$14:$C$62,C1091)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SUMIFS(RAB!$F$14:$F$62,RAB!$C$14:$C$62,C1092)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SUMIFS(RAB!$F$14:$F$62,RAB!$C$14:$C$62,C1093)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SUMIFS(RAB!$F$14:$F$62,RAB!$C$14:$C$62,C1094)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SUMIFS(RAB!$F$14:$F$62,RAB!$C$14:$C$62,C1095)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SUMIFS(RAB!$F$14:$F$62,RAB!$C$14:$C$62,C1096)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SUMIFS(RAB!$F$14:$F$62,RAB!$C$14:$C$62,C1097)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SUMIFS(RAB!$F$14:$F$62,RAB!$C$14:$C$62,C1098)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SUMIFS(RAB!$F$14:$F$62,RAB!$C$14:$C$62,C1099)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SUMIFS(RAB!$F$14:$F$62,RAB!$C$14:$C$62,C1100)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SUMIFS(RAB!$F$14:$F$62,RAB!$C$14:$C$62,C1101)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SUMIFS(RAB!$F$14:$F$62,RAB!$C$14:$C$62,C1102)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SUMIFS(RAB!$F$14:$F$62,RAB!$C$14:$C$62,C1103)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SUMIFS(RAB!$F$14:$F$62,RAB!$C$14:$C$62,C1104)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SUMIFS(RAB!$F$14:$F$62,RAB!$C$14:$C$62,C1105)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SUMIFS(RAB!$F$14:$F$62,RAB!$C$14:$C$62,C1106)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SUMIFS(RAB!$F$14:$F$62,RAB!$C$14:$C$62,C1107)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SUMIFS(RAB!$F$14:$F$62,RAB!$C$14:$C$62,C1108)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SUMIFS(RAB!$F$14:$F$62,RAB!$C$14:$C$62,C1109)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SUMIFS(RAB!$F$14:$F$62,RAB!$C$14:$C$62,C1110)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SUMIFS(RAB!$F$14:$F$62,RAB!$C$14:$C$62,C1111)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SUMIFS(RAB!$F$14:$F$62,RAB!$C$14:$C$62,C1112)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SUMIFS(RAB!$F$14:$F$62,RAB!$C$14:$C$62,C1113)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SUMIFS(RAB!$F$14:$F$62,RAB!$C$14:$C$62,C1114)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SUMIFS(RAB!$F$14:$F$62,RAB!$C$14:$C$62,C1115)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SUMIFS(RAB!$F$14:$F$62,RAB!$C$14:$C$62,C1116)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SUMIFS(RAB!$F$14:$F$62,RAB!$C$14:$C$62,C1117)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SUMIFS(RAB!$F$14:$F$62,RAB!$C$14:$C$62,C1118)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SUMIFS(RAB!$F$14:$F$62,RAB!$C$14:$C$62,C1119)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SUMIFS(RAB!$F$14:$F$62,RAB!$C$14:$C$62,C1120)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SUMIFS(RAB!$F$14:$F$62,RAB!$C$14:$C$62,C1121)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SUMIFS(RAB!$F$14:$F$62,RAB!$C$14:$C$62,C1122)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SUMIFS(RAB!$F$14:$F$62,RAB!$C$14:$C$62,C1123)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SUMIFS(RAB!$F$14:$F$62,RAB!$C$14:$C$62,C1124)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SUMIFS(RAB!$F$14:$F$62,RAB!$C$14:$C$62,C1125)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SUMIFS(RAB!$F$14:$F$62,RAB!$C$14:$C$62,C1126)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SUMIFS(RAB!$F$14:$F$62,RAB!$C$14:$C$62,C1127)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SUMIFS(RAB!$F$14:$F$62,RAB!$C$14:$C$62,C1128)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SUMIFS(RAB!$F$14:$F$62,RAB!$C$14:$C$62,C1129)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SUMIFS(RAB!$F$14:$F$62,RAB!$C$14:$C$62,C1130)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SUMIFS(RAB!$F$14:$F$62,RAB!$C$14:$C$62,C1131)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SUMIFS(RAB!$F$14:$F$62,RAB!$C$14:$C$62,C1132)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SUMIFS(RAB!$F$14:$F$62,RAB!$C$14:$C$62,C1133)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SUMIFS(RAB!$F$14:$F$62,RAB!$C$14:$C$62,C1134)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SUMIFS(RAB!$F$14:$F$62,RAB!$C$14:$C$62,C1135)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SUMIFS(RAB!$F$14:$F$62,RAB!$C$14:$C$62,C1136)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SUMIFS(RAB!$F$14:$F$62,RAB!$C$14:$C$62,C1137)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SUMIFS(RAB!$F$14:$F$62,RAB!$C$14:$C$62,C1138)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SUMIFS(RAB!$F$14:$F$62,RAB!$C$14:$C$62,C1139)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SUMIFS(RAB!$F$14:$F$62,RAB!$C$14:$C$62,C1140)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SUMIFS(RAB!$F$14:$F$62,RAB!$C$14:$C$62,C1141)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SUMIFS(RAB!$F$14:$F$62,RAB!$C$14:$C$62,C1142)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SUMIFS(RAB!$F$14:$F$62,RAB!$C$14:$C$62,C1143)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SUMIFS(RAB!$F$14:$F$62,RAB!$C$14:$C$62,C1144)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SUMIFS(RAB!$F$14:$F$62,RAB!$C$14:$C$62,C1145)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SUMIFS(RAB!$F$14:$F$62,RAB!$C$14:$C$62,C1146)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SUMIFS(RAB!$F$14:$F$62,RAB!$C$14:$C$62,C1147)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SUMIFS(RAB!$F$14:$F$62,RAB!$C$14:$C$62,C1148)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SUMIFS(RAB!$F$14:$F$62,RAB!$C$14:$C$62,C1149)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SUMIFS(RAB!$F$14:$F$62,RAB!$C$14:$C$62,C1150)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SUMIFS(RAB!$F$14:$F$62,RAB!$C$14:$C$62,C1151)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SUMIFS(RAB!$F$14:$F$62,RAB!$C$14:$C$62,C1152)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SUMIFS(RAB!$F$14:$F$62,RAB!$C$14:$C$62,C1153)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SUMIFS(RAB!$F$14:$F$62,RAB!$C$14:$C$62,C1154)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SUMIFS(RAB!$F$14:$F$62,RAB!$C$14:$C$62,C1155)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SUMIFS(RAB!$F$14:$F$62,RAB!$C$14:$C$62,C1156)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SUMIFS(RAB!$F$14:$F$62,RAB!$C$14:$C$62,C1157)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SUMIFS(RAB!$F$14:$F$62,RAB!$C$14:$C$62,C1158)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SUMIFS(RAB!$F$14:$F$62,RAB!$C$14:$C$62,C1159)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SUMIFS(RAB!$F$14:$F$62,RAB!$C$14:$C$62,C1160)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SUMIFS(RAB!$F$14:$F$62,RAB!$C$14:$C$62,C1161)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SUMIFS(RAB!$F$14:$F$62,RAB!$C$14:$C$62,C1162)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SUMIFS(RAB!$F$14:$F$62,RAB!$C$14:$C$62,C1163)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SUMIFS(RAB!$F$14:$F$62,RAB!$C$14:$C$62,C1164)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SUMIFS(RAB!$F$14:$F$62,RAB!$C$14:$C$62,C1165)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SUMIFS(RAB!$F$14:$F$62,RAB!$C$14:$C$62,C1166)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SUMIFS(RAB!$F$14:$F$62,RAB!$C$14:$C$62,C1167)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SUMIFS(RAB!$F$14:$F$62,RAB!$C$14:$C$62,C1168)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SUMIFS(RAB!$F$14:$F$62,RAB!$C$14:$C$62,C1169)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SUMIFS(RAB!$F$14:$F$62,RAB!$C$14:$C$62,C1170)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SUMIFS(RAB!$F$14:$F$62,RAB!$C$14:$C$62,C1171)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SUMIFS(RAB!$F$14:$F$62,RAB!$C$14:$C$62,C1172)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SUMIFS(RAB!$F$14:$F$62,RAB!$C$14:$C$62,C1173)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SUMIFS(RAB!$F$14:$F$62,RAB!$C$14:$C$62,C1174)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SUMIFS(RAB!$F$14:$F$62,RAB!$C$14:$C$62,C1175)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SUMIFS(RAB!$F$14:$F$62,RAB!$C$14:$C$62,C1176)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SUMIFS(RAB!$F$14:$F$62,RAB!$C$14:$C$62,C1177)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SUMIFS(RAB!$F$14:$F$62,RAB!$C$14:$C$62,C1178)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SUMIFS(RAB!$F$14:$F$62,RAB!$C$14:$C$62,C1179)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SUMIFS(RAB!$F$14:$F$62,RAB!$C$14:$C$62,C1180)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SUMIFS(RAB!$F$14:$F$62,RAB!$C$14:$C$62,C1181)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SUMIFS(RAB!$F$14:$F$62,RAB!$C$14:$C$62,C1182)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SUMIFS(RAB!$F$14:$F$62,RAB!$C$14:$C$62,C1183)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SUMIFS(RAB!$F$14:$F$62,RAB!$C$14:$C$62,C1184)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SUMIFS(RAB!$F$14:$F$62,RAB!$C$14:$C$62,C1185)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SUMIFS(RAB!$F$14:$F$62,RAB!$C$14:$C$62,C1186)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SUMIFS(RAB!$F$14:$F$62,RAB!$C$14:$C$62,C1187)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SUMIFS(RAB!$F$14:$F$62,RAB!$C$14:$C$62,C1188)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SUMIFS(RAB!$F$14:$F$62,RAB!$C$14:$C$62,C1189)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SUMIFS(RAB!$F$14:$F$62,RAB!$C$14:$C$62,C1190)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SUMIFS(RAB!$F$14:$F$62,RAB!$C$14:$C$62,C1191)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SUMIFS(RAB!$F$14:$F$62,RAB!$C$14:$C$62,C1192)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SUMIFS(RAB!$F$14:$F$62,RAB!$C$14:$C$62,C1193)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SUMIFS(RAB!$F$14:$F$62,RAB!$C$14:$C$62,C1194)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SUMIFS(RAB!$F$14:$F$62,RAB!$C$14:$C$62,C1195)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SUMIFS(RAB!$F$14:$F$62,RAB!$C$14:$C$62,C1196)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SUMIFS(RAB!$F$14:$F$62,RAB!$C$14:$C$62,C1197)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SUMIFS(RAB!$F$14:$F$62,RAB!$C$14:$C$62,C1198)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SUMIFS(RAB!$F$14:$F$62,RAB!$C$14:$C$62,C1199)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SUMIFS(RAB!$F$14:$F$62,RAB!$C$14:$C$62,C1200)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SUMIFS(RAB!$F$14:$F$62,RAB!$C$14:$C$62,C1201)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SUMIFS(RAB!$F$14:$F$62,RAB!$C$14:$C$62,C1202)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SUMIFS(RAB!$F$14:$F$62,RAB!$C$14:$C$62,C1203)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SUMIFS(RAB!$F$14:$F$62,RAB!$C$14:$C$62,C1204)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SUMIFS(RAB!$F$14:$F$62,RAB!$C$14:$C$62,C1205)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SUMIFS(RAB!$F$14:$F$62,RAB!$C$14:$C$62,C1206)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SUMIFS(RAB!$F$14:$F$62,RAB!$C$14:$C$62,C1207)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SUMIFS(RAB!$F$14:$F$62,RAB!$C$14:$C$62,C1208)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SUMIFS(RAB!$F$14:$F$62,RAB!$C$14:$C$62,C1209)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SUMIFS(RAB!$F$14:$F$62,RAB!$C$14:$C$62,C1210)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SUMIFS(RAB!$F$14:$F$62,RAB!$C$14:$C$62,C1211)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SUMIFS(RAB!$F$14:$F$62,RAB!$C$14:$C$62,C1212)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SUMIFS(RAB!$F$14:$F$62,RAB!$C$14:$C$62,C1213)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SUMIFS(RAB!$F$14:$F$62,RAB!$C$14:$C$62,C1214)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SUMIFS(RAB!$F$14:$F$62,RAB!$C$14:$C$62,C1215)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SUMIFS(RAB!$F$14:$F$62,RAB!$C$14:$C$62,C1216)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SUMIFS(RAB!$F$14:$F$62,RAB!$C$14:$C$62,C1217)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SUMIFS(RAB!$F$14:$F$62,RAB!$C$14:$C$62,C1218)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SUMIFS(RAB!$F$14:$F$62,RAB!$C$14:$C$62,C1219)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SUMIFS(RAB!$F$14:$F$62,RAB!$C$14:$C$62,C1220)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SUMIFS(RAB!$F$14:$F$62,RAB!$C$14:$C$62,C1221)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SUMIFS(RAB!$F$14:$F$62,RAB!$C$14:$C$62,C1222)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SUMIFS(RAB!$F$14:$F$62,RAB!$C$14:$C$62,C1223)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SUMIFS(RAB!$F$14:$F$62,RAB!$C$14:$C$62,C1224)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SUMIFS(RAB!$F$14:$F$62,RAB!$C$14:$C$62,C1225)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SUMIFS(RAB!$F$14:$F$62,RAB!$C$14:$C$62,C1226)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SUMIFS(RAB!$F$14:$F$62,RAB!$C$14:$C$62,C1227)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SUMIFS(RAB!$F$14:$F$62,RAB!$C$14:$C$62,C1228)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SUMIFS(RAB!$F$14:$F$62,RAB!$C$14:$C$62,C1229)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SUMIFS(RAB!$F$14:$F$62,RAB!$C$14:$C$62,C1230)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SUMIFS(RAB!$F$14:$F$62,RAB!$C$14:$C$62,C1231)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SUMIFS(RAB!$F$14:$F$62,RAB!$C$14:$C$62,C1232)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SUMIFS(RAB!$F$14:$F$62,RAB!$C$14:$C$62,C1233)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SUMIFS(RAB!$F$14:$F$62,RAB!$C$14:$C$62,C1234)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SUMIFS(RAB!$F$14:$F$62,RAB!$C$14:$C$62,C1235)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SUMIFS(RAB!$F$14:$F$62,RAB!$C$14:$C$62,C1236)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SUMIFS(RAB!$F$14:$F$62,RAB!$C$14:$C$62,C1237)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SUMIFS(RAB!$F$14:$F$62,RAB!$C$14:$C$62,C1238)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SUMIFS(RAB!$F$14:$F$62,RAB!$C$14:$C$62,C1239)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SUMIFS(RAB!$F$14:$F$62,RAB!$C$14:$C$62,C1240)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SUMIFS(RAB!$F$14:$F$62,RAB!$C$14:$C$62,C1241)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SUMIFS(RAB!$F$14:$F$62,RAB!$C$14:$C$62,C1242)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SUMIFS(RAB!$F$14:$F$62,RAB!$C$14:$C$62,C1243)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SUMIFS(RAB!$F$14:$F$62,RAB!$C$14:$C$62,C1244)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SUMIFS(RAB!$F$14:$F$62,RAB!$C$14:$C$62,C1245)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SUMIFS(RAB!$F$14:$F$62,RAB!$C$14:$C$62,C1246)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SUMIFS(RAB!$F$14:$F$62,RAB!$C$14:$C$62,C1247)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SUMIFS(RAB!$F$14:$F$62,RAB!$C$14:$C$62,C1248)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SUMIFS(RAB!$F$14:$F$62,RAB!$C$14:$C$62,C1249)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SUMIFS(RAB!$F$14:$F$62,RAB!$C$14:$C$62,C1250)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SUMIFS(RAB!$F$14:$F$62,RAB!$C$14:$C$62,C1251)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SUMIFS(RAB!$F$14:$F$62,RAB!$C$14:$C$62,C1252)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SUMIFS(RAB!$F$14:$F$62,RAB!$C$14:$C$62,C1253)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SUMIFS(RAB!$F$14:$F$62,RAB!$C$14:$C$62,C1254)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SUMIFS(RAB!$F$14:$F$62,RAB!$C$14:$C$62,C1255)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SUMIFS(RAB!$F$14:$F$62,RAB!$C$14:$C$62,C1256)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SUMIFS(RAB!$F$14:$F$62,RAB!$C$14:$C$62,C1257)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SUMIFS(RAB!$F$14:$F$62,RAB!$C$14:$C$62,C1258)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SUMIFS(RAB!$F$14:$F$62,RAB!$C$14:$C$62,C1259)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SUMIFS(RAB!$F$14:$F$62,RAB!$C$14:$C$62,C1260)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SUMIFS(RAB!$F$14:$F$62,RAB!$C$14:$C$62,C1261)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SUMIFS(RAB!$F$14:$F$62,RAB!$C$14:$C$62,C1262)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SUMIFS(RAB!$F$14:$F$62,RAB!$C$14:$C$62,C1263)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SUMIFS(RAB!$F$14:$F$62,RAB!$C$14:$C$62,C1264)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SUMIFS(RAB!$F$14:$F$62,RAB!$C$14:$C$62,C1265)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SUMIFS(RAB!$F$14:$F$62,RAB!$C$14:$C$62,C1266)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SUMIFS(RAB!$F$14:$F$62,RAB!$C$14:$C$62,C1267)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SUMIFS(RAB!$F$14:$F$62,RAB!$C$14:$C$62,C1268)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SUMIFS(RAB!$F$14:$F$62,RAB!$C$14:$C$62,C1269)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SUMIFS(RAB!$F$14:$F$62,RAB!$C$14:$C$62,C1270)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SUMIFS(RAB!$F$14:$F$62,RAB!$C$14:$C$62,C1271)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SUMIFS(RAB!$F$14:$F$62,RAB!$C$14:$C$62,C1272)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SUMIFS(RAB!$F$14:$F$62,RAB!$C$14:$C$62,C1273)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SUMIFS(RAB!$F$14:$F$62,RAB!$C$14:$C$62,C1274)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SUMIFS(RAB!$F$14:$F$62,RAB!$C$14:$C$62,C1275)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SUMIFS(RAB!$F$14:$F$62,RAB!$C$14:$C$62,C1276)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SUMIFS(RAB!$F$14:$F$62,RAB!$C$14:$C$62,C1277)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SUMIFS(RAB!$F$14:$F$62,RAB!$C$14:$C$62,C1278)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SUMIFS(RAB!$F$14:$F$62,RAB!$C$14:$C$62,C1279)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SUMIFS(RAB!$F$14:$F$62,RAB!$C$14:$C$62,C1280)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SUMIFS(RAB!$F$14:$F$62,RAB!$C$14:$C$62,C1281)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SUMIFS(RAB!$F$14:$F$62,RAB!$C$14:$C$62,C1282)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SUMIFS(RAB!$F$14:$F$62,RAB!$C$14:$C$62,C1283)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SUMIFS(RAB!$F$14:$F$62,RAB!$C$14:$C$62,C1284)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SUMIFS(RAB!$F$14:$F$62,RAB!$C$14:$C$62,C1285)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SUMIFS(RAB!$F$14:$F$62,RAB!$C$14:$C$62,C1286)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SUMIFS(RAB!$F$14:$F$62,RAB!$C$14:$C$62,C1287)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SUMIFS(RAB!$F$14:$F$62,RAB!$C$14:$C$62,C1288)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SUMIFS(RAB!$F$14:$F$62,RAB!$C$14:$C$62,C1289)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SUMIFS(RAB!$F$14:$F$62,RAB!$C$14:$C$62,C1290)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SUMIFS(RAB!$F$14:$F$62,RAB!$C$14:$C$62,C1291)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SUMIFS(RAB!$F$14:$F$62,RAB!$C$14:$C$62,C1292)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SUMIFS(RAB!$F$14:$F$62,RAB!$C$14:$C$62,C1293)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SUMIFS(RAB!$F$14:$F$62,RAB!$C$14:$C$62,C1294)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SUMIFS(RAB!$F$14:$F$62,RAB!$C$14:$C$62,C1295)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SUMIFS(RAB!$F$14:$F$62,RAB!$C$14:$C$62,C1296)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SUMIFS(RAB!$F$14:$F$62,RAB!$C$14:$C$62,C1297)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SUMIFS(RAB!$F$14:$F$62,RAB!$C$14:$C$62,C1298)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SUMIFS(RAB!$F$14:$F$62,RAB!$C$14:$C$62,C1299)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SUMIFS(RAB!$F$14:$F$62,RAB!$C$14:$C$62,C1300)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SUMIFS(RAB!$F$14:$F$62,RAB!$C$14:$C$62,C1301)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SUMIFS(RAB!$F$14:$F$62,RAB!$C$14:$C$62,C1302)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SUMIFS(RAB!$F$14:$F$62,RAB!$C$14:$C$62,C1303)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SUMIFS(RAB!$F$14:$F$62,RAB!$C$14:$C$62,C1304)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SUMIFS(RAB!$F$14:$F$62,RAB!$C$14:$C$62,C1305)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SUMIFS(RAB!$F$14:$F$62,RAB!$C$14:$C$62,C1306)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SUMIFS(RAB!$F$14:$F$62,RAB!$C$14:$C$62,C1307)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SUMIFS(RAB!$F$14:$F$62,RAB!$C$14:$C$62,C1308)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SUMIFS(RAB!$F$14:$F$62,RAB!$C$14:$C$62,C1309)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SUMIFS(RAB!$F$14:$F$62,RAB!$C$14:$C$62,C1310)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SUMIFS(RAB!$F$14:$F$62,RAB!$C$14:$C$62,C1311)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SUMIFS(RAB!$F$14:$F$62,RAB!$C$14:$C$62,C1312)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SUMIFS(RAB!$F$14:$F$62,RAB!$C$14:$C$62,C1313)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SUMIFS(RAB!$F$14:$F$62,RAB!$C$14:$C$62,C1314)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SUMIFS(RAB!$F$14:$F$62,RAB!$C$14:$C$62,C1315)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SUMIFS(RAB!$F$14:$F$62,RAB!$C$14:$C$62,C1316)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SUMIFS(RAB!$F$14:$F$62,RAB!$C$14:$C$62,C1317)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SUMIFS(RAB!$F$14:$F$62,RAB!$C$14:$C$62,C1318)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SUMIFS(RAB!$F$14:$F$62,RAB!$C$14:$C$62,C1319)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SUMIFS(RAB!$F$14:$F$62,RAB!$C$14:$C$62,C1320)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1127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5" t="str">
        <f>RAB!G6</f>
        <v>MTS N 2 KALIREJO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KUWU KM 2 KALIREJO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49" t="s">
        <v>41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46</v>
      </c>
      <c r="I12" s="540" t="s">
        <v>5</v>
      </c>
      <c r="J12" s="538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6" t="s">
        <v>1008</v>
      </c>
      <c r="D38" s="536"/>
      <c r="E38" s="536"/>
      <c r="F38" s="536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7" t="s">
        <v>462</v>
      </c>
      <c r="D39" s="537"/>
      <c r="E39" s="537"/>
      <c r="F39" s="537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6" t="s">
        <v>463</v>
      </c>
      <c r="D40" s="526"/>
      <c r="E40" s="526"/>
      <c r="F40" s="52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9" t="e">
        <f ca="1">"Terbilang : ( "&amp;L42&amp;" Rupiah )"</f>
        <v>#NAME?</v>
      </c>
      <c r="C41" s="530"/>
      <c r="D41" s="530"/>
      <c r="E41" s="530"/>
      <c r="F41" s="530"/>
      <c r="G41" s="530"/>
      <c r="H41" s="530"/>
      <c r="I41" s="530"/>
      <c r="J41" s="530"/>
      <c r="K41" s="531"/>
      <c r="L41" s="44"/>
      <c r="R41" s="58"/>
      <c r="S41" s="58"/>
      <c r="T41" s="58"/>
    </row>
    <row r="42" spans="1:20" s="36" customFormat="1">
      <c r="A42" s="30"/>
      <c r="B42" s="532"/>
      <c r="C42" s="533"/>
      <c r="D42" s="533"/>
      <c r="E42" s="533"/>
      <c r="F42" s="533"/>
      <c r="G42" s="533"/>
      <c r="H42" s="533"/>
      <c r="I42" s="533"/>
      <c r="J42" s="533"/>
      <c r="K42" s="534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7"/>
      <c r="I45" s="527"/>
      <c r="J45" s="528"/>
      <c r="K45" s="52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7"/>
      <c r="I46" s="527"/>
      <c r="J46" s="528"/>
      <c r="K46" s="52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7"/>
      <c r="I47" s="527"/>
      <c r="J47" s="528"/>
      <c r="K47" s="52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7"/>
      <c r="I52" s="527"/>
      <c r="J52" s="528"/>
      <c r="K52" s="52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SUMIFS(RAB!$F$14:$F$62,RAB!$C$14:$C$62,'REKAP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SUMIFS(RAB!$F$14:$F$62,RAB!$C$14:$C$62,'REKAP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SUMIFS(RAB!$F$14:$F$62,RAB!$C$14:$C$62,'REKAP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SUMIFS(RAB!$F$14:$F$62,RAB!$C$14:$C$62,'REKAP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SUMIFS(RAB!$F$14:$F$62,RAB!$C$14:$C$62,'REKAP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SUMIFS(RAB!$F$14:$F$62,RAB!$C$14:$C$62,'REKAP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SUMIFS(RAB!$F$14:$F$62,RAB!$C$14:$C$62,'REKAP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SUMIFS(RAB!$F$14:$F$62,RAB!$C$14:$C$62,'REKAP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SUMIFS(RAB!$F$14:$F$62,RAB!$C$14:$C$62,'REKAP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SUMIFS(RAB!$F$14:$F$62,RAB!$C$14:$C$62,'REKAP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SUMIFS(RAB!$F$14:$F$62,RAB!$C$14:$C$62,'REKAP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SUMIFS(RAB!$F$14:$F$62,RAB!$C$14:$C$62,'REKAP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SUMIFS(RAB!$F$14:$F$62,RAB!$C$14:$C$62,'REKAP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SUMIFS(RAB!$F$14:$F$62,RAB!$C$14:$C$62,'REKAP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SUMIFS(RAB!$F$14:$F$62,RAB!$C$14:$C$62,'REKAP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SUMIFS(RAB!$F$14:$F$62,RAB!$C$14:$C$62,'REKAP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SUMIFS(RAB!$F$14:$F$62,RAB!$C$14:$C$62,'REKAP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SUMIFS(RAB!$F$14:$F$62,RAB!$C$14:$C$62,'REKAP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SUMIFS(RAB!$F$14:$F$62,RAB!$C$14:$C$62,'REKAP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SUMIFS(RAB!$F$14:$F$62,RAB!$C$14:$C$62,'REKAP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1034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5" t="str">
        <f>RAB!G6</f>
        <v>MTS N 2 KALIREJO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KUWU KM 2 KALIREJO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49" t="s">
        <v>41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46</v>
      </c>
      <c r="I12" s="540" t="s">
        <v>5</v>
      </c>
      <c r="J12" s="538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6" t="s">
        <v>1008</v>
      </c>
      <c r="D168" s="536"/>
      <c r="E168" s="536"/>
      <c r="F168" s="536"/>
      <c r="G168" s="77" t="s">
        <v>9</v>
      </c>
      <c r="H168" s="55">
        <f ca="1">SUM(H14:H167)</f>
        <v>61830900</v>
      </c>
      <c r="I168" s="55">
        <f ca="1">SUM(I14:I167)</f>
        <v>0</v>
      </c>
      <c r="J168" s="55">
        <f ca="1">SUM(J14:J167)</f>
        <v>0</v>
      </c>
      <c r="K168" s="55">
        <f ca="1">SUM(K14:K167)</f>
        <v>61830900</v>
      </c>
      <c r="L168" s="44"/>
      <c r="R168" s="99"/>
      <c r="S168" s="99"/>
      <c r="T168" s="99"/>
    </row>
    <row r="169" spans="1:20" s="36" customFormat="1">
      <c r="A169" s="30"/>
      <c r="B169" s="56"/>
      <c r="C169" s="537" t="s">
        <v>462</v>
      </c>
      <c r="D169" s="537"/>
      <c r="E169" s="537"/>
      <c r="F169" s="537"/>
      <c r="G169" s="59" t="s">
        <v>9</v>
      </c>
      <c r="H169" s="60">
        <f ca="1">H168*0.1</f>
        <v>6183090</v>
      </c>
      <c r="I169" s="60">
        <f ca="1">I168*0.1</f>
        <v>0</v>
      </c>
      <c r="J169" s="60">
        <f ca="1">J168*0.1</f>
        <v>0</v>
      </c>
      <c r="K169" s="60">
        <f ca="1">K168*0.1</f>
        <v>6183090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6" t="s">
        <v>463</v>
      </c>
      <c r="D170" s="526"/>
      <c r="E170" s="526"/>
      <c r="F170" s="526"/>
      <c r="G170" s="61" t="s">
        <v>9</v>
      </c>
      <c r="H170" s="78">
        <f ca="1">SUM(H168:H169)</f>
        <v>68013990</v>
      </c>
      <c r="I170" s="78">
        <f ca="1">SUM(I168:I169)</f>
        <v>0</v>
      </c>
      <c r="J170" s="61">
        <f ca="1">SUM(J168:J169)</f>
        <v>0</v>
      </c>
      <c r="K170" s="61">
        <f ca="1">SUM(K168:K169)</f>
        <v>68013990</v>
      </c>
      <c r="L170" s="44"/>
      <c r="R170" s="99"/>
      <c r="S170" s="99"/>
      <c r="T170" s="99"/>
    </row>
    <row r="171" spans="1:20" s="36" customFormat="1">
      <c r="A171" s="30"/>
      <c r="B171" s="529" t="e">
        <f ca="1">"Terbilang : ( "&amp;L172&amp;" Rupiah )"</f>
        <v>#NAME?</v>
      </c>
      <c r="C171" s="530"/>
      <c r="D171" s="530"/>
      <c r="E171" s="530"/>
      <c r="F171" s="530"/>
      <c r="G171" s="530"/>
      <c r="H171" s="530"/>
      <c r="I171" s="530"/>
      <c r="J171" s="530"/>
      <c r="K171" s="531"/>
      <c r="L171" s="44"/>
      <c r="R171" s="58"/>
      <c r="S171" s="58"/>
      <c r="T171" s="58"/>
    </row>
    <row r="172" spans="1:20" s="36" customFormat="1">
      <c r="A172" s="30"/>
      <c r="B172" s="532"/>
      <c r="C172" s="533"/>
      <c r="D172" s="533"/>
      <c r="E172" s="533"/>
      <c r="F172" s="533"/>
      <c r="G172" s="533"/>
      <c r="H172" s="533"/>
      <c r="I172" s="533"/>
      <c r="J172" s="533"/>
      <c r="K172" s="534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7"/>
      <c r="I175" s="527"/>
      <c r="J175" s="528"/>
      <c r="K175" s="52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7"/>
      <c r="I176" s="527"/>
      <c r="J176" s="528"/>
      <c r="K176" s="52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7"/>
      <c r="I177" s="527"/>
      <c r="J177" s="528"/>
      <c r="K177" s="52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7"/>
      <c r="I182" s="527"/>
      <c r="J182" s="528"/>
      <c r="K182" s="52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SUMIFS(RAB!$F$14:$F$62,RAB!$C$14:$C$62,C224)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SUMIFS(RAB!$F$14:$F$62,RAB!$C$14:$C$62,C225)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SUMIFS(RAB!$F$14:$F$62,RAB!$C$14:$C$62,C226)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SUMIFS(RAB!$F$14:$F$62,RAB!$C$14:$C$62,C227)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SUMIFS(RAB!$F$14:$F$62,RAB!$C$14:$C$62,C228)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SUMIFS(RAB!$F$14:$F$62,RAB!$C$14:$C$62,C229)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SUMIFS(RAB!$F$14:$F$62,RAB!$C$14:$C$62,C230)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SUMIFS(RAB!$F$14:$F$62,RAB!$C$14:$C$62,C231)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SUMIFS(RAB!$F$14:$F$62,RAB!$C$14:$C$62,C232)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SUMIFS(RAB!$F$14:$F$62,RAB!$C$14:$C$62,C233)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SUMIFS(RAB!$F$14:$F$62,RAB!$C$14:$C$62,C234)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SUMIFS(RAB!$F$14:$F$62,RAB!$C$14:$C$62,C235)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SUMIFS(RAB!$F$14:$F$62,RAB!$C$14:$C$62,C236)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SUMIFS(RAB!$F$14:$F$62,RAB!$C$14:$C$62,C237)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SUMIFS(RAB!$F$14:$F$62,RAB!$C$14:$C$62,C238)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SUMIFS(RAB!$F$14:$F$62,RAB!$C$14:$C$62,C239)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SUMIFS(RAB!$F$14:$F$62,RAB!$C$14:$C$62,C240)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SUMIFS(RAB!$F$14:$F$62,RAB!$C$14:$C$62,C241)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SUMIFS(RAB!$F$14:$F$62,RAB!$C$14:$C$62,C242)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SUMIFS(RAB!$F$14:$F$62,RAB!$C$14:$C$62,C243)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SUMIFS(RAB!$F$14:$F$62,RAB!$C$14:$C$62,C244)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SUMIFS(RAB!$F$14:$F$62,RAB!$C$14:$C$62,C245)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SUMIFS(RAB!$F$14:$F$62,RAB!$C$14:$C$62,C246)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SUMIFS(RAB!$F$14:$F$62,RAB!$C$14:$C$62,C247)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SUMIFS(RAB!$F$14:$F$62,RAB!$C$14:$C$62,C248)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SUMIFS(RAB!$F$14:$F$62,RAB!$C$14:$C$62,C249)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SUMIFS(RAB!$F$14:$F$62,RAB!$C$14:$C$62,C250)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SUMIFS(RAB!$F$14:$F$62,RAB!$C$14:$C$62,C251)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SUMIFS(RAB!$F$14:$F$62,RAB!$C$14:$C$62,C252)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SUMIFS(RAB!$F$14:$F$62,RAB!$C$14:$C$62,C253)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SUMIFS(RAB!$F$14:$F$62,RAB!$C$14:$C$62,C254)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SUMIFS(RAB!$F$14:$F$62,RAB!$C$14:$C$62,C255)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SUMIFS(RAB!$F$14:$F$62,RAB!$C$14:$C$62,C256)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SUMIFS(RAB!$F$14:$F$62,RAB!$C$14:$C$62,C257)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SUMIFS(RAB!$F$14:$F$62,RAB!$C$14:$C$62,C258)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SUMIFS(RAB!$F$14:$F$62,RAB!$C$14:$C$62,C259)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SUMIFS(RAB!$F$14:$F$62,RAB!$C$14:$C$62,C260)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SUMIFS(RAB!$F$14:$F$62,RAB!$C$14:$C$62,C261)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SUMIFS(RAB!$F$14:$F$62,RAB!$C$14:$C$62,C262)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SUMIFS(RAB!$F$14:$F$62,RAB!$C$14:$C$62,C263)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SUMIFS(RAB!$F$14:$F$62,RAB!$C$14:$C$62,C264)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SUMIFS(RAB!$F$14:$F$62,RAB!$C$14:$C$62,C265)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SUMIFS(RAB!$F$14:$F$62,RAB!$C$14:$C$62,C266)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SUMIFS(RAB!$F$14:$F$62,RAB!$C$14:$C$62,C267)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SUMIFS(RAB!$F$14:$F$62,RAB!$C$14:$C$62,C268)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SUMIFS(RAB!$F$14:$F$62,RAB!$C$14:$C$62,C269)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SUMIFS(RAB!$F$14:$F$62,RAB!$C$14:$C$62,C270)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SUMIFS(RAB!$F$14:$F$62,RAB!$C$14:$C$62,C271)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SUMIFS(RAB!$F$14:$F$62,RAB!$C$14:$C$62,C272)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SUMIFS(RAB!$F$14:$F$62,RAB!$C$14:$C$62,C273)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SUMIFS(RAB!$F$14:$F$62,RAB!$C$14:$C$62,C274)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SUMIFS(RAB!$F$14:$F$62,RAB!$C$14:$C$62,C275)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SUMIFS(RAB!$F$14:$F$62,RAB!$C$14:$C$62,C276)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SUMIFS(RAB!$F$14:$F$62,RAB!$C$14:$C$62,C277)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SUMIFS(RAB!$F$14:$F$62,RAB!$C$14:$C$62,C278)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SUMIFS(RAB!$F$14:$F$62,RAB!$C$14:$C$62,C279)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SUMIFS(RAB!$F$14:$F$62,RAB!$C$14:$C$62,C280)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SUMIFS(RAB!$F$14:$F$62,RAB!$C$14:$C$62,C281)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SUMIFS(RAB!$F$14:$F$62,RAB!$C$14:$C$62,C282)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SUMIFS(RAB!$F$14:$F$62,RAB!$C$14:$C$62,C283)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SUMIFS(RAB!$F$14:$F$62,RAB!$C$14:$C$62,C284)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SUMIFS(RAB!$F$14:$F$62,RAB!$C$14:$C$62,C285)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SUMIFS(RAB!$F$14:$F$62,RAB!$C$14:$C$62,C286)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SUMIFS(RAB!$F$14:$F$62,RAB!$C$14:$C$62,C287)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SUMIFS(RAB!$F$14:$F$62,RAB!$C$14:$C$62,C288)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SUMIFS(RAB!$F$14:$F$62,RAB!$C$14:$C$62,C289)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SUMIFS(RAB!$F$14:$F$62,RAB!$C$14:$C$62,C290)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SUMIFS(RAB!$F$14:$F$62,RAB!$C$14:$C$62,C291)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SUMIFS(RAB!$F$14:$F$62,RAB!$C$14:$C$62,C292)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SUMIFS(RAB!$F$14:$F$62,RAB!$C$14:$C$62,C293)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SUMIFS(RAB!$F$14:$F$62,RAB!$C$14:$C$62,C294)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SUMIFS(RAB!$F$14:$F$62,RAB!$C$14:$C$62,C295)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SUMIFS(RAB!$F$14:$F$62,RAB!$C$14:$C$62,C296)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SUMIFS(RAB!$F$14:$F$62,RAB!$C$14:$C$62,C297)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SUMIFS(RAB!$F$14:$F$62,RAB!$C$14:$C$62,C298)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SUMIFS(RAB!$F$14:$F$62,RAB!$C$14:$C$62,C299)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SUMIFS(RAB!$F$14:$F$62,RAB!$C$14:$C$62,C300)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SUMIFS(RAB!$F$14:$F$62,RAB!$C$14:$C$62,C301)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SUMIFS(RAB!$F$14:$F$62,RAB!$C$14:$C$62,C302)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SUMIFS(RAB!$F$14:$F$62,RAB!$C$14:$C$62,C303)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SUMIFS(RAB!$F$14:$F$62,RAB!$C$14:$C$62,C304)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SUMIFS(RAB!$F$14:$F$62,RAB!$C$14:$C$62,C305)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SUMIFS(RAB!$F$14:$F$62,RAB!$C$14:$C$62,C306)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SUMIFS(RAB!$F$14:$F$62,RAB!$C$14:$C$62,C307)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SUMIFS(RAB!$F$14:$F$62,RAB!$C$14:$C$62,C308)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SUMIFS(RAB!$F$14:$F$62,RAB!$C$14:$C$62,C309)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SUMIFS(RAB!$F$14:$F$62,RAB!$C$14:$C$62,C310)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SUMIFS(RAB!$F$14:$F$62,RAB!$C$14:$C$62,C311)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SUMIFS(RAB!$F$14:$F$62,RAB!$C$14:$C$62,C312)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SUMIFS(RAB!$F$14:$F$62,RAB!$C$14:$C$62,C313)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SUMIFS(RAB!$F$14:$F$62,RAB!$C$14:$C$62,C314)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SUMIFS(RAB!$F$14:$F$62,RAB!$C$14:$C$62,C315)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SUMIFS(RAB!$F$14:$F$62,RAB!$C$14:$C$62,C316)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SUMIFS(RAB!$F$14:$F$62,RAB!$C$14:$C$62,C317)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SUMIFS(RAB!$F$14:$F$62,RAB!$C$14:$C$62,C318)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SUMIFS(RAB!$F$14:$F$62,RAB!$C$14:$C$62,C319)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SUMIFS(RAB!$F$14:$F$62,RAB!$C$14:$C$62,C320)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SUMIFS(RAB!$F$14:$F$62,RAB!$C$14:$C$62,C321)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SUMIFS(RAB!$F$14:$F$62,RAB!$C$14:$C$62,C322)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SUMIFS(RAB!$F$14:$F$62,RAB!$C$14:$C$62,C323)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SUMIFS(RAB!$F$14:$F$62,RAB!$C$14:$C$62,C324)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SUMIFS(RAB!$F$14:$F$62,RAB!$C$14:$C$62,C325)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SUMIFS(RAB!$F$14:$F$62,RAB!$C$14:$C$62,C326)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SUMIFS(RAB!$F$14:$F$62,RAB!$C$14:$C$62,C327)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SUMIFS(RAB!$F$14:$F$62,RAB!$C$14:$C$62,C328)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SUMIFS(RAB!$F$14:$F$62,RAB!$C$14:$C$62,C329)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SUMIFS(RAB!$F$14:$F$62,RAB!$C$14:$C$62,C330)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SUMIFS(RAB!$F$14:$F$62,RAB!$C$14:$C$62,C331)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SUMIFS(RAB!$F$14:$F$62,RAB!$C$14:$C$62,C332)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SUMIFS(RAB!$F$14:$F$62,RAB!$C$14:$C$62,C333)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SUMIFS(RAB!$F$14:$F$62,RAB!$C$14:$C$62,C334)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SUMIFS(RAB!$F$14:$F$62,RAB!$C$14:$C$62,C335)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SUMIFS(RAB!$F$14:$F$62,RAB!$C$14:$C$62,C336)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SUMIFS(RAB!$F$14:$F$62,RAB!$C$14:$C$62,C337)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SUMIFS(RAB!$F$14:$F$62,RAB!$C$14:$C$62,C338)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SUMIFS(RAB!$F$14:$F$62,RAB!$C$14:$C$62,C339)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SUMIFS(RAB!$F$14:$F$62,RAB!$C$14:$C$62,C340)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SUMIFS(RAB!$F$14:$F$62,RAB!$C$14:$C$62,C341)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SUMIFS(RAB!$F$14:$F$62,RAB!$C$14:$C$62,C342)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SUMIFS(RAB!$F$14:$F$62,RAB!$C$14:$C$62,C343)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SUMIFS(RAB!$F$14:$F$62,RAB!$C$14:$C$62,C344)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SUMIFS(RAB!$F$14:$F$62,RAB!$C$14:$C$62,C345)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SUMIFS(RAB!$F$14:$F$62,RAB!$C$14:$C$62,C346)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SUMIFS(RAB!$F$14:$F$62,RAB!$C$14:$C$62,C347)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SUMIFS(RAB!$F$14:$F$62,RAB!$C$14:$C$62,C348)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SUMIFS(RAB!$F$14:$F$62,RAB!$C$14:$C$62,C349)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SUMIFS(RAB!$F$14:$F$62,RAB!$C$14:$C$62,C350)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SUMIFS(RAB!$F$14:$F$62,RAB!$C$14:$C$62,C351)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SUMIFS(RAB!$F$14:$F$62,RAB!$C$14:$C$62,C352)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SUMIFS(RAB!$F$14:$F$62,RAB!$C$14:$C$62,C353)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SUMIFS(RAB!$F$14:$F$62,RAB!$C$14:$C$62,C354)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SUMIFS(RAB!$F$14:$F$62,RAB!$C$14:$C$62,C355)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SUMIFS(RAB!$F$14:$F$62,RAB!$C$14:$C$62,C356)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SUMIFS(RAB!$F$14:$F$62,RAB!$C$14:$C$62,C357)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SUMIFS(RAB!$F$14:$F$62,RAB!$C$14:$C$62,C358)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SUMIFS(RAB!$F$14:$F$62,RAB!$C$14:$C$62,C359)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SUMIFS(RAB!$F$14:$F$62,RAB!$C$14:$C$62,C360)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SUMIFS(RAB!$F$14:$F$62,RAB!$C$14:$C$62,C361)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SUMIFS(RAB!$F$14:$F$62,RAB!$C$14:$C$62,C362)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SUMIFS(RAB!$F$14:$F$62,RAB!$C$14:$C$62,C363)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SUMIFS(RAB!$F$14:$F$62,RAB!$C$14:$C$62,C364)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SUMIFS(RAB!$F$14:$F$62,RAB!$C$14:$C$62,C365)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SUMIFS(RAB!$F$14:$F$62,RAB!$C$14:$C$62,C366)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SUMIFS(RAB!$F$14:$F$62,RAB!$C$14:$C$62,C367)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SUMIFS(RAB!$F$14:$F$62,RAB!$C$14:$C$62,C368)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SUMIFS(RAB!$F$14:$F$62,RAB!$C$14:$C$62,C369)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SUMIFS(RAB!$F$14:$F$62,RAB!$C$14:$C$62,C370)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SUMIFS(RAB!$F$14:$F$62,RAB!$C$14:$C$62,C371)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SUMIFS(RAB!$F$14:$F$62,RAB!$C$14:$C$62,C372)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SUMIFS(RAB!$F$14:$F$62,RAB!$C$14:$C$62,C373)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4" t="s">
        <v>41</v>
      </c>
      <c r="C2" s="55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5" t="s">
        <v>23</v>
      </c>
      <c r="C4" s="556" t="s">
        <v>1012</v>
      </c>
      <c r="D4" s="556" t="s">
        <v>42</v>
      </c>
      <c r="E4" s="555" t="s">
        <v>43</v>
      </c>
      <c r="F4" s="108" t="s">
        <v>1605</v>
      </c>
      <c r="G4" s="108" t="s">
        <v>1604</v>
      </c>
      <c r="H4" s="553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5"/>
      <c r="C5" s="556"/>
      <c r="D5" s="556"/>
      <c r="E5" s="555"/>
      <c r="F5" s="93"/>
      <c r="G5" s="93"/>
      <c r="H5" s="553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topLeftCell="A7" zoomScale="70" zoomScaleNormal="70" zoomScaleSheetLayoutView="85" workbookViewId="0">
      <selection activeCell="D13" sqref="D13:E1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1" t="s">
        <v>1454</v>
      </c>
      <c r="C2" s="561"/>
      <c r="D2" s="561"/>
      <c r="E2" s="56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6" t="s">
        <v>1532</v>
      </c>
      <c r="C4" s="567"/>
      <c r="D4" s="567"/>
      <c r="E4" s="568"/>
      <c r="F4" s="434"/>
      <c r="G4" s="434"/>
      <c r="H4" s="435"/>
      <c r="I4" s="591" t="s">
        <v>1533</v>
      </c>
      <c r="J4" s="592"/>
      <c r="K4" s="592"/>
      <c r="L4" s="593"/>
    </row>
    <row r="5" spans="1:12" ht="46.5" customHeight="1">
      <c r="A5" s="204"/>
      <c r="B5" s="437" t="s">
        <v>1379</v>
      </c>
      <c r="C5" s="277" t="s">
        <v>9</v>
      </c>
      <c r="D5" s="562" t="str">
        <f>DATA!D14</f>
        <v>MTS N 2 KALIREJO</v>
      </c>
      <c r="E5" s="563"/>
      <c r="F5" s="208"/>
      <c r="G5" s="208"/>
      <c r="I5" s="438" t="s">
        <v>1379</v>
      </c>
      <c r="J5" s="277" t="s">
        <v>9</v>
      </c>
      <c r="K5" s="594" t="str">
        <f>D5</f>
        <v>MTS N 2 KALIREJO</v>
      </c>
      <c r="L5" s="595"/>
    </row>
    <row r="6" spans="1:12" ht="31.5" customHeight="1">
      <c r="A6" s="204"/>
      <c r="B6" s="437" t="s">
        <v>1529</v>
      </c>
      <c r="C6" s="277" t="s">
        <v>9</v>
      </c>
      <c r="D6" s="571">
        <f>DATA!D17*1000</f>
        <v>11000</v>
      </c>
      <c r="E6" s="572"/>
      <c r="F6" s="208"/>
      <c r="G6" s="208"/>
      <c r="I6" s="438" t="s">
        <v>1530</v>
      </c>
      <c r="J6" s="277" t="s">
        <v>9</v>
      </c>
      <c r="K6" s="596">
        <f>DATA!D20*1000</f>
        <v>23000</v>
      </c>
      <c r="L6" s="597"/>
    </row>
    <row r="7" spans="1:12" ht="30.75" customHeight="1">
      <c r="A7" s="204"/>
      <c r="B7" s="437" t="s">
        <v>1441</v>
      </c>
      <c r="C7" s="277" t="s">
        <v>9</v>
      </c>
      <c r="D7" s="569">
        <f>DATA!D18</f>
        <v>1</v>
      </c>
      <c r="E7" s="570"/>
      <c r="F7" s="436" t="s">
        <v>1453</v>
      </c>
      <c r="I7" s="438" t="s">
        <v>1441</v>
      </c>
      <c r="J7" s="277" t="s">
        <v>9</v>
      </c>
      <c r="K7" s="598">
        <f>DATA!D21</f>
        <v>3</v>
      </c>
      <c r="L7" s="599"/>
    </row>
    <row r="8" spans="1:12" ht="51" customHeight="1">
      <c r="A8" s="204"/>
      <c r="B8" s="437" t="s">
        <v>1442</v>
      </c>
      <c r="C8" s="277" t="s">
        <v>9</v>
      </c>
      <c r="D8" s="569">
        <f>DATA!D19</f>
        <v>220</v>
      </c>
      <c r="E8" s="570"/>
      <c r="F8" s="436" t="s">
        <v>1453</v>
      </c>
      <c r="G8" s="431">
        <v>220</v>
      </c>
      <c r="I8" s="438" t="s">
        <v>1442</v>
      </c>
      <c r="J8" s="277" t="s">
        <v>9</v>
      </c>
      <c r="K8" s="598">
        <f>DATA!D22</f>
        <v>380</v>
      </c>
      <c r="L8" s="599"/>
    </row>
    <row r="9" spans="1:12" ht="30" customHeight="1" thickBot="1">
      <c r="A9" s="204"/>
      <c r="B9" s="443" t="s">
        <v>1541</v>
      </c>
      <c r="C9" s="433" t="s">
        <v>9</v>
      </c>
      <c r="D9" s="564">
        <f>IF(D7=1,D6/(380/3^0.5),(D6/(380*3^0.5)))</f>
        <v>50.138312850678027</v>
      </c>
      <c r="E9" s="565"/>
      <c r="F9" s="207"/>
      <c r="G9" s="432">
        <v>380</v>
      </c>
      <c r="I9" s="444" t="s">
        <v>1541</v>
      </c>
      <c r="J9" s="433" t="s">
        <v>9</v>
      </c>
      <c r="K9" s="600">
        <f>IF(K7=1,K6/(380/3^0.5),(K6/(380*3^0.5)))</f>
        <v>34.94488471410893</v>
      </c>
      <c r="L9" s="601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3" t="s">
        <v>1624</v>
      </c>
      <c r="E12" s="574"/>
      <c r="F12" s="208"/>
      <c r="G12" s="208"/>
      <c r="I12" s="460" t="s">
        <v>1534</v>
      </c>
      <c r="J12" s="461" t="s">
        <v>9</v>
      </c>
      <c r="K12" s="573" t="str">
        <f>D12</f>
        <v>K2-603/370/32</v>
      </c>
      <c r="L12" s="574"/>
    </row>
    <row r="13" spans="1:12" ht="31.5" customHeight="1">
      <c r="A13" s="204"/>
      <c r="B13" s="468" t="s">
        <v>1380</v>
      </c>
      <c r="C13" s="448" t="s">
        <v>9</v>
      </c>
      <c r="D13" s="577" t="s">
        <v>1625</v>
      </c>
      <c r="E13" s="578"/>
      <c r="F13" s="208"/>
      <c r="G13" s="208"/>
      <c r="I13" s="462" t="s">
        <v>1380</v>
      </c>
      <c r="J13" s="448" t="s">
        <v>9</v>
      </c>
      <c r="K13" s="577" t="str">
        <f>D13</f>
        <v>PWI11</v>
      </c>
      <c r="L13" s="578"/>
    </row>
    <row r="14" spans="1:12" ht="30.75" customHeight="1">
      <c r="A14" s="204"/>
      <c r="B14" s="468" t="s">
        <v>1535</v>
      </c>
      <c r="C14" s="448" t="s">
        <v>9</v>
      </c>
      <c r="D14" s="585">
        <v>50</v>
      </c>
      <c r="E14" s="586"/>
      <c r="F14" s="436" t="s">
        <v>1453</v>
      </c>
      <c r="G14" s="440">
        <v>50</v>
      </c>
      <c r="I14" s="462" t="s">
        <v>1535</v>
      </c>
      <c r="J14" s="448" t="s">
        <v>9</v>
      </c>
      <c r="K14" s="585">
        <v>100</v>
      </c>
      <c r="L14" s="586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7">
        <v>72</v>
      </c>
      <c r="E16" s="588"/>
      <c r="F16" s="436"/>
      <c r="G16" s="440">
        <v>160</v>
      </c>
      <c r="I16" s="462" t="s">
        <v>1537</v>
      </c>
      <c r="J16" s="448" t="s">
        <v>9</v>
      </c>
      <c r="K16" s="589">
        <f>K9</f>
        <v>34.94488471410893</v>
      </c>
      <c r="L16" s="590"/>
    </row>
    <row r="17" spans="1:12" ht="34.5" customHeight="1">
      <c r="A17" s="204"/>
      <c r="B17" s="468" t="s">
        <v>1538</v>
      </c>
      <c r="C17" s="448" t="s">
        <v>9</v>
      </c>
      <c r="D17" s="579">
        <f>IF(D15=1,D14/(20/3^0.5),(D14/(20*3^0.5)))</f>
        <v>1.4433756729740645</v>
      </c>
      <c r="E17" s="580"/>
      <c r="F17" s="436" t="s">
        <v>1453</v>
      </c>
      <c r="G17" s="441">
        <v>200</v>
      </c>
      <c r="I17" s="462" t="s">
        <v>1538</v>
      </c>
      <c r="J17" s="448" t="s">
        <v>9</v>
      </c>
      <c r="K17" s="583">
        <f>IF(K15=1,K14/(20/3^0.5),(K14/(20*3^0.5)))</f>
        <v>2.8867513459481291</v>
      </c>
      <c r="L17" s="584"/>
    </row>
    <row r="18" spans="1:12" ht="34.5" customHeight="1">
      <c r="A18" s="204"/>
      <c r="B18" s="468" t="s">
        <v>1539</v>
      </c>
      <c r="C18" s="448" t="s">
        <v>9</v>
      </c>
      <c r="D18" s="579">
        <f>IF(D15=1,D14/(380/3^0.5),(D14/(380*3^0.5)))*1000</f>
        <v>75.96714068284551</v>
      </c>
      <c r="E18" s="580"/>
      <c r="F18" s="436" t="s">
        <v>1453</v>
      </c>
      <c r="G18" s="441">
        <v>250</v>
      </c>
      <c r="I18" s="462" t="s">
        <v>1539</v>
      </c>
      <c r="J18" s="448" t="s">
        <v>9</v>
      </c>
      <c r="K18" s="583">
        <f>IF(K15=1,K14/(380/3^0.5),(K14/(380*3^0.5)))*1000</f>
        <v>151.93428136569102</v>
      </c>
      <c r="L18" s="584"/>
    </row>
    <row r="19" spans="1:12" ht="30" customHeight="1">
      <c r="A19" s="204"/>
      <c r="B19" s="469" t="s">
        <v>1531</v>
      </c>
      <c r="C19" s="447" t="s">
        <v>9</v>
      </c>
      <c r="D19" s="579">
        <f>IF(D15=1,D14/(380/3^0.5),(D14/(380*3^0.5)))</f>
        <v>7.5967140682845505E-2</v>
      </c>
      <c r="E19" s="580"/>
      <c r="F19" s="207"/>
      <c r="G19" s="432"/>
      <c r="I19" s="464" t="s">
        <v>1531</v>
      </c>
      <c r="J19" s="447" t="s">
        <v>9</v>
      </c>
      <c r="K19" s="583">
        <f>IF(K15=1,K14/(380/3^0.5),(K14/(380*3^0.5)))</f>
        <v>0.15193428136569101</v>
      </c>
      <c r="L19" s="584"/>
    </row>
    <row r="20" spans="1:12" ht="30" customHeight="1" thickBot="1">
      <c r="A20" s="204"/>
      <c r="B20" s="470" t="s">
        <v>1540</v>
      </c>
      <c r="C20" s="466" t="s">
        <v>9</v>
      </c>
      <c r="D20" s="575">
        <f>D16/D18</f>
        <v>0.94777820190168949</v>
      </c>
      <c r="E20" s="576"/>
      <c r="F20" s="207"/>
      <c r="G20" s="432"/>
      <c r="I20" s="465" t="s">
        <v>1531</v>
      </c>
      <c r="J20" s="466" t="s">
        <v>9</v>
      </c>
      <c r="K20" s="581">
        <f>K16/K18</f>
        <v>0.22999999999999998</v>
      </c>
      <c r="L20" s="582"/>
    </row>
    <row r="21" spans="1:12" ht="9.75" customHeight="1">
      <c r="A21" s="204"/>
      <c r="B21" s="455" t="s">
        <v>1540</v>
      </c>
      <c r="C21" s="456" t="s">
        <v>9</v>
      </c>
      <c r="D21" s="560">
        <v>1</v>
      </c>
      <c r="E21" s="560"/>
      <c r="F21" s="457"/>
      <c r="G21" s="458"/>
      <c r="H21" s="459"/>
      <c r="I21" s="455" t="s">
        <v>1531</v>
      </c>
      <c r="J21" s="456" t="s">
        <v>9</v>
      </c>
      <c r="K21" s="560">
        <v>1</v>
      </c>
      <c r="L21" s="560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7"/>
      <c r="C24" s="558"/>
      <c r="D24" s="558"/>
      <c r="E24" s="559"/>
      <c r="I24" s="557"/>
      <c r="J24" s="558"/>
      <c r="K24" s="558"/>
      <c r="L24" s="559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2"/>
      <c r="C1" s="602"/>
      <c r="D1" s="60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11628000</v>
      </c>
    </row>
    <row r="10" spans="2:11" ht="20.100000000000001" customHeight="1">
      <c r="B10" s="291" t="s">
        <v>1446</v>
      </c>
      <c r="C10" s="292" t="s">
        <v>9</v>
      </c>
      <c r="D10" s="298">
        <f ca="1">RAB!K68</f>
        <v>81575348.383499995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1631506.9676699999</v>
      </c>
    </row>
    <row r="12" spans="2:11" ht="9" customHeight="1">
      <c r="B12" s="603"/>
      <c r="C12" s="603"/>
      <c r="D12" s="603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1623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1619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11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23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900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900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4" t="s">
        <v>1357</v>
      </c>
      <c r="C3" s="604"/>
      <c r="D3" s="604"/>
      <c r="E3" s="604"/>
      <c r="F3" s="305" t="str">
        <f>DATA!D14</f>
        <v>MTS N 2 KALIREJO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06" t="s">
        <v>1359</v>
      </c>
      <c r="E5" s="606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9" t="s">
        <v>1363</v>
      </c>
      <c r="O5" s="606" t="s">
        <v>1364</v>
      </c>
      <c r="P5" s="606" t="s">
        <v>1365</v>
      </c>
      <c r="Q5" s="606" t="s">
        <v>1366</v>
      </c>
      <c r="R5" s="308"/>
      <c r="S5" s="309"/>
      <c r="T5" s="607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0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1920</v>
      </c>
      <c r="D7" s="316">
        <f>C7*4/24</f>
        <v>320</v>
      </c>
      <c r="E7" s="316">
        <f>C7-D7</f>
        <v>1600</v>
      </c>
      <c r="F7" s="317">
        <f ca="1">DATA!D10/1000000</f>
        <v>81.5753483835</v>
      </c>
      <c r="G7" s="318">
        <f ca="1">DATA!$D$11/1000000</f>
        <v>1.63150696767</v>
      </c>
      <c r="H7" s="318">
        <f>C7*DATA!$D$5/1000000</f>
        <v>2.0815200881022413</v>
      </c>
      <c r="I7" s="318">
        <f>(C7*DATA!$D$5*DATA!$D$7)/1000000</f>
        <v>4.6834201982300427E-2</v>
      </c>
      <c r="J7" s="316">
        <f ca="1">SUM(F7:I7)</f>
        <v>85.335209641254551</v>
      </c>
      <c r="K7" s="319">
        <f>DATA!D9/1000000</f>
        <v>11.628</v>
      </c>
      <c r="L7" s="316">
        <f>((D7*DATA!$D$23)/1000000)+((E7*DATA!$D$24)/1000000)</f>
        <v>1.728</v>
      </c>
      <c r="M7" s="316">
        <f>K7+L7</f>
        <v>13.356</v>
      </c>
      <c r="N7" s="316">
        <f ca="1">M7-J7</f>
        <v>-71.979209641254556</v>
      </c>
      <c r="O7" s="314">
        <v>1</v>
      </c>
      <c r="P7" s="316">
        <f ca="1">O7*N7</f>
        <v>-71.979209641254556</v>
      </c>
      <c r="Q7" s="316">
        <f ca="1">P7</f>
        <v>-71.979209641254556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5760</v>
      </c>
      <c r="D8" s="316">
        <f>C8*4/24</f>
        <v>960</v>
      </c>
      <c r="E8" s="316">
        <f t="shared" ref="E8:E32" si="0">C8-D8</f>
        <v>4800</v>
      </c>
      <c r="F8" s="314"/>
      <c r="G8" s="318">
        <f ca="1">DATA!$D$11/1000000</f>
        <v>1.63150696767</v>
      </c>
      <c r="H8" s="318">
        <f>C8*DATA!$D$5/1000000</f>
        <v>6.244560264306724</v>
      </c>
      <c r="I8" s="318">
        <f>(C8*DATA!$D$5*DATA!$D$7)/1000000</f>
        <v>0.14050260594690128</v>
      </c>
      <c r="J8" s="316">
        <f t="shared" ref="J8:J32" ca="1" si="1">SUM(F8:I8)</f>
        <v>8.0165698379236261</v>
      </c>
      <c r="K8" s="321"/>
      <c r="L8" s="316">
        <f>((D8*DATA!$D$23)/1000000)+((E8*DATA!$D$24)/1000000)</f>
        <v>5.1840000000000002</v>
      </c>
      <c r="M8" s="316">
        <f t="shared" ref="M8:M32" si="2">K8+L8</f>
        <v>5.1840000000000002</v>
      </c>
      <c r="N8" s="316">
        <f ca="1">M8-J8</f>
        <v>-2.8325698379236259</v>
      </c>
      <c r="O8" s="315">
        <f>1/(1+'[92]Asumsi I'!$C$3)^(KKF!A8)</f>
        <v>0.89285714285714279</v>
      </c>
      <c r="P8" s="316">
        <f ca="1">O8*N8</f>
        <v>-2.5290802124318086</v>
      </c>
      <c r="Q8" s="316">
        <f ca="1">Q7+P8</f>
        <v>-74.508289853686364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5760</v>
      </c>
      <c r="D9" s="316">
        <f t="shared" ref="D9:D32" si="5">C9*4/24</f>
        <v>960</v>
      </c>
      <c r="E9" s="316">
        <f t="shared" si="0"/>
        <v>4800</v>
      </c>
      <c r="F9" s="314"/>
      <c r="G9" s="318">
        <f ca="1">DATA!$D$11/1000000</f>
        <v>1.63150696767</v>
      </c>
      <c r="H9" s="318">
        <f>C9*DATA!$D$5/1000000</f>
        <v>6.244560264306724</v>
      </c>
      <c r="I9" s="318">
        <f>(C9*DATA!$D$5*DATA!$D$7)/1000000</f>
        <v>0.14050260594690128</v>
      </c>
      <c r="J9" s="316">
        <f t="shared" ca="1" si="1"/>
        <v>8.0165698379236261</v>
      </c>
      <c r="K9" s="316"/>
      <c r="L9" s="316">
        <f>((D9*DATA!$D$23)/1000000)+((E9*DATA!$D$24)/1000000)</f>
        <v>5.1840000000000002</v>
      </c>
      <c r="M9" s="316">
        <f t="shared" si="2"/>
        <v>5.1840000000000002</v>
      </c>
      <c r="N9" s="316">
        <f t="shared" ref="N9:N32" ca="1" si="6">M9-J9</f>
        <v>-2.8325698379236259</v>
      </c>
      <c r="O9" s="322">
        <f>1/(1+'[92]Asumsi I'!$C$3)^(KKF!A9)</f>
        <v>0.79719387755102034</v>
      </c>
      <c r="P9" s="316">
        <f t="shared" ref="P9:P32" ca="1" si="7">O9*N9</f>
        <v>-2.2581073325284007</v>
      </c>
      <c r="Q9" s="316">
        <f ca="1">Q8+P9</f>
        <v>-76.76639718621476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5760</v>
      </c>
      <c r="D10" s="316">
        <f t="shared" si="5"/>
        <v>960</v>
      </c>
      <c r="E10" s="316">
        <f t="shared" si="0"/>
        <v>4800</v>
      </c>
      <c r="F10" s="314"/>
      <c r="G10" s="318">
        <f ca="1">DATA!$D$11/1000000</f>
        <v>1.63150696767</v>
      </c>
      <c r="H10" s="318">
        <f>C10*DATA!$D$5/1000000</f>
        <v>6.244560264306724</v>
      </c>
      <c r="I10" s="318">
        <f>(C10*DATA!$D$5*DATA!$D$7)/1000000</f>
        <v>0.14050260594690128</v>
      </c>
      <c r="J10" s="316">
        <f t="shared" ca="1" si="1"/>
        <v>8.0165698379236261</v>
      </c>
      <c r="K10" s="314"/>
      <c r="L10" s="316">
        <f>((D10*DATA!$D$23)/1000000)+((E10*DATA!$D$24)/1000000)</f>
        <v>5.1840000000000002</v>
      </c>
      <c r="M10" s="316">
        <f t="shared" si="2"/>
        <v>5.1840000000000002</v>
      </c>
      <c r="N10" s="316">
        <f t="shared" ca="1" si="6"/>
        <v>-2.8325698379236259</v>
      </c>
      <c r="O10" s="315">
        <f>1/(1+'[92]Asumsi I'!$C$3)^(KKF!A10)</f>
        <v>0.71178024781341087</v>
      </c>
      <c r="P10" s="316">
        <f t="shared" ca="1" si="7"/>
        <v>-2.0161672611860717</v>
      </c>
      <c r="Q10" s="316">
        <f t="shared" ref="Q10:Q30" ca="1" si="9">Q9+P10</f>
        <v>-78.78256444740083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5760</v>
      </c>
      <c r="D11" s="316">
        <f t="shared" si="5"/>
        <v>960</v>
      </c>
      <c r="E11" s="316">
        <f t="shared" si="0"/>
        <v>4800</v>
      </c>
      <c r="F11" s="314"/>
      <c r="G11" s="318">
        <f ca="1">DATA!$D$11/1000000</f>
        <v>1.63150696767</v>
      </c>
      <c r="H11" s="318">
        <f>C11*DATA!$D$5/1000000</f>
        <v>6.244560264306724</v>
      </c>
      <c r="I11" s="318">
        <f>(C11*DATA!$D$5*DATA!$D$7)/1000000</f>
        <v>0.14050260594690128</v>
      </c>
      <c r="J11" s="316">
        <f t="shared" ca="1" si="1"/>
        <v>8.0165698379236261</v>
      </c>
      <c r="K11" s="314"/>
      <c r="L11" s="316">
        <f>((D11*DATA!$D$23)/1000000)+((E11*DATA!$D$24)/1000000)</f>
        <v>5.1840000000000002</v>
      </c>
      <c r="M11" s="316">
        <f t="shared" si="2"/>
        <v>5.1840000000000002</v>
      </c>
      <c r="N11" s="316">
        <f t="shared" ca="1" si="6"/>
        <v>-2.8325698379236259</v>
      </c>
      <c r="O11" s="315">
        <f>1/(1+'[92]Asumsi I'!$C$3)^(KKF!A11)</f>
        <v>0.63551807840483121</v>
      </c>
      <c r="P11" s="316">
        <f t="shared" ca="1" si="7"/>
        <v>-1.8001493403447069</v>
      </c>
      <c r="Q11" s="316">
        <f t="shared" ca="1" si="9"/>
        <v>-80.582713787745533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5760</v>
      </c>
      <c r="D12" s="316">
        <f t="shared" si="5"/>
        <v>960</v>
      </c>
      <c r="E12" s="316">
        <f t="shared" si="0"/>
        <v>4800</v>
      </c>
      <c r="F12" s="314"/>
      <c r="G12" s="318">
        <f ca="1">DATA!$D$11/1000000</f>
        <v>1.63150696767</v>
      </c>
      <c r="H12" s="318">
        <f>C12*DATA!$D$5/1000000</f>
        <v>6.244560264306724</v>
      </c>
      <c r="I12" s="318">
        <f>(C12*DATA!$D$5*DATA!$D$7)/1000000</f>
        <v>0.14050260594690128</v>
      </c>
      <c r="J12" s="316">
        <f t="shared" ca="1" si="1"/>
        <v>8.0165698379236261</v>
      </c>
      <c r="K12" s="314"/>
      <c r="L12" s="316">
        <f>((D12*DATA!$D$23)/1000000)+((E12*DATA!$D$24)/1000000)</f>
        <v>5.1840000000000002</v>
      </c>
      <c r="M12" s="316">
        <f t="shared" si="2"/>
        <v>5.1840000000000002</v>
      </c>
      <c r="N12" s="316">
        <f t="shared" ca="1" si="6"/>
        <v>-2.8325698379236259</v>
      </c>
      <c r="O12" s="315">
        <f>1/(1+'[92]Asumsi I'!$C$3)^(KKF!A12)</f>
        <v>0.56742685571859919</v>
      </c>
      <c r="P12" s="316">
        <f t="shared" ca="1" si="7"/>
        <v>-1.6072761967363451</v>
      </c>
      <c r="Q12" s="316">
        <f t="shared" ca="1" si="9"/>
        <v>-82.189989984481883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5760</v>
      </c>
      <c r="D13" s="316">
        <f t="shared" si="5"/>
        <v>960</v>
      </c>
      <c r="E13" s="316">
        <f t="shared" si="0"/>
        <v>4800</v>
      </c>
      <c r="F13" s="314"/>
      <c r="G13" s="318">
        <f ca="1">DATA!$D$11/1000000</f>
        <v>1.63150696767</v>
      </c>
      <c r="H13" s="318">
        <f>C13*DATA!$D$5/1000000</f>
        <v>6.244560264306724</v>
      </c>
      <c r="I13" s="318">
        <f>(C13*DATA!$D$5*DATA!$D$7)/1000000</f>
        <v>0.14050260594690128</v>
      </c>
      <c r="J13" s="316">
        <f t="shared" ca="1" si="1"/>
        <v>8.0165698379236261</v>
      </c>
      <c r="K13" s="314"/>
      <c r="L13" s="316">
        <f>((D13*DATA!$D$23)/1000000)+((E13*DATA!$D$24)/1000000)</f>
        <v>5.1840000000000002</v>
      </c>
      <c r="M13" s="316">
        <f t="shared" si="2"/>
        <v>5.1840000000000002</v>
      </c>
      <c r="N13" s="316">
        <f t="shared" ca="1" si="6"/>
        <v>-2.8325698379236259</v>
      </c>
      <c r="O13" s="315">
        <f>1/(1+'[92]Asumsi I'!$C$3)^(KKF!A13)</f>
        <v>0.50663112117732068</v>
      </c>
      <c r="P13" s="316">
        <f t="shared" ca="1" si="7"/>
        <v>-1.435068032800308</v>
      </c>
      <c r="Q13" s="316">
        <f t="shared" ca="1" si="9"/>
        <v>-83.625058017282186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5760</v>
      </c>
      <c r="D14" s="316">
        <f t="shared" si="5"/>
        <v>960</v>
      </c>
      <c r="E14" s="316">
        <f t="shared" si="0"/>
        <v>4800</v>
      </c>
      <c r="F14" s="314"/>
      <c r="G14" s="318">
        <f ca="1">DATA!$D$11/1000000</f>
        <v>1.63150696767</v>
      </c>
      <c r="H14" s="318">
        <f>C14*DATA!$D$5/1000000</f>
        <v>6.244560264306724</v>
      </c>
      <c r="I14" s="318">
        <f>(C14*DATA!$D$5*DATA!$D$7)/1000000</f>
        <v>0.14050260594690128</v>
      </c>
      <c r="J14" s="316">
        <f t="shared" ca="1" si="1"/>
        <v>8.0165698379236261</v>
      </c>
      <c r="K14" s="314"/>
      <c r="L14" s="316">
        <f>((D14*DATA!$D$23)/1000000)+((E14*DATA!$D$24)/1000000)</f>
        <v>5.1840000000000002</v>
      </c>
      <c r="M14" s="316">
        <f t="shared" si="2"/>
        <v>5.1840000000000002</v>
      </c>
      <c r="N14" s="316">
        <f t="shared" ca="1" si="6"/>
        <v>-2.8325698379236259</v>
      </c>
      <c r="O14" s="315">
        <f>1/(1+'[92]Asumsi I'!$C$3)^(KKF!A14)</f>
        <v>0.45234921533689343</v>
      </c>
      <c r="P14" s="316">
        <f t="shared" ca="1" si="7"/>
        <v>-1.2813107435717035</v>
      </c>
      <c r="Q14" s="316">
        <f t="shared" ca="1" si="9"/>
        <v>-84.906368760853894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5760</v>
      </c>
      <c r="D15" s="316">
        <f t="shared" si="5"/>
        <v>960</v>
      </c>
      <c r="E15" s="316">
        <f t="shared" si="0"/>
        <v>4800</v>
      </c>
      <c r="F15" s="314"/>
      <c r="G15" s="318">
        <f ca="1">DATA!$D$11/1000000</f>
        <v>1.63150696767</v>
      </c>
      <c r="H15" s="318">
        <f>C15*DATA!$D$5/1000000</f>
        <v>6.244560264306724</v>
      </c>
      <c r="I15" s="318">
        <f>(C15*DATA!$D$5*DATA!$D$7)/1000000</f>
        <v>0.14050260594690128</v>
      </c>
      <c r="J15" s="316">
        <f t="shared" ca="1" si="1"/>
        <v>8.0165698379236261</v>
      </c>
      <c r="K15" s="314"/>
      <c r="L15" s="316">
        <f>((D15*DATA!$D$23)/1000000)+((E15*DATA!$D$24)/1000000)</f>
        <v>5.1840000000000002</v>
      </c>
      <c r="M15" s="316">
        <f t="shared" si="2"/>
        <v>5.1840000000000002</v>
      </c>
      <c r="N15" s="316">
        <f t="shared" ca="1" si="6"/>
        <v>-2.8325698379236259</v>
      </c>
      <c r="O15" s="315">
        <f>1/(1+'[92]Asumsi I'!$C$3)^(KKF!A15)</f>
        <v>0.4038832279793691</v>
      </c>
      <c r="P15" s="316">
        <f t="shared" ca="1" si="7"/>
        <v>-1.1440274496175924</v>
      </c>
      <c r="Q15" s="316">
        <f t="shared" ca="1" si="9"/>
        <v>-86.05039621047149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5760</v>
      </c>
      <c r="D16" s="316">
        <f t="shared" si="5"/>
        <v>960</v>
      </c>
      <c r="E16" s="316">
        <f t="shared" si="0"/>
        <v>4800</v>
      </c>
      <c r="F16" s="314"/>
      <c r="G16" s="318">
        <f ca="1">DATA!$D$11/1000000</f>
        <v>1.63150696767</v>
      </c>
      <c r="H16" s="318">
        <f>C16*DATA!$D$5/1000000</f>
        <v>6.244560264306724</v>
      </c>
      <c r="I16" s="318">
        <f>(C16*DATA!$D$5*DATA!$D$7)/1000000</f>
        <v>0.14050260594690128</v>
      </c>
      <c r="J16" s="316">
        <f t="shared" ca="1" si="1"/>
        <v>8.0165698379236261</v>
      </c>
      <c r="K16" s="314"/>
      <c r="L16" s="316">
        <f>((D16*DATA!$D$23)/1000000)+((E16*DATA!$D$24)/1000000)</f>
        <v>5.1840000000000002</v>
      </c>
      <c r="M16" s="316">
        <f t="shared" si="2"/>
        <v>5.1840000000000002</v>
      </c>
      <c r="N16" s="316">
        <f t="shared" ca="1" si="6"/>
        <v>-2.8325698379236259</v>
      </c>
      <c r="O16" s="315">
        <f>1/(1+'[92]Asumsi I'!$C$3)^(KKF!A16)</f>
        <v>0.36061002498157957</v>
      </c>
      <c r="P16" s="316">
        <f t="shared" ca="1" si="7"/>
        <v>-1.0214530800157076</v>
      </c>
      <c r="Q16" s="316">
        <f t="shared" ca="1" si="9"/>
        <v>-87.071849290487194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5760</v>
      </c>
      <c r="D17" s="316">
        <f t="shared" si="5"/>
        <v>960</v>
      </c>
      <c r="E17" s="316">
        <f t="shared" si="0"/>
        <v>4800</v>
      </c>
      <c r="F17" s="314"/>
      <c r="G17" s="318">
        <f ca="1">DATA!$D$11/1000000</f>
        <v>1.63150696767</v>
      </c>
      <c r="H17" s="318">
        <f>C17*DATA!$D$5/1000000</f>
        <v>6.244560264306724</v>
      </c>
      <c r="I17" s="318">
        <f>(C17*DATA!$D$5*DATA!$D$7)/1000000</f>
        <v>0.14050260594690128</v>
      </c>
      <c r="J17" s="316">
        <f t="shared" ca="1" si="1"/>
        <v>8.0165698379236261</v>
      </c>
      <c r="K17" s="314"/>
      <c r="L17" s="316">
        <f>((D17*DATA!$D$23)/1000000)+((E17*DATA!$D$24)/1000000)</f>
        <v>5.1840000000000002</v>
      </c>
      <c r="M17" s="316">
        <f t="shared" si="2"/>
        <v>5.1840000000000002</v>
      </c>
      <c r="N17" s="316">
        <f t="shared" ca="1" si="6"/>
        <v>-2.8325698379236259</v>
      </c>
      <c r="O17" s="315">
        <f>1/(1+'[92]Asumsi I'!$C$3)^(KKF!A17)</f>
        <v>0.32197323659069599</v>
      </c>
      <c r="P17" s="316">
        <f t="shared" ca="1" si="7"/>
        <v>-0.91201167858545296</v>
      </c>
      <c r="Q17" s="316">
        <f t="shared" ca="1" si="9"/>
        <v>-87.983860969072651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5760</v>
      </c>
      <c r="D18" s="316">
        <f t="shared" si="5"/>
        <v>960</v>
      </c>
      <c r="E18" s="316">
        <f t="shared" si="0"/>
        <v>4800</v>
      </c>
      <c r="F18" s="314"/>
      <c r="G18" s="318">
        <f ca="1">DATA!$D$11/1000000</f>
        <v>1.63150696767</v>
      </c>
      <c r="H18" s="318">
        <f>C18*DATA!$D$5/1000000</f>
        <v>6.244560264306724</v>
      </c>
      <c r="I18" s="318">
        <f>(C18*DATA!$D$5*DATA!$D$7)/1000000</f>
        <v>0.14050260594690128</v>
      </c>
      <c r="J18" s="316">
        <f t="shared" ca="1" si="1"/>
        <v>8.0165698379236261</v>
      </c>
      <c r="K18" s="314"/>
      <c r="L18" s="316">
        <f>((D18*DATA!$D$23)/1000000)+((E18*DATA!$D$24)/1000000)</f>
        <v>5.1840000000000002</v>
      </c>
      <c r="M18" s="316">
        <f t="shared" si="2"/>
        <v>5.1840000000000002</v>
      </c>
      <c r="N18" s="316">
        <f t="shared" ca="1" si="6"/>
        <v>-2.8325698379236259</v>
      </c>
      <c r="O18" s="315">
        <f>1/(1+'[92]Asumsi I'!$C$3)^(KKF!A18)</f>
        <v>0.28747610409883567</v>
      </c>
      <c r="P18" s="316">
        <f t="shared" ca="1" si="7"/>
        <v>-0.81429614159415442</v>
      </c>
      <c r="Q18" s="316">
        <f t="shared" ca="1" si="9"/>
        <v>-88.798157110666807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5760</v>
      </c>
      <c r="D19" s="316">
        <f t="shared" si="5"/>
        <v>960</v>
      </c>
      <c r="E19" s="316">
        <f t="shared" si="0"/>
        <v>4800</v>
      </c>
      <c r="F19" s="314"/>
      <c r="G19" s="318">
        <f ca="1">DATA!$D$11/1000000</f>
        <v>1.63150696767</v>
      </c>
      <c r="H19" s="318">
        <f>C19*DATA!$D$5/1000000</f>
        <v>6.244560264306724</v>
      </c>
      <c r="I19" s="318">
        <f>(C19*DATA!$D$5*DATA!$D$7)/1000000</f>
        <v>0.14050260594690128</v>
      </c>
      <c r="J19" s="316">
        <f t="shared" ca="1" si="1"/>
        <v>8.0165698379236261</v>
      </c>
      <c r="K19" s="314"/>
      <c r="L19" s="316">
        <f>((D19*DATA!$D$23)/1000000)+((E19*DATA!$D$24)/1000000)</f>
        <v>5.1840000000000002</v>
      </c>
      <c r="M19" s="316">
        <f t="shared" si="2"/>
        <v>5.1840000000000002</v>
      </c>
      <c r="N19" s="316">
        <f t="shared" ca="1" si="6"/>
        <v>-2.8325698379236259</v>
      </c>
      <c r="O19" s="315">
        <f>1/(1+'[92]Asumsi I'!$C$3)^(KKF!A19)</f>
        <v>0.25667509294538904</v>
      </c>
      <c r="P19" s="316">
        <f t="shared" ca="1" si="7"/>
        <v>-0.72705012642335221</v>
      </c>
      <c r="Q19" s="316">
        <f t="shared" ca="1" si="9"/>
        <v>-89.525207237090157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5760</v>
      </c>
      <c r="D20" s="316">
        <f t="shared" si="5"/>
        <v>960</v>
      </c>
      <c r="E20" s="316">
        <f t="shared" si="0"/>
        <v>4800</v>
      </c>
      <c r="F20" s="314"/>
      <c r="G20" s="318">
        <f ca="1">DATA!$D$11/1000000</f>
        <v>1.63150696767</v>
      </c>
      <c r="H20" s="318">
        <f>C20*DATA!$D$5/1000000</f>
        <v>6.244560264306724</v>
      </c>
      <c r="I20" s="318">
        <f>(C20*DATA!$D$5*DATA!$D$7)/1000000</f>
        <v>0.14050260594690128</v>
      </c>
      <c r="J20" s="316">
        <f t="shared" ca="1" si="1"/>
        <v>8.0165698379236261</v>
      </c>
      <c r="K20" s="314"/>
      <c r="L20" s="316">
        <f>((D20*DATA!$D$23)/1000000)+((E20*DATA!$D$24)/1000000)</f>
        <v>5.1840000000000002</v>
      </c>
      <c r="M20" s="316">
        <f t="shared" si="2"/>
        <v>5.1840000000000002</v>
      </c>
      <c r="N20" s="316">
        <f t="shared" ca="1" si="6"/>
        <v>-2.8325698379236259</v>
      </c>
      <c r="O20" s="315">
        <f>1/(1+'[92]Asumsi I'!$C$3)^(KKF!A20)</f>
        <v>0.22917419012981158</v>
      </c>
      <c r="P20" s="316">
        <f t="shared" ca="1" si="7"/>
        <v>-0.64915189859227862</v>
      </c>
      <c r="Q20" s="316">
        <f t="shared" ca="1" si="9"/>
        <v>-90.174359135682437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5760</v>
      </c>
      <c r="D21" s="316">
        <f t="shared" si="5"/>
        <v>960</v>
      </c>
      <c r="E21" s="316">
        <f t="shared" si="0"/>
        <v>4800</v>
      </c>
      <c r="F21" s="314"/>
      <c r="G21" s="318">
        <f ca="1">DATA!$D$11/1000000</f>
        <v>1.63150696767</v>
      </c>
      <c r="H21" s="318">
        <f>C21*DATA!$D$5/1000000</f>
        <v>6.244560264306724</v>
      </c>
      <c r="I21" s="318">
        <f>(C21*DATA!$D$5*DATA!$D$7)/1000000</f>
        <v>0.14050260594690128</v>
      </c>
      <c r="J21" s="316">
        <f t="shared" ca="1" si="1"/>
        <v>8.0165698379236261</v>
      </c>
      <c r="K21" s="314"/>
      <c r="L21" s="316">
        <f>((D21*DATA!$D$23)/1000000)+((E21*DATA!$D$24)/1000000)</f>
        <v>5.1840000000000002</v>
      </c>
      <c r="M21" s="316">
        <f t="shared" si="2"/>
        <v>5.1840000000000002</v>
      </c>
      <c r="N21" s="316">
        <f t="shared" ca="1" si="6"/>
        <v>-2.8325698379236259</v>
      </c>
      <c r="O21" s="315">
        <f>1/(1+'[92]Asumsi I'!$C$3)^(KKF!A21)</f>
        <v>0.20461981261590317</v>
      </c>
      <c r="P21" s="316">
        <f t="shared" ca="1" si="7"/>
        <v>-0.57959990945739159</v>
      </c>
      <c r="Q21" s="316">
        <f t="shared" ca="1" si="9"/>
        <v>-90.753959045139823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5760</v>
      </c>
      <c r="D22" s="316">
        <f t="shared" si="5"/>
        <v>960</v>
      </c>
      <c r="E22" s="316">
        <f t="shared" si="0"/>
        <v>4800</v>
      </c>
      <c r="F22" s="314"/>
      <c r="G22" s="318">
        <f ca="1">DATA!$D$11/1000000</f>
        <v>1.63150696767</v>
      </c>
      <c r="H22" s="318">
        <f>C22*DATA!$D$5/1000000</f>
        <v>6.244560264306724</v>
      </c>
      <c r="I22" s="318">
        <f>(C22*DATA!$D$5*DATA!$D$7)/1000000</f>
        <v>0.14050260594690128</v>
      </c>
      <c r="J22" s="316">
        <f t="shared" ca="1" si="1"/>
        <v>8.0165698379236261</v>
      </c>
      <c r="K22" s="314"/>
      <c r="L22" s="316">
        <f>((D22*DATA!$D$23)/1000000)+((E22*DATA!$D$24)/1000000)</f>
        <v>5.1840000000000002</v>
      </c>
      <c r="M22" s="316">
        <f t="shared" si="2"/>
        <v>5.1840000000000002</v>
      </c>
      <c r="N22" s="316">
        <f t="shared" ca="1" si="6"/>
        <v>-2.8325698379236259</v>
      </c>
      <c r="O22" s="315">
        <f>1/(1+'[92]Asumsi I'!$C$3)^(KKF!A22)</f>
        <v>0.18269626126419927</v>
      </c>
      <c r="P22" s="316">
        <f t="shared" ca="1" si="7"/>
        <v>-0.51749991915838534</v>
      </c>
      <c r="Q22" s="316">
        <f t="shared" ca="1" si="9"/>
        <v>-91.271458964298205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5760</v>
      </c>
      <c r="D23" s="316">
        <f t="shared" si="5"/>
        <v>960</v>
      </c>
      <c r="E23" s="316">
        <f t="shared" si="0"/>
        <v>4800</v>
      </c>
      <c r="F23" s="314"/>
      <c r="G23" s="318">
        <f ca="1">DATA!$D$11/1000000</f>
        <v>1.63150696767</v>
      </c>
      <c r="H23" s="318">
        <f>C23*DATA!$D$5/1000000</f>
        <v>6.244560264306724</v>
      </c>
      <c r="I23" s="318">
        <f>(C23*DATA!$D$5*DATA!$D$7)/1000000</f>
        <v>0.14050260594690128</v>
      </c>
      <c r="J23" s="316">
        <f t="shared" ca="1" si="1"/>
        <v>8.0165698379236261</v>
      </c>
      <c r="K23" s="314"/>
      <c r="L23" s="316">
        <f>((D23*DATA!$D$23)/1000000)+((E23*DATA!$D$24)/1000000)</f>
        <v>5.1840000000000002</v>
      </c>
      <c r="M23" s="316">
        <f t="shared" si="2"/>
        <v>5.1840000000000002</v>
      </c>
      <c r="N23" s="316">
        <f t="shared" ca="1" si="6"/>
        <v>-2.8325698379236259</v>
      </c>
      <c r="O23" s="315">
        <f>1/(1+'[92]Asumsi I'!$C$3)^(KKF!A23)</f>
        <v>0.16312166184303503</v>
      </c>
      <c r="P23" s="316">
        <f t="shared" ca="1" si="7"/>
        <v>-0.46205349924855826</v>
      </c>
      <c r="Q23" s="316">
        <f t="shared" ca="1" si="9"/>
        <v>-91.733512463546759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5760</v>
      </c>
      <c r="D24" s="316">
        <f t="shared" si="5"/>
        <v>960</v>
      </c>
      <c r="E24" s="316">
        <f t="shared" si="0"/>
        <v>4800</v>
      </c>
      <c r="F24" s="314"/>
      <c r="G24" s="318">
        <f ca="1">DATA!$D$11/1000000</f>
        <v>1.63150696767</v>
      </c>
      <c r="H24" s="318">
        <f>C24*DATA!$D$5/1000000</f>
        <v>6.244560264306724</v>
      </c>
      <c r="I24" s="318">
        <f>(C24*DATA!$D$5*DATA!$D$7)/1000000</f>
        <v>0.14050260594690128</v>
      </c>
      <c r="J24" s="316">
        <f t="shared" ca="1" si="1"/>
        <v>8.0165698379236261</v>
      </c>
      <c r="K24" s="314"/>
      <c r="L24" s="316">
        <f>((D24*DATA!$D$23)/1000000)+((E24*DATA!$D$24)/1000000)</f>
        <v>5.1840000000000002</v>
      </c>
      <c r="M24" s="316">
        <f t="shared" si="2"/>
        <v>5.1840000000000002</v>
      </c>
      <c r="N24" s="316">
        <f t="shared" ca="1" si="6"/>
        <v>-2.8325698379236259</v>
      </c>
      <c r="O24" s="315">
        <f>1/(1+'[92]Asumsi I'!$C$3)^(KKF!A24)</f>
        <v>0.14564434093128129</v>
      </c>
      <c r="P24" s="316">
        <f t="shared" ca="1" si="7"/>
        <v>-0.41254776718621272</v>
      </c>
      <c r="Q24" s="316">
        <f t="shared" ca="1" si="9"/>
        <v>-92.146060230732971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5760</v>
      </c>
      <c r="D25" s="316">
        <f t="shared" si="5"/>
        <v>960</v>
      </c>
      <c r="E25" s="316">
        <f t="shared" si="0"/>
        <v>4800</v>
      </c>
      <c r="F25" s="314"/>
      <c r="G25" s="318">
        <f ca="1">DATA!$D$11/1000000</f>
        <v>1.63150696767</v>
      </c>
      <c r="H25" s="318">
        <f>C25*DATA!$D$5/1000000</f>
        <v>6.244560264306724</v>
      </c>
      <c r="I25" s="318">
        <f>(C25*DATA!$D$5*DATA!$D$7)/1000000</f>
        <v>0.14050260594690128</v>
      </c>
      <c r="J25" s="316">
        <f t="shared" ca="1" si="1"/>
        <v>8.0165698379236261</v>
      </c>
      <c r="K25" s="314"/>
      <c r="L25" s="316">
        <f>((D25*DATA!$D$23)/1000000)+((E25*DATA!$D$24)/1000000)</f>
        <v>5.1840000000000002</v>
      </c>
      <c r="M25" s="316">
        <f t="shared" si="2"/>
        <v>5.1840000000000002</v>
      </c>
      <c r="N25" s="316">
        <f t="shared" ca="1" si="6"/>
        <v>-2.8325698379236259</v>
      </c>
      <c r="O25" s="315">
        <f>1/(1+'[92]Asumsi I'!$C$3)^(KKF!A25)</f>
        <v>0.13003959011721541</v>
      </c>
      <c r="P25" s="316">
        <f t="shared" ca="1" si="7"/>
        <v>-0.36834622070197559</v>
      </c>
      <c r="Q25" s="316">
        <f t="shared" ca="1" si="9"/>
        <v>-92.514406451434951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5760</v>
      </c>
      <c r="D26" s="316">
        <f t="shared" si="5"/>
        <v>960</v>
      </c>
      <c r="E26" s="316">
        <f t="shared" si="0"/>
        <v>4800</v>
      </c>
      <c r="F26" s="314"/>
      <c r="G26" s="318">
        <f ca="1">DATA!$D$11/1000000</f>
        <v>1.63150696767</v>
      </c>
      <c r="H26" s="318">
        <f>C26*DATA!$D$5/1000000</f>
        <v>6.244560264306724</v>
      </c>
      <c r="I26" s="318">
        <f>(C26*DATA!$D$5*DATA!$D$7)/1000000</f>
        <v>0.14050260594690128</v>
      </c>
      <c r="J26" s="316">
        <f t="shared" ca="1" si="1"/>
        <v>8.0165698379236261</v>
      </c>
      <c r="K26" s="314"/>
      <c r="L26" s="316">
        <f>((D26*DATA!$D$23)/1000000)+((E26*DATA!$D$24)/1000000)</f>
        <v>5.1840000000000002</v>
      </c>
      <c r="M26" s="316">
        <f t="shared" si="2"/>
        <v>5.1840000000000002</v>
      </c>
      <c r="N26" s="316">
        <f t="shared" ca="1" si="6"/>
        <v>-2.8325698379236259</v>
      </c>
      <c r="O26" s="315">
        <f>1/(1+'[92]Asumsi I'!$C$3)^(KKF!A26)</f>
        <v>0.1161067768903709</v>
      </c>
      <c r="P26" s="316">
        <f t="shared" ca="1" si="7"/>
        <v>-0.32888055419819251</v>
      </c>
      <c r="Q26" s="316">
        <f t="shared" ca="1" si="9"/>
        <v>-92.843287005633144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5760</v>
      </c>
      <c r="D27" s="316">
        <f t="shared" si="5"/>
        <v>960</v>
      </c>
      <c r="E27" s="316">
        <f t="shared" si="0"/>
        <v>4800</v>
      </c>
      <c r="F27" s="314"/>
      <c r="G27" s="318">
        <f ca="1">DATA!$D$11/1000000</f>
        <v>1.63150696767</v>
      </c>
      <c r="H27" s="318">
        <f>C27*DATA!$D$5/1000000</f>
        <v>6.244560264306724</v>
      </c>
      <c r="I27" s="318">
        <f>(C27*DATA!$D$5*DATA!$D$7)/1000000</f>
        <v>0.14050260594690128</v>
      </c>
      <c r="J27" s="316">
        <f t="shared" ca="1" si="1"/>
        <v>8.0165698379236261</v>
      </c>
      <c r="K27" s="314"/>
      <c r="L27" s="316">
        <f>((D27*DATA!$D$23)/1000000)+((E27*DATA!$D$24)/1000000)</f>
        <v>5.1840000000000002</v>
      </c>
      <c r="M27" s="316">
        <f t="shared" si="2"/>
        <v>5.1840000000000002</v>
      </c>
      <c r="N27" s="316">
        <f t="shared" ca="1" si="6"/>
        <v>-2.8325698379236259</v>
      </c>
      <c r="O27" s="315">
        <f>1/(1+'[92]Asumsi I'!$C$3)^(KKF!A27)</f>
        <v>0.1036667650806883</v>
      </c>
      <c r="P27" s="316">
        <f t="shared" ca="1" si="7"/>
        <v>-0.29364335196267183</v>
      </c>
      <c r="Q27" s="316">
        <f t="shared" ca="1" si="9"/>
        <v>-93.136930357595816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5760</v>
      </c>
      <c r="D28" s="316">
        <f t="shared" si="5"/>
        <v>960</v>
      </c>
      <c r="E28" s="316">
        <f t="shared" si="0"/>
        <v>4800</v>
      </c>
      <c r="F28" s="314"/>
      <c r="G28" s="318">
        <f ca="1">DATA!$D$11/1000000</f>
        <v>1.63150696767</v>
      </c>
      <c r="H28" s="318">
        <f>C28*DATA!$D$5/1000000</f>
        <v>6.244560264306724</v>
      </c>
      <c r="I28" s="318">
        <f>(C28*DATA!$D$5*DATA!$D$7)/1000000</f>
        <v>0.14050260594690128</v>
      </c>
      <c r="J28" s="316">
        <f t="shared" ca="1" si="1"/>
        <v>8.0165698379236261</v>
      </c>
      <c r="K28" s="314"/>
      <c r="L28" s="316">
        <f>((D28*DATA!$D$23)/1000000)+((E28*DATA!$D$24)/1000000)</f>
        <v>5.1840000000000002</v>
      </c>
      <c r="M28" s="316">
        <f t="shared" si="2"/>
        <v>5.1840000000000002</v>
      </c>
      <c r="N28" s="316">
        <f t="shared" ca="1" si="6"/>
        <v>-2.8325698379236259</v>
      </c>
      <c r="O28" s="315">
        <f>1/(1+'[92]Asumsi I'!$C$3)^(KKF!A28)</f>
        <v>9.2559611679185971E-2</v>
      </c>
      <c r="P28" s="316">
        <f t="shared" ca="1" si="7"/>
        <v>-0.26218156425238553</v>
      </c>
      <c r="Q28" s="316">
        <f t="shared" ca="1" si="9"/>
        <v>-93.399111921848203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5760</v>
      </c>
      <c r="D29" s="316">
        <f t="shared" si="5"/>
        <v>960</v>
      </c>
      <c r="E29" s="316">
        <f t="shared" si="0"/>
        <v>4800</v>
      </c>
      <c r="F29" s="314"/>
      <c r="G29" s="318">
        <f ca="1">DATA!$D$11/1000000</f>
        <v>1.63150696767</v>
      </c>
      <c r="H29" s="318">
        <f>C29*DATA!$D$5/1000000</f>
        <v>6.244560264306724</v>
      </c>
      <c r="I29" s="318">
        <f>(C29*DATA!$D$5*DATA!$D$7)/1000000</f>
        <v>0.14050260594690128</v>
      </c>
      <c r="J29" s="316">
        <f t="shared" ca="1" si="1"/>
        <v>8.0165698379236261</v>
      </c>
      <c r="K29" s="314"/>
      <c r="L29" s="316">
        <f>((D29*DATA!$D$23)/1000000)+((E29*DATA!$D$24)/1000000)</f>
        <v>5.1840000000000002</v>
      </c>
      <c r="M29" s="316">
        <f t="shared" si="2"/>
        <v>5.1840000000000002</v>
      </c>
      <c r="N29" s="316">
        <f t="shared" ca="1" si="6"/>
        <v>-2.8325698379236259</v>
      </c>
      <c r="O29" s="315">
        <f>1/(1+'[92]Asumsi I'!$C$3)^(KKF!A29)</f>
        <v>8.2642510427844609E-2</v>
      </c>
      <c r="P29" s="316">
        <f t="shared" ca="1" si="7"/>
        <v>-0.23409068236820138</v>
      </c>
      <c r="Q29" s="316">
        <f t="shared" ca="1" si="9"/>
        <v>-93.633202604216407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5760</v>
      </c>
      <c r="D30" s="316">
        <f t="shared" si="5"/>
        <v>960</v>
      </c>
      <c r="E30" s="316">
        <f t="shared" si="0"/>
        <v>4800</v>
      </c>
      <c r="F30" s="314"/>
      <c r="G30" s="318">
        <f ca="1">DATA!$D$11/1000000</f>
        <v>1.63150696767</v>
      </c>
      <c r="H30" s="318">
        <f>C30*DATA!$D$5/1000000</f>
        <v>6.244560264306724</v>
      </c>
      <c r="I30" s="318">
        <f>(C30*DATA!$D$5*DATA!$D$7)/1000000</f>
        <v>0.14050260594690128</v>
      </c>
      <c r="J30" s="316">
        <f t="shared" ca="1" si="1"/>
        <v>8.0165698379236261</v>
      </c>
      <c r="K30" s="314"/>
      <c r="L30" s="316">
        <f>((D30*DATA!$D$23)/1000000)+((E30*DATA!$D$24)/1000000)</f>
        <v>5.1840000000000002</v>
      </c>
      <c r="M30" s="316">
        <f t="shared" si="2"/>
        <v>5.1840000000000002</v>
      </c>
      <c r="N30" s="316">
        <f t="shared" ca="1" si="6"/>
        <v>-2.8325698379236259</v>
      </c>
      <c r="O30" s="315">
        <f>1/(1+'[92]Asumsi I'!$C$3)^(KKF!A30)</f>
        <v>7.3787955739146982E-2</v>
      </c>
      <c r="P30" s="316">
        <f t="shared" ca="1" si="7"/>
        <v>-0.20900953782875126</v>
      </c>
      <c r="Q30" s="316">
        <f t="shared" ca="1" si="9"/>
        <v>-93.842212142045156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5760</v>
      </c>
      <c r="D31" s="316">
        <f t="shared" si="5"/>
        <v>960</v>
      </c>
      <c r="E31" s="316">
        <f t="shared" si="0"/>
        <v>4800</v>
      </c>
      <c r="F31" s="314"/>
      <c r="G31" s="318">
        <f ca="1">DATA!$D$11/1000000</f>
        <v>1.63150696767</v>
      </c>
      <c r="H31" s="318">
        <f>C31*DATA!$D$5/1000000</f>
        <v>6.244560264306724</v>
      </c>
      <c r="I31" s="318">
        <f>(C31*DATA!$D$5*DATA!$D$7)/1000000</f>
        <v>0.14050260594690128</v>
      </c>
      <c r="J31" s="316">
        <f t="shared" ca="1" si="1"/>
        <v>8.0165698379236261</v>
      </c>
      <c r="K31" s="314"/>
      <c r="L31" s="316">
        <f>((D31*DATA!$D$23)/1000000)+((E31*DATA!$D$24)/1000000)</f>
        <v>5.1840000000000002</v>
      </c>
      <c r="M31" s="316">
        <f t="shared" si="2"/>
        <v>5.1840000000000002</v>
      </c>
      <c r="N31" s="316">
        <f t="shared" ca="1" si="6"/>
        <v>-2.8325698379236259</v>
      </c>
      <c r="O31" s="315">
        <f>1/(1+'[92]Asumsi I'!$C$3)^(KKF!A31)</f>
        <v>6.5882103338524081E-2</v>
      </c>
      <c r="P31" s="316">
        <f t="shared" ca="1" si="7"/>
        <v>-0.18661565877567074</v>
      </c>
      <c r="Q31" s="316">
        <f ca="1">Q30+P31</f>
        <v>-94.028827800820821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5760</v>
      </c>
      <c r="D32" s="316">
        <f t="shared" si="5"/>
        <v>960</v>
      </c>
      <c r="E32" s="316">
        <f t="shared" si="0"/>
        <v>4800</v>
      </c>
      <c r="F32" s="314"/>
      <c r="G32" s="318">
        <f ca="1">DATA!$D$11/1000000</f>
        <v>1.63150696767</v>
      </c>
      <c r="H32" s="318">
        <f>C32*DATA!$D$5/1000000</f>
        <v>6.244560264306724</v>
      </c>
      <c r="I32" s="318">
        <f>(C32*DATA!$D$5*DATA!$D$7)/1000000</f>
        <v>0.14050260594690128</v>
      </c>
      <c r="J32" s="316">
        <f t="shared" ca="1" si="1"/>
        <v>8.0165698379236261</v>
      </c>
      <c r="K32" s="314"/>
      <c r="L32" s="316">
        <f>((D32*DATA!$D$23)/1000000)+((E32*DATA!$D$24)/1000000)</f>
        <v>5.1840000000000002</v>
      </c>
      <c r="M32" s="316">
        <f t="shared" si="2"/>
        <v>5.1840000000000002</v>
      </c>
      <c r="N32" s="316">
        <f t="shared" ca="1" si="6"/>
        <v>-2.8325698379236259</v>
      </c>
      <c r="O32" s="315">
        <f>1/(1+'[92]Asumsi I'!$C$3)^(KKF!A32)</f>
        <v>5.8823306552253637E-2</v>
      </c>
      <c r="P32" s="316">
        <f t="shared" ca="1" si="7"/>
        <v>-0.16662112390684886</v>
      </c>
      <c r="Q32" s="316">
        <f ca="1">Q31+P32</f>
        <v>-94.195448924727671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8" t="s">
        <v>1374</v>
      </c>
      <c r="G33" s="608"/>
      <c r="H33" s="608"/>
      <c r="I33" s="324"/>
      <c r="J33" s="325">
        <f ca="1">SUM(J7:J32)</f>
        <v>285.74945558934496</v>
      </c>
      <c r="K33" s="608" t="s">
        <v>1375</v>
      </c>
      <c r="L33" s="608"/>
      <c r="M33" s="325">
        <f>SUM(M7:M32)</f>
        <v>142.95599999999996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-30.126427422459699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0.50028441770837273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-84.103079397078275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83"/>
  <sheetViews>
    <sheetView showGridLines="0" tabSelected="1" zoomScale="85" zoomScaleNormal="85" zoomScaleSheetLayoutView="70" workbookViewId="0">
      <pane ySplit="13" topLeftCell="A65" activePane="bottomLeft" state="frozen"/>
      <selection activeCell="H1093" sqref="H1093"/>
      <selection pane="bottomLeft" activeCell="I75" sqref="I75:K75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1" t="s">
        <v>1036</v>
      </c>
      <c r="P3" s="611"/>
      <c r="Q3" s="346"/>
      <c r="T3" s="344"/>
      <c r="U3" s="345" t="s">
        <v>1041</v>
      </c>
      <c r="V3" s="344"/>
    </row>
    <row r="4" spans="1:22" ht="18.75">
      <c r="B4" s="612" t="s">
        <v>1023</v>
      </c>
      <c r="C4" s="612"/>
      <c r="D4" s="612"/>
      <c r="E4" s="612"/>
      <c r="F4" s="612"/>
      <c r="G4" s="612"/>
      <c r="H4" s="612"/>
      <c r="I4" s="612"/>
      <c r="J4" s="612"/>
      <c r="K4" s="612"/>
      <c r="O4" s="611"/>
      <c r="P4" s="61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8" t="str">
        <f>DATA!D14</f>
        <v>MTS N 2 KALIREJO</v>
      </c>
      <c r="H6" s="629"/>
      <c r="I6" s="629"/>
      <c r="J6" s="629"/>
      <c r="K6" s="62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4" t="s">
        <v>0</v>
      </c>
      <c r="C11" s="616" t="s">
        <v>1</v>
      </c>
      <c r="D11" s="619" t="s">
        <v>42</v>
      </c>
      <c r="E11" s="619" t="s">
        <v>43</v>
      </c>
      <c r="F11" s="619" t="s">
        <v>2</v>
      </c>
      <c r="G11" s="621" t="s">
        <v>41</v>
      </c>
      <c r="H11" s="619" t="s">
        <v>3</v>
      </c>
      <c r="I11" s="619"/>
      <c r="J11" s="619"/>
      <c r="K11" s="639"/>
      <c r="O11" s="351"/>
      <c r="P11" s="352"/>
      <c r="Q11" s="351"/>
      <c r="S11" s="353"/>
      <c r="T11" s="354"/>
      <c r="U11" s="354"/>
      <c r="V11" s="354"/>
    </row>
    <row r="12" spans="1:22">
      <c r="B12" s="615"/>
      <c r="C12" s="617"/>
      <c r="D12" s="620"/>
      <c r="E12" s="620"/>
      <c r="F12" s="620"/>
      <c r="G12" s="622"/>
      <c r="H12" s="624" t="s">
        <v>46</v>
      </c>
      <c r="I12" s="624" t="s">
        <v>5</v>
      </c>
      <c r="J12" s="620" t="s">
        <v>47</v>
      </c>
      <c r="K12" s="640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5"/>
      <c r="C13" s="618"/>
      <c r="D13" s="620"/>
      <c r="E13" s="620"/>
      <c r="F13" s="620"/>
      <c r="G13" s="623"/>
      <c r="H13" s="625"/>
      <c r="I13" s="625"/>
      <c r="J13" s="620"/>
      <c r="K13" s="640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1611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1627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3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710">
        <v>1</v>
      </c>
      <c r="C18" s="109" t="s">
        <v>1197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3">
        <f>F17*1</f>
        <v>1</v>
      </c>
      <c r="G18" s="360">
        <f ca="1">IF(ISERROR(OFFSET('HARGA SATUAN'!$I$6,MATCH(RAB!C18,'HARGA SATUAN'!$C$7:$C$1492,0),0)),0,OFFSET('HARGA SATUAN'!$I$6,MATCH(RAB!C18,'HARGA SATUAN'!$C$7:$C$1492,0),0))</f>
        <v>1427400</v>
      </c>
      <c r="H18" s="361">
        <f t="shared" ca="1" si="8"/>
        <v>1427400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1427400</v>
      </c>
    </row>
    <row r="19" spans="2:11">
      <c r="B19" s="710">
        <v>2</v>
      </c>
      <c r="C19" s="711" t="s">
        <v>512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13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710">
        <v>3</v>
      </c>
      <c r="C20" s="711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13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710">
        <v>4</v>
      </c>
      <c r="C21" s="711" t="s">
        <v>78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13">
        <v>100</v>
      </c>
      <c r="G21" s="360">
        <f ca="1">IF(ISERROR(OFFSET('HARGA SATUAN'!$I$6,MATCH(RAB!C21,'HARGA SATUAN'!$C$7:$C$1492,0),0)),0,OFFSET('HARGA SATUAN'!$I$6,MATCH(RAB!C21,'HARGA SATUAN'!$C$7:$C$1492,0),0))</f>
        <v>23600</v>
      </c>
      <c r="H21" s="361">
        <f t="shared" ca="1" si="8"/>
        <v>0</v>
      </c>
      <c r="I21" s="361">
        <f t="shared" ca="1" si="9"/>
        <v>2360000</v>
      </c>
      <c r="J21" s="361">
        <f t="shared" ca="1" si="10"/>
        <v>0</v>
      </c>
      <c r="K21" s="362">
        <f t="shared" ca="1" si="11"/>
        <v>2360000</v>
      </c>
    </row>
    <row r="22" spans="2:11">
      <c r="B22" s="710">
        <v>5</v>
      </c>
      <c r="C22" s="711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13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0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43" ca="1" si="12">IF(OR(D23="MDU",D23="MDU-KD"),(IF($O$3="RAB NON MDU","PLN KD",G23*F23)),0)</f>
        <v>0</v>
      </c>
      <c r="I23" s="361">
        <f t="shared" ref="I23:I43" ca="1" si="13">IF(D23="HDW",G23*F23,0)</f>
        <v>0</v>
      </c>
      <c r="J23" s="361">
        <f t="shared" ref="J23:J43" ca="1" si="14">IF(D23="JASA",G23*F23,0)</f>
        <v>0</v>
      </c>
      <c r="K23" s="362">
        <f t="shared" ref="K23:K43" ca="1" si="15">SUM(H23:J23)</f>
        <v>0</v>
      </c>
    </row>
    <row r="24" spans="2:11">
      <c r="B24" s="499" t="s">
        <v>505</v>
      </c>
      <c r="C24" s="496" t="s">
        <v>1614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2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12" t="s">
        <v>1035</v>
      </c>
      <c r="C25" s="514" t="s">
        <v>1620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72">
        <v>1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2:11">
      <c r="B26" s="512">
        <v>1</v>
      </c>
      <c r="C26" s="109" t="s">
        <v>1147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72">
        <f>F25*1</f>
        <v>1</v>
      </c>
      <c r="G26" s="360">
        <f ca="1">IF(ISERROR(OFFSET('HARGA SATUAN'!$I$6,MATCH(RAB!C26,'HARGA SATUAN'!$C$7:$C$1492,0),0)),0,OFFSET('HARGA SATUAN'!$I$6,MATCH(RAB!C26,'HARGA SATUAN'!$C$7:$C$1492,0),0))</f>
        <v>56838600</v>
      </c>
      <c r="H26" s="361">
        <f t="shared" ca="1" si="12"/>
        <v>56838600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56838600</v>
      </c>
    </row>
    <row r="27" spans="2:11">
      <c r="B27" s="501">
        <v>2</v>
      </c>
      <c r="C27" s="503" t="s">
        <v>1612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4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</row>
    <row r="28" spans="2:11">
      <c r="B28" s="512"/>
      <c r="C28" s="503" t="s">
        <v>65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472"/>
      <c r="G28" s="360">
        <f ca="1">IF(ISERROR(OFFSET('HARGA SATUAN'!$I$6,MATCH(RAB!C28,'HARGA SATUAN'!$C$7:$C$1492,0),0)),0,OFFSET('HARGA SATUAN'!$I$6,MATCH(RAB!C28,'HARGA SATUAN'!$C$7:$C$1492,0),0))</f>
        <v>14200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512"/>
      <c r="C29" s="503" t="s">
        <v>1613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72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2"/>
        <v>0</v>
      </c>
      <c r="I29" s="361">
        <f t="shared" ca="1" si="13"/>
        <v>0</v>
      </c>
      <c r="J29" s="361">
        <f t="shared" ca="1" si="14"/>
        <v>0</v>
      </c>
      <c r="K29" s="362">
        <f t="shared" ca="1" si="15"/>
        <v>0</v>
      </c>
    </row>
    <row r="30" spans="2:11">
      <c r="B30" s="512">
        <v>3</v>
      </c>
      <c r="C30" s="109" t="s">
        <v>559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72"/>
      <c r="G30" s="360">
        <f ca="1">IF(ISERROR(OFFSET('HARGA SATUAN'!$I$6,MATCH(RAB!C30,'HARGA SATUAN'!$C$7:$C$1492,0),0)),0,OFFSET('HARGA SATUAN'!$I$6,MATCH(RAB!C30,'HARGA SATUAN'!$C$7:$C$1492,0),0))</f>
        <v>725900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</row>
    <row r="31" spans="2:11">
      <c r="B31" s="512">
        <v>4</v>
      </c>
      <c r="C31" s="514" t="s">
        <v>535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72"/>
      <c r="G31" s="360">
        <f ca="1">IF(ISERROR(OFFSET('HARGA SATUAN'!$I$6,MATCH(RAB!C31,'HARGA SATUAN'!$C$7:$C$1492,0),0)),0,OFFSET('HARGA SATUAN'!$I$6,MATCH(RAB!C31,'HARGA SATUAN'!$C$7:$C$1492,0),0))</f>
        <v>848250</v>
      </c>
      <c r="H31" s="361">
        <f t="shared" ca="1" si="12"/>
        <v>0</v>
      </c>
      <c r="I31" s="361">
        <f t="shared" ca="1" si="13"/>
        <v>0</v>
      </c>
      <c r="J31" s="361">
        <f t="shared" ca="1" si="14"/>
        <v>0</v>
      </c>
      <c r="K31" s="362">
        <f t="shared" ca="1" si="15"/>
        <v>0</v>
      </c>
    </row>
    <row r="32" spans="2:11">
      <c r="B32" s="512">
        <v>5</v>
      </c>
      <c r="C32" s="514" t="s">
        <v>55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72"/>
      <c r="G32" s="360">
        <f ca="1">IF(ISERROR(OFFSET('HARGA SATUAN'!$I$6,MATCH(RAB!C32,'HARGA SATUAN'!$C$7:$C$1492,0),0)),0,OFFSET('HARGA SATUAN'!$I$6,MATCH(RAB!C32,'HARGA SATUAN'!$C$7:$C$1492,0),0))</f>
        <v>18000</v>
      </c>
      <c r="H32" s="361">
        <f t="shared" ca="1" si="12"/>
        <v>0</v>
      </c>
      <c r="I32" s="361">
        <f t="shared" ca="1" si="13"/>
        <v>0</v>
      </c>
      <c r="J32" s="361">
        <f t="shared" ca="1" si="14"/>
        <v>0</v>
      </c>
      <c r="K32" s="362">
        <f t="shared" ca="1" si="15"/>
        <v>0</v>
      </c>
    </row>
    <row r="33" spans="2:11">
      <c r="B33" s="512">
        <v>6</v>
      </c>
      <c r="C33" s="514" t="s">
        <v>1621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472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" ca="1" si="16">IF(OR(D33="MDU",D33="MDU-KD"),(IF($O$3="RAB NON MDU","PLN KD",G33*F33)),0)</f>
        <v>0</v>
      </c>
      <c r="I33" s="361">
        <f t="shared" ref="I33" ca="1" si="17">IF(D33="HDW",G33*F33,0)</f>
        <v>0</v>
      </c>
      <c r="J33" s="361">
        <f t="shared" ref="J33" ca="1" si="18">IF(D33="JASA",G33*F33,0)</f>
        <v>0</v>
      </c>
      <c r="K33" s="362">
        <f t="shared" ref="K33" ca="1" si="19">SUM(H33:J33)</f>
        <v>0</v>
      </c>
    </row>
    <row r="34" spans="2:11">
      <c r="B34" s="512">
        <v>7</v>
      </c>
      <c r="C34" s="514" t="s">
        <v>163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72"/>
      <c r="G34" s="360">
        <f ca="1">IF(ISERROR(OFFSET('HARGA SATUAN'!$I$6,MATCH(RAB!C34,'HARGA SATUAN'!$C$7:$C$1492,0),0)),0,OFFSET('HARGA SATUAN'!$I$6,MATCH(RAB!C34,'HARGA SATUAN'!$C$7:$C$1492,0),0))</f>
        <v>7938</v>
      </c>
      <c r="H34" s="361">
        <f t="shared" ca="1" si="12"/>
        <v>0</v>
      </c>
      <c r="I34" s="361">
        <f t="shared" ca="1" si="13"/>
        <v>0</v>
      </c>
      <c r="J34" s="361">
        <f t="shared" ca="1" si="14"/>
        <v>0</v>
      </c>
      <c r="K34" s="362">
        <f t="shared" ca="1" si="15"/>
        <v>0</v>
      </c>
    </row>
    <row r="35" spans="2:11">
      <c r="B35" s="512">
        <v>8</v>
      </c>
      <c r="C35" s="514" t="s">
        <v>176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72"/>
      <c r="G35" s="360">
        <f ca="1">IF(ISERROR(OFFSET('HARGA SATUAN'!$I$6,MATCH(RAB!C35,'HARGA SATUAN'!$C$7:$C$1492,0),0)),0,OFFSET('HARGA SATUAN'!$I$6,MATCH(RAB!C35,'HARGA SATUAN'!$C$7:$C$1492,0),0))</f>
        <v>404600</v>
      </c>
      <c r="H35" s="361">
        <f t="shared" ca="1" si="12"/>
        <v>0</v>
      </c>
      <c r="I35" s="361">
        <f t="shared" ca="1" si="13"/>
        <v>0</v>
      </c>
      <c r="J35" s="361">
        <f t="shared" ca="1" si="14"/>
        <v>0</v>
      </c>
      <c r="K35" s="362">
        <f t="shared" ca="1" si="15"/>
        <v>0</v>
      </c>
    </row>
    <row r="36" spans="2:11">
      <c r="B36" s="512">
        <v>9</v>
      </c>
      <c r="C36" s="514" t="s">
        <v>184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72"/>
      <c r="G36" s="360">
        <f ca="1">IF(ISERROR(OFFSET('HARGA SATUAN'!$I$6,MATCH(RAB!C36,'HARGA SATUAN'!$C$7:$C$1492,0),0)),0,OFFSET('HARGA SATUAN'!$I$6,MATCH(RAB!C36,'HARGA SATUAN'!$C$7:$C$1492,0),0))</f>
        <v>15900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0</v>
      </c>
      <c r="K36" s="362">
        <f t="shared" ca="1" si="15"/>
        <v>0</v>
      </c>
    </row>
    <row r="37" spans="2:11">
      <c r="B37" s="512">
        <v>10</v>
      </c>
      <c r="C37" s="514" t="s">
        <v>592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72"/>
      <c r="G37" s="360">
        <f ca="1">IF(ISERROR(OFFSET('HARGA SATUAN'!$I$6,MATCH(RAB!C37,'HARGA SATUAN'!$C$7:$C$1492,0),0)),0,OFFSET('HARGA SATUAN'!$I$6,MATCH(RAB!C37,'HARGA SATUAN'!$C$7:$C$1492,0),0))</f>
        <v>283100</v>
      </c>
      <c r="H37" s="361">
        <f t="shared" ca="1" si="12"/>
        <v>0</v>
      </c>
      <c r="I37" s="361">
        <f t="shared" ca="1" si="13"/>
        <v>0</v>
      </c>
      <c r="J37" s="361">
        <f t="shared" ca="1" si="14"/>
        <v>0</v>
      </c>
      <c r="K37" s="362">
        <f t="shared" ca="1" si="15"/>
        <v>0</v>
      </c>
    </row>
    <row r="38" spans="2:11">
      <c r="B38" s="512">
        <v>11</v>
      </c>
      <c r="C38" s="514" t="s">
        <v>593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72"/>
      <c r="G38" s="360">
        <f ca="1">IF(ISERROR(OFFSET('HARGA SATUAN'!$I$6,MATCH(RAB!C38,'HARGA SATUAN'!$C$7:$C$1492,0),0)),0,OFFSET('HARGA SATUAN'!$I$6,MATCH(RAB!C38,'HARGA SATUAN'!$C$7:$C$1492,0),0))</f>
        <v>380500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0</v>
      </c>
      <c r="K38" s="362">
        <f t="shared" ca="1" si="15"/>
        <v>0</v>
      </c>
    </row>
    <row r="39" spans="2:11">
      <c r="B39" s="512">
        <v>12</v>
      </c>
      <c r="C39" s="514" t="s">
        <v>208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72"/>
      <c r="G39" s="360">
        <f ca="1">IF(ISERROR(OFFSET('HARGA SATUAN'!$I$6,MATCH(RAB!C39,'HARGA SATUAN'!$C$7:$C$1492,0),0)),0,OFFSET('HARGA SATUAN'!$I$6,MATCH(RAB!C39,'HARGA SATUAN'!$C$7:$C$1492,0),0))</f>
        <v>173400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</row>
    <row r="40" spans="2:11">
      <c r="B40" s="512">
        <v>13</v>
      </c>
      <c r="C40" s="514" t="s">
        <v>247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72"/>
      <c r="G40" s="360">
        <f ca="1">IF(ISERROR(OFFSET('HARGA SATUAN'!$I$6,MATCH(RAB!C40,'HARGA SATUAN'!$C$7:$C$1492,0),0)),0,OFFSET('HARGA SATUAN'!$I$6,MATCH(RAB!C40,'HARGA SATUAN'!$C$7:$C$1492,0),0))</f>
        <v>57690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</row>
    <row r="41" spans="2:11">
      <c r="B41" s="512">
        <v>14</v>
      </c>
      <c r="C41" s="514" t="s">
        <v>234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72"/>
      <c r="G41" s="360">
        <f ca="1">IF(ISERROR(OFFSET('HARGA SATUAN'!$I$6,MATCH(RAB!C41,'HARGA SATUAN'!$C$7:$C$1492,0),0)),0,OFFSET('HARGA SATUAN'!$I$6,MATCH(RAB!C41,'HARGA SATUAN'!$C$7:$C$1492,0),0))</f>
        <v>67500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512">
        <v>15</v>
      </c>
      <c r="C42" s="514" t="s">
        <v>267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72"/>
      <c r="G42" s="360">
        <f ca="1">IF(ISERROR(OFFSET('HARGA SATUAN'!$I$6,MATCH(RAB!C42,'HARGA SATUAN'!$C$7:$C$1492,0),0)),0,OFFSET('HARGA SATUAN'!$I$6,MATCH(RAB!C42,'HARGA SATUAN'!$C$7:$C$1492,0),0))</f>
        <v>129000</v>
      </c>
      <c r="H42" s="361">
        <f t="shared" ca="1" si="12"/>
        <v>0</v>
      </c>
      <c r="I42" s="361">
        <f t="shared" ca="1" si="13"/>
        <v>0</v>
      </c>
      <c r="J42" s="361">
        <f t="shared" ca="1" si="14"/>
        <v>0</v>
      </c>
      <c r="K42" s="362">
        <f t="shared" ca="1" si="15"/>
        <v>0</v>
      </c>
    </row>
    <row r="43" spans="2:11">
      <c r="B43" s="512">
        <v>16</v>
      </c>
      <c r="C43" s="514" t="s">
        <v>607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72"/>
      <c r="G43" s="360">
        <f ca="1">IF(ISERROR(OFFSET('HARGA SATUAN'!$I$6,MATCH(RAB!C43,'HARGA SATUAN'!$C$7:$C$1492,0),0)),0,OFFSET('HARGA SATUAN'!$I$6,MATCH(RAB!C43,'HARGA SATUAN'!$C$7:$C$1492,0),0))</f>
        <v>250000</v>
      </c>
      <c r="H43" s="361">
        <f t="shared" ca="1" si="12"/>
        <v>0</v>
      </c>
      <c r="I43" s="361">
        <f t="shared" ca="1" si="13"/>
        <v>0</v>
      </c>
      <c r="J43" s="361">
        <f t="shared" ca="1" si="14"/>
        <v>0</v>
      </c>
      <c r="K43" s="362">
        <f t="shared" ca="1" si="15"/>
        <v>0</v>
      </c>
    </row>
    <row r="44" spans="2:11">
      <c r="B44" s="512">
        <v>17</v>
      </c>
      <c r="C44" s="514" t="s">
        <v>784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472">
        <f>F25*1</f>
        <v>1</v>
      </c>
      <c r="G44" s="360">
        <f ca="1">IF(ISERROR(OFFSET('HARGA SATUAN'!$I$6,MATCH(RAB!C44,'HARGA SATUAN'!$C$7:$C$1492,0),0)),0,OFFSET('HARGA SATUAN'!$I$6,MATCH(RAB!C44,'HARGA SATUAN'!$C$7:$C$1492,0),0))</f>
        <v>2953300</v>
      </c>
      <c r="H44" s="361">
        <f t="shared" ref="H44" ca="1" si="20">IF(OR(D44="MDU",D44="MDU-KD"),(IF($O$3="RAB NON MDU","PLN KD",G44*F44)),0)</f>
        <v>0</v>
      </c>
      <c r="I44" s="361">
        <f t="shared" ref="I44" ca="1" si="21">IF(D44="HDW",G44*F44,0)</f>
        <v>0</v>
      </c>
      <c r="J44" s="361">
        <f t="shared" ref="J44" ca="1" si="22">IF(D44="JASA",G44*F44,0)</f>
        <v>2953300</v>
      </c>
      <c r="K44" s="362">
        <f t="shared" ref="K44" ca="1" si="23">SUM(H44:J44)</f>
        <v>2953300</v>
      </c>
    </row>
    <row r="45" spans="2:11">
      <c r="B45" s="512"/>
      <c r="C45" s="514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472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48" ca="1" si="24">IF(OR(D45="MDU",D45="MDU-KD"),(IF($O$3="RAB NON MDU","PLN KD",G45*F45)),0)</f>
        <v>0</v>
      </c>
      <c r="I45" s="361">
        <f t="shared" ref="I45:I48" ca="1" si="25">IF(D45="HDW",G45*F45,0)</f>
        <v>0</v>
      </c>
      <c r="J45" s="361">
        <f t="shared" ref="J45:J48" ca="1" si="26">IF(D45="JASA",G45*F45,0)</f>
        <v>0</v>
      </c>
      <c r="K45" s="362">
        <f t="shared" ref="K45:K48" ca="1" si="27">SUM(H45:J45)</f>
        <v>0</v>
      </c>
    </row>
    <row r="46" spans="2:11">
      <c r="B46" s="710" t="s">
        <v>1035</v>
      </c>
      <c r="C46" s="712" t="s">
        <v>965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72">
        <v>1</v>
      </c>
      <c r="G46" s="360">
        <f ca="1">IF(ISERROR(OFFSET('HARGA SATUAN'!$I$6,MATCH(RAB!C46,'HARGA SATUAN'!$C$7:$C$1492,0),0)),0,OFFSET('HARGA SATUAN'!$I$6,MATCH(RAB!C46,'HARGA SATUAN'!$C$7:$C$1492,0),0))</f>
        <v>1771980</v>
      </c>
      <c r="H46" s="361">
        <f t="shared" ca="1" si="24"/>
        <v>0</v>
      </c>
      <c r="I46" s="361">
        <f t="shared" ca="1" si="25"/>
        <v>0</v>
      </c>
      <c r="J46" s="361">
        <f t="shared" ca="1" si="26"/>
        <v>1771980</v>
      </c>
      <c r="K46" s="362">
        <f t="shared" ca="1" si="27"/>
        <v>1771980</v>
      </c>
    </row>
    <row r="47" spans="2:11">
      <c r="B47" s="512"/>
      <c r="C47" s="514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472">
        <f t="shared" ref="F45:F48" si="28">F28*1</f>
        <v>0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4"/>
        <v>0</v>
      </c>
      <c r="I47" s="361">
        <f t="shared" ca="1" si="25"/>
        <v>0</v>
      </c>
      <c r="J47" s="361">
        <f t="shared" ca="1" si="26"/>
        <v>0</v>
      </c>
      <c r="K47" s="362">
        <f t="shared" ca="1" si="27"/>
        <v>0</v>
      </c>
    </row>
    <row r="48" spans="2:11">
      <c r="B48" s="512"/>
      <c r="C48" s="514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472">
        <f t="shared" si="28"/>
        <v>0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4"/>
        <v>0</v>
      </c>
      <c r="I48" s="361">
        <f t="shared" ca="1" si="25"/>
        <v>0</v>
      </c>
      <c r="J48" s="361">
        <f t="shared" ca="1" si="26"/>
        <v>0</v>
      </c>
      <c r="K48" s="362">
        <f t="shared" ca="1" si="27"/>
        <v>0</v>
      </c>
    </row>
    <row r="49" spans="2:11">
      <c r="B49" s="499" t="s">
        <v>524</v>
      </c>
      <c r="C49" s="496" t="s">
        <v>1616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472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" ca="1" si="29">IF(OR(D49="MDU",D49="MDU-KD"),(IF($O$3="RAB NON MDU","PLN KD",G49*F49)),0)</f>
        <v>0</v>
      </c>
      <c r="I49" s="361">
        <f t="shared" ref="I49" ca="1" si="30">IF(D49="HDW",G49*F49,0)</f>
        <v>0</v>
      </c>
      <c r="J49" s="361">
        <f t="shared" ref="J49" ca="1" si="31">IF(D49="JASA",G49*F49,0)</f>
        <v>0</v>
      </c>
      <c r="K49" s="362">
        <f t="shared" ref="K49" ca="1" si="32">SUM(H49:J49)</f>
        <v>0</v>
      </c>
    </row>
    <row r="50" spans="2:11">
      <c r="B50" s="501" t="s">
        <v>1035</v>
      </c>
      <c r="C50" s="510" t="s">
        <v>1617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472">
        <v>2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:H61" ca="1" si="33">IF(OR(D50="MDU",D50="MDU-KD"),(IF($O$3="RAB NON MDU","PLN KD",G50*F50)),0)</f>
        <v>0</v>
      </c>
      <c r="I50" s="361">
        <f t="shared" ref="I50:I61" ca="1" si="34">IF(D50="HDW",G50*F50,0)</f>
        <v>0</v>
      </c>
      <c r="J50" s="361">
        <f t="shared" ref="J50:J61" ca="1" si="35">IF(D50="JASA",G50*F50,0)</f>
        <v>0</v>
      </c>
      <c r="K50" s="362">
        <f t="shared" ref="K50:K61" ca="1" si="36">SUM(H50:J50)</f>
        <v>0</v>
      </c>
    </row>
    <row r="51" spans="2:11">
      <c r="B51" s="501">
        <v>1</v>
      </c>
      <c r="C51" s="509" t="s">
        <v>29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72">
        <f>F50*1</f>
        <v>2</v>
      </c>
      <c r="G51" s="360">
        <f ca="1">IF(ISERROR(OFFSET('HARGA SATUAN'!$I$6,MATCH(RAB!C51,'HARGA SATUAN'!$C$7:$C$1492,0),0)),0,OFFSET('HARGA SATUAN'!$I$6,MATCH(RAB!C51,'HARGA SATUAN'!$C$7:$C$1492,0),0))</f>
        <v>185200</v>
      </c>
      <c r="H51" s="361">
        <f t="shared" ca="1" si="33"/>
        <v>0</v>
      </c>
      <c r="I51" s="361">
        <f t="shared" ca="1" si="34"/>
        <v>370400</v>
      </c>
      <c r="J51" s="361">
        <f t="shared" ca="1" si="35"/>
        <v>0</v>
      </c>
      <c r="K51" s="362">
        <f t="shared" ca="1" si="36"/>
        <v>370400</v>
      </c>
    </row>
    <row r="52" spans="2:11">
      <c r="B52" s="506">
        <v>2</v>
      </c>
      <c r="C52" s="507" t="s">
        <v>30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72">
        <f>F50*1</f>
        <v>2</v>
      </c>
      <c r="G52" s="360">
        <f ca="1">IF(ISERROR(OFFSET('HARGA SATUAN'!$I$6,MATCH(RAB!C52,'HARGA SATUAN'!$C$7:$C$1492,0),0)),0,OFFSET('HARGA SATUAN'!$I$6,MATCH(RAB!C52,'HARGA SATUAN'!$C$7:$C$1492,0),0))</f>
        <v>47459</v>
      </c>
      <c r="H52" s="361">
        <f t="shared" ca="1" si="33"/>
        <v>0</v>
      </c>
      <c r="I52" s="361">
        <f t="shared" ca="1" si="34"/>
        <v>94918</v>
      </c>
      <c r="J52" s="361">
        <f t="shared" ca="1" si="35"/>
        <v>0</v>
      </c>
      <c r="K52" s="362">
        <f t="shared" ca="1" si="36"/>
        <v>94918</v>
      </c>
    </row>
    <row r="53" spans="2:11">
      <c r="B53" s="506">
        <v>3</v>
      </c>
      <c r="C53" s="507" t="s">
        <v>31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72">
        <f>F50*1</f>
        <v>2</v>
      </c>
      <c r="G53" s="360">
        <f ca="1">IF(ISERROR(OFFSET('HARGA SATUAN'!$I$6,MATCH(RAB!C53,'HARGA SATUAN'!$C$7:$C$1492,0),0)),0,OFFSET('HARGA SATUAN'!$I$6,MATCH(RAB!C53,'HARGA SATUAN'!$C$7:$C$1492,0),0))</f>
        <v>4880</v>
      </c>
      <c r="H53" s="361">
        <f t="shared" ca="1" si="33"/>
        <v>0</v>
      </c>
      <c r="I53" s="361">
        <f t="shared" ca="1" si="34"/>
        <v>9760</v>
      </c>
      <c r="J53" s="361">
        <f t="shared" ca="1" si="35"/>
        <v>0</v>
      </c>
      <c r="K53" s="362">
        <f t="shared" ca="1" si="36"/>
        <v>9760</v>
      </c>
    </row>
    <row r="54" spans="2:11">
      <c r="B54" s="506">
        <v>4</v>
      </c>
      <c r="C54" s="507" t="s">
        <v>32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472">
        <f>F50*10</f>
        <v>20</v>
      </c>
      <c r="G54" s="360">
        <f ca="1">IF(ISERROR(OFFSET('HARGA SATUAN'!$I$6,MATCH(RAB!C54,'HARGA SATUAN'!$C$7:$C$1492,0),0)),0,OFFSET('HARGA SATUAN'!$I$6,MATCH(RAB!C54,'HARGA SATUAN'!$C$7:$C$1492,0),0))</f>
        <v>30000</v>
      </c>
      <c r="H54" s="361">
        <f t="shared" ca="1" si="33"/>
        <v>0</v>
      </c>
      <c r="I54" s="361">
        <f t="shared" ca="1" si="34"/>
        <v>600000</v>
      </c>
      <c r="J54" s="361">
        <f t="shared" ca="1" si="35"/>
        <v>0</v>
      </c>
      <c r="K54" s="362">
        <f t="shared" ca="1" si="36"/>
        <v>600000</v>
      </c>
    </row>
    <row r="55" spans="2:11">
      <c r="B55" s="506">
        <v>5</v>
      </c>
      <c r="C55" s="507" t="s">
        <v>33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72">
        <f>F50*2</f>
        <v>4</v>
      </c>
      <c r="G55" s="360">
        <f ca="1">IF(ISERROR(OFFSET('HARGA SATUAN'!$I$6,MATCH(RAB!C55,'HARGA SATUAN'!$C$7:$C$1492,0),0)),0,OFFSET('HARGA SATUAN'!$I$6,MATCH(RAB!C55,'HARGA SATUAN'!$C$7:$C$1492,0),0))</f>
        <v>9500</v>
      </c>
      <c r="H55" s="361">
        <f t="shared" ca="1" si="33"/>
        <v>0</v>
      </c>
      <c r="I55" s="361">
        <f t="shared" ca="1" si="34"/>
        <v>38000</v>
      </c>
      <c r="J55" s="361">
        <f t="shared" ca="1" si="35"/>
        <v>0</v>
      </c>
      <c r="K55" s="362">
        <f t="shared" ca="1" si="36"/>
        <v>38000</v>
      </c>
    </row>
    <row r="56" spans="2:11">
      <c r="B56" s="506">
        <v>6</v>
      </c>
      <c r="C56" s="507" t="s">
        <v>34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72">
        <f>F50*5.5</f>
        <v>11</v>
      </c>
      <c r="G56" s="360">
        <f ca="1">IF(ISERROR(OFFSET('HARGA SATUAN'!$I$6,MATCH(RAB!C56,'HARGA SATUAN'!$C$7:$C$1492,0),0)),0,OFFSET('HARGA SATUAN'!$I$6,MATCH(RAB!C56,'HARGA SATUAN'!$C$7:$C$1492,0),0))</f>
        <v>6100</v>
      </c>
      <c r="H56" s="361">
        <f t="shared" ca="1" si="33"/>
        <v>0</v>
      </c>
      <c r="I56" s="361">
        <f t="shared" ca="1" si="34"/>
        <v>67100</v>
      </c>
      <c r="J56" s="361">
        <f t="shared" ca="1" si="35"/>
        <v>0</v>
      </c>
      <c r="K56" s="362">
        <f t="shared" ca="1" si="36"/>
        <v>67100</v>
      </c>
    </row>
    <row r="57" spans="2:11">
      <c r="B57" s="506">
        <v>7</v>
      </c>
      <c r="C57" s="507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72">
        <f>F50*6</f>
        <v>12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33"/>
        <v>0</v>
      </c>
      <c r="I57" s="361">
        <f t="shared" ca="1" si="34"/>
        <v>27600</v>
      </c>
      <c r="J57" s="361">
        <f t="shared" ca="1" si="35"/>
        <v>0</v>
      </c>
      <c r="K57" s="362">
        <f t="shared" ca="1" si="36"/>
        <v>27600</v>
      </c>
    </row>
    <row r="58" spans="2:11">
      <c r="B58" s="506">
        <v>8</v>
      </c>
      <c r="C58" s="507" t="s">
        <v>1618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472">
        <f>F50*4.8</f>
        <v>9.6</v>
      </c>
      <c r="G58" s="360">
        <f ca="1">IF(ISERROR(OFFSET('HARGA SATUAN'!$I$6,MATCH(RAB!C58,'HARGA SATUAN'!$C$7:$C$1492,0),0)),0,OFFSET('HARGA SATUAN'!$I$6,MATCH(RAB!C58,'HARGA SATUAN'!$C$7:$C$1492,0),0))</f>
        <v>23310</v>
      </c>
      <c r="H58" s="361">
        <f t="shared" ca="1" si="33"/>
        <v>0</v>
      </c>
      <c r="I58" s="361">
        <f t="shared" ca="1" si="34"/>
        <v>223776</v>
      </c>
      <c r="J58" s="361">
        <f t="shared" ca="1" si="35"/>
        <v>0</v>
      </c>
      <c r="K58" s="362">
        <f t="shared" ca="1" si="36"/>
        <v>223776</v>
      </c>
    </row>
    <row r="59" spans="2:11">
      <c r="B59" s="506">
        <v>9</v>
      </c>
      <c r="C59" s="507" t="s">
        <v>736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72">
        <f>F50*1</f>
        <v>2</v>
      </c>
      <c r="G59" s="360">
        <f ca="1">IF(ISERROR(OFFSET('HARGA SATUAN'!$I$6,MATCH(RAB!C59,'HARGA SATUAN'!$C$7:$C$1492,0),0)),0,OFFSET('HARGA SATUAN'!$I$6,MATCH(RAB!C59,'HARGA SATUAN'!$C$7:$C$1492,0),0))</f>
        <v>65400</v>
      </c>
      <c r="H59" s="361">
        <f t="shared" ca="1" si="33"/>
        <v>0</v>
      </c>
      <c r="I59" s="361">
        <f t="shared" ca="1" si="34"/>
        <v>0</v>
      </c>
      <c r="J59" s="361">
        <f t="shared" ca="1" si="35"/>
        <v>130800</v>
      </c>
      <c r="K59" s="362">
        <f t="shared" ca="1" si="36"/>
        <v>130800</v>
      </c>
    </row>
    <row r="60" spans="2:11">
      <c r="B60" s="506"/>
      <c r="C60" s="507"/>
      <c r="D60" s="358"/>
      <c r="E60" s="359"/>
      <c r="F60" s="472"/>
      <c r="G60" s="360"/>
      <c r="H60" s="361"/>
      <c r="I60" s="361"/>
      <c r="J60" s="361"/>
      <c r="K60" s="362"/>
    </row>
    <row r="61" spans="2:11">
      <c r="B61" s="367"/>
      <c r="C61" s="109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472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3"/>
        <v>0</v>
      </c>
      <c r="I61" s="361">
        <f t="shared" ca="1" si="34"/>
        <v>0</v>
      </c>
      <c r="J61" s="361">
        <f t="shared" ca="1" si="35"/>
        <v>0</v>
      </c>
      <c r="K61" s="362">
        <f t="shared" ca="1" si="36"/>
        <v>0</v>
      </c>
    </row>
    <row r="62" spans="2:11">
      <c r="B62" s="368"/>
      <c r="C62" s="369" t="s">
        <v>475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472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" ca="1" si="37">IF(OR(D62="MDU",D62="MDU-KD"),(IF($O$3="RAB NON MDU","PLN KD",G62*F62)),0)</f>
        <v>0</v>
      </c>
      <c r="I62" s="361">
        <f t="shared" ref="I62" ca="1" si="38">IF(D62="HDW",G62*F62,0)</f>
        <v>0</v>
      </c>
      <c r="J62" s="361">
        <f t="shared" ref="J62" ca="1" si="39">IF(D62="JASA",G62*F62,0)</f>
        <v>0</v>
      </c>
      <c r="K62" s="362">
        <f t="shared" ref="K62" ca="1" si="40">SUM(H62:J62)</f>
        <v>0</v>
      </c>
    </row>
    <row r="63" spans="2:11">
      <c r="B63" s="371">
        <v>1</v>
      </c>
      <c r="C63" s="372" t="s">
        <v>1091</v>
      </c>
      <c r="D63" s="373" t="str">
        <f ca="1">IF(ISERROR(OFFSET('HARGA SATUAN'!$D$6,MATCH(RAB!C63,'HARGA SATUAN'!$C$7:$C$1492,0),0)),"",OFFSET('HARGA SATUAN'!$D$6,MATCH(RAB!C63,'HARGA SATUAN'!$C$7:$C$1492,0),0))</f>
        <v>JASA</v>
      </c>
      <c r="E63" s="374" t="str">
        <f ca="1">IF(ISERROR(OFFSET('HARGA SATUAN'!$E$6,MATCH(RAB!C63,'HARGA SATUAN'!$C$7:$C$1492,0),0)),"",OFFSET('HARGA SATUAN'!$E$6,MATCH(RAB!C63,'HARGA SATUAN'!$C$7:$C$1492,0),0))</f>
        <v>Lot</v>
      </c>
      <c r="F63" s="375">
        <v>1</v>
      </c>
      <c r="G63" s="376">
        <f ca="1">IF(ISERROR(OFFSET('HARGA SATUAN'!$I$6,MATCH(RAB!C63,'HARGA SATUAN'!$C$7:$C$1492,0),0)),0,OFFSET('HARGA SATUAN'!$I$6,MATCH(RAB!C63,'HARGA SATUAN'!$C$7:$C$1492,0),0))</f>
        <v>2.5000000000000001E-2</v>
      </c>
      <c r="H63" s="377"/>
      <c r="I63" s="377"/>
      <c r="J63" s="377">
        <f ca="1">2.5%*(SUM(K14:K62))</f>
        <v>1792470.85</v>
      </c>
      <c r="K63" s="378">
        <f ca="1">SUM(H63:J63)</f>
        <v>1792470.85</v>
      </c>
    </row>
    <row r="64" spans="2:11">
      <c r="B64" s="379"/>
      <c r="C64" s="380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IF(ISERROR(OFFSET('HARGA SATUAN'!$E$6,MATCH(RAB!C64,'HARGA SATUAN'!$C$7:$C$1492,0),0)),"",OFFSET('HARGA SATUAN'!$E$6,MATCH(RAB!C64,'HARGA SATUAN'!$C$7:$C$1492,0),0))</f>
        <v/>
      </c>
      <c r="F64" s="370"/>
      <c r="G64" s="360" t="str">
        <f ca="1">IF(ISERROR(OFFSET('HARGA SATUAN'!$I$6,MATCH(RAB!C64,'HARGA SATUAN'!$C$7:$C$1492,0),0)),"",OFFSET('HARGA SATUAN'!$I$6,MATCH(RAB!C64,'HARGA SATUAN'!$C$7:$C$1492,0),0))</f>
        <v/>
      </c>
      <c r="H64" s="361">
        <f ca="1">IF(OR(D64="MDU",D64="MDU-KD"),IF(G64="PLN",0,G64*F64),0)</f>
        <v>0</v>
      </c>
      <c r="I64" s="361">
        <f ca="1">IF(D64="HDW",IF(G64="PLN",0,G64*F64),0)</f>
        <v>0</v>
      </c>
      <c r="J64" s="361">
        <f ca="1">IF(D64="JASA",IF(G64="PLN",0,G64*F64),0)</f>
        <v>0</v>
      </c>
      <c r="K64" s="362">
        <f ca="1">SUM(H64:J64)</f>
        <v>0</v>
      </c>
    </row>
    <row r="65" spans="2:13" ht="15.75" thickBot="1">
      <c r="B65" s="381"/>
      <c r="C65" s="382"/>
      <c r="D65" s="383"/>
      <c r="E65" s="384"/>
      <c r="F65" s="384"/>
      <c r="G65" s="384"/>
      <c r="H65" s="385"/>
      <c r="I65" s="385"/>
      <c r="J65" s="385"/>
      <c r="K65" s="386"/>
    </row>
    <row r="66" spans="2:13">
      <c r="B66" s="387"/>
      <c r="C66" s="613" t="s">
        <v>1008</v>
      </c>
      <c r="D66" s="613"/>
      <c r="E66" s="613"/>
      <c r="F66" s="613"/>
      <c r="G66" s="388" t="s">
        <v>9</v>
      </c>
      <c r="H66" s="389">
        <f ca="1">SUM(H14:H64)</f>
        <v>61830900</v>
      </c>
      <c r="I66" s="389">
        <f ca="1">SUM(I14:I64)</f>
        <v>4905454</v>
      </c>
      <c r="J66" s="389">
        <f ca="1">SUM(J14:J64)</f>
        <v>6754950.8499999996</v>
      </c>
      <c r="K66" s="389">
        <f ca="1">SUM(K14:K64)</f>
        <v>73491304.849999994</v>
      </c>
    </row>
    <row r="67" spans="2:13">
      <c r="B67" s="390"/>
      <c r="C67" s="630" t="s">
        <v>1457</v>
      </c>
      <c r="D67" s="630"/>
      <c r="E67" s="630"/>
      <c r="F67" s="630"/>
      <c r="G67" s="391" t="s">
        <v>9</v>
      </c>
      <c r="H67" s="392">
        <f ca="1">H66*0.11</f>
        <v>6801399</v>
      </c>
      <c r="I67" s="392">
        <f ca="1">I66*0.11</f>
        <v>539599.94000000006</v>
      </c>
      <c r="J67" s="392">
        <f ca="1">J66*0.11</f>
        <v>743044.59349999996</v>
      </c>
      <c r="K67" s="392">
        <f ca="1">K66*0.11</f>
        <v>8084043.533499999</v>
      </c>
    </row>
    <row r="68" spans="2:13" ht="15.75" thickBot="1">
      <c r="B68" s="390"/>
      <c r="C68" s="627" t="s">
        <v>463</v>
      </c>
      <c r="D68" s="627"/>
      <c r="E68" s="627"/>
      <c r="F68" s="627"/>
      <c r="G68" s="393" t="s">
        <v>9</v>
      </c>
      <c r="H68" s="394">
        <f ca="1">SUM(H66:H67)</f>
        <v>68632299</v>
      </c>
      <c r="I68" s="394">
        <f ca="1">SUM(I66:I67)</f>
        <v>5445053.9400000004</v>
      </c>
      <c r="J68" s="393">
        <f ca="1">SUM(J66:J67)</f>
        <v>7497995.4434999991</v>
      </c>
      <c r="K68" s="393">
        <f ca="1">SUM(K66:K67)</f>
        <v>81575348.383499995</v>
      </c>
      <c r="M68" s="477"/>
    </row>
    <row r="69" spans="2:13">
      <c r="B69" s="631" t="str">
        <f ca="1">"Terbilang : "&amp;PROPER(IF(K68=0,"nol",IF(K68&lt;0,"minus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IF(--MID(TEXT(ABS(K68),"000000000000000"),1,3)=0,"",MID(TEXT(ABS(K68),"000000000000000"),1,1)&amp;" ratus "&amp;MID(TEXT(ABS(K68),"000000000000000"),2,1)&amp;" puluh "&amp;MID(TEXT(ABS(K68),"000000000000000"),3,1)&amp;" trilyun ")&amp; IF(--MID(TEXT(ABS(K68),"000000000000000"),4,3)=0,"",MID(TEXT(ABS(K68),"000000000000000"),4,1)&amp;" ratus "&amp;MID(TEXT(ABS(K68),"000000000000000"),5,1)&amp;" puluh "&amp;MID(TEXT(ABS(K68),"000000000000000"),6,1)&amp;" milyar ")&amp; IF(--MID(TEXT(ABS(K68),"000000000000000"),7,3)=0,"",MID(TEXT(ABS(K68),"000000000000000"),7,1)&amp;" ratus "&amp;MID(TEXT(ABS(K68),"000000000000000"),8,1)&amp;" puluh "&amp;MID(TEXT(ABS(K68),"000000000000000"),9,1)&amp;" juta ")&amp; IF(--MID(TEXT(ABS(K68),"000000000000000"),10,3)=0,"",IF(--MID(TEXT(ABS(K68),"000000000000000"),10,3)=1,"*",MID(TEXT(ABS(K68),"000000000000000"),10,1)&amp;" ratus "&amp;MID(TEXT(ABS(K68),"000000000000000"),11,1)&amp;" puluh ")&amp;MID(TEXT(ABS(K68),"000000000000000"),12,1)&amp;" ribu ")&amp; IF(--MID(TEXT(ABS(K68),"000000000000000"),13,3)=0,"",MID(TEXT(ABS(K68),"000000000000000"),13,1)&amp;" ratus "&amp;MID(TEXT(ABS(K68),"000000000000000"),14,1)&amp;" puluh "&amp;MID(TEXT(ABS(K68),"000000000000000"),15,1)),1,"satu"),2,"dua"),3,"tiga"),4,"empat"),5,"lima"),6,"enam"),7,"tujuh"),8,"delapan"),9,"sembilan"),"0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Satu Juta Lima Ratus Tujuh Puluh Lima Ribu Tiga Ratus Empat Puluh Delapan Rupiah</v>
      </c>
      <c r="C69" s="632"/>
      <c r="D69" s="632"/>
      <c r="E69" s="632"/>
      <c r="F69" s="632"/>
      <c r="G69" s="632"/>
      <c r="H69" s="632"/>
      <c r="I69" s="632"/>
      <c r="J69" s="632"/>
      <c r="K69" s="633"/>
      <c r="M69" s="505"/>
    </row>
    <row r="70" spans="2:13">
      <c r="B70" s="634"/>
      <c r="C70" s="635"/>
      <c r="D70" s="635"/>
      <c r="E70" s="635"/>
      <c r="F70" s="635"/>
      <c r="G70" s="635"/>
      <c r="H70" s="635"/>
      <c r="I70" s="635"/>
      <c r="J70" s="635"/>
      <c r="K70" s="636"/>
    </row>
    <row r="71" spans="2:13" ht="15.75" thickBot="1">
      <c r="B71" s="395" t="str">
        <f>"Harga yang dipakai adalah "&amp;'HARGA SATUAN'!I5&amp;""</f>
        <v>Harga yang dipakai adalah RAB HSS 2023</v>
      </c>
      <c r="C71" s="396"/>
      <c r="D71" s="397"/>
      <c r="E71" s="397"/>
      <c r="F71" s="397"/>
      <c r="G71" s="398"/>
      <c r="H71" s="398"/>
      <c r="I71" s="398"/>
      <c r="J71" s="398"/>
      <c r="K71" s="399"/>
    </row>
    <row r="72" spans="2:13">
      <c r="C72" s="400"/>
      <c r="E72" s="402"/>
      <c r="F72" s="402"/>
      <c r="G72" s="402"/>
    </row>
    <row r="73" spans="2:13">
      <c r="C73" s="337"/>
      <c r="E73" s="402"/>
      <c r="F73" s="402"/>
      <c r="G73" s="402"/>
      <c r="H73" s="637"/>
      <c r="I73" s="637"/>
      <c r="J73" s="638"/>
      <c r="K73" s="638"/>
    </row>
    <row r="74" spans="2:13">
      <c r="C74" s="337"/>
      <c r="E74" s="402"/>
      <c r="F74" s="402"/>
      <c r="G74" s="402"/>
      <c r="H74" s="403"/>
      <c r="I74" s="626" t="s">
        <v>1628</v>
      </c>
      <c r="J74" s="626"/>
      <c r="K74" s="626"/>
    </row>
    <row r="75" spans="2:13">
      <c r="C75" s="337"/>
      <c r="E75" s="402"/>
      <c r="F75" s="402"/>
      <c r="G75" s="402"/>
      <c r="H75" s="403"/>
      <c r="I75" s="626" t="s">
        <v>1609</v>
      </c>
      <c r="J75" s="626"/>
      <c r="K75" s="626"/>
    </row>
    <row r="76" spans="2:13">
      <c r="C76" s="337"/>
      <c r="E76" s="402"/>
      <c r="F76" s="402"/>
      <c r="G76" s="402"/>
      <c r="H76" s="404"/>
      <c r="I76" s="405"/>
      <c r="J76" s="405"/>
      <c r="K76" s="405"/>
    </row>
    <row r="77" spans="2:13">
      <c r="C77" s="337"/>
      <c r="E77" s="402"/>
      <c r="F77" s="402"/>
      <c r="G77" s="402"/>
      <c r="H77" s="404"/>
      <c r="I77" s="404"/>
      <c r="J77" s="404"/>
      <c r="K77" s="404"/>
    </row>
    <row r="78" spans="2:13">
      <c r="C78" s="337"/>
      <c r="E78" s="402"/>
      <c r="F78" s="402"/>
      <c r="G78" s="402"/>
      <c r="H78" s="404"/>
      <c r="I78" s="404"/>
      <c r="J78" s="404"/>
      <c r="K78" s="404"/>
    </row>
    <row r="79" spans="2:13">
      <c r="C79" s="337"/>
      <c r="E79" s="402"/>
      <c r="F79" s="402"/>
      <c r="G79" s="402"/>
      <c r="H79" s="404"/>
      <c r="I79" s="404"/>
      <c r="J79" s="404"/>
      <c r="K79" s="404"/>
    </row>
    <row r="80" spans="2:13">
      <c r="C80" s="337"/>
      <c r="E80" s="402"/>
      <c r="F80" s="402"/>
      <c r="G80" s="402"/>
      <c r="H80" s="406"/>
      <c r="I80" s="626" t="s">
        <v>1610</v>
      </c>
      <c r="J80" s="626"/>
      <c r="K80" s="626"/>
    </row>
    <row r="81" spans="3:11">
      <c r="C81" s="400"/>
      <c r="E81" s="402"/>
      <c r="F81" s="402"/>
      <c r="G81" s="402"/>
      <c r="H81" s="404"/>
      <c r="I81" s="404"/>
      <c r="J81" s="404"/>
      <c r="K81" s="404"/>
    </row>
    <row r="82" spans="3:11">
      <c r="C82" s="400"/>
      <c r="E82" s="402"/>
      <c r="F82" s="402"/>
      <c r="G82" s="402"/>
      <c r="H82" s="404"/>
      <c r="I82" s="404"/>
      <c r="J82" s="404"/>
      <c r="K82" s="404"/>
    </row>
    <row r="83" spans="3:11">
      <c r="C83" s="400"/>
      <c r="E83" s="402"/>
      <c r="F83" s="402"/>
      <c r="G83" s="402"/>
      <c r="H83" s="404"/>
      <c r="I83" s="404"/>
      <c r="J83" s="404"/>
      <c r="K83" s="404"/>
    </row>
  </sheetData>
  <sheetProtection sort="0" autoFilter="0"/>
  <protectedRanges>
    <protectedRange sqref="B61" name="Range1_1"/>
    <protectedRange sqref="F14" name="Range1_1_2_2"/>
    <protectedRange sqref="C61" name="Range1_1_3_12"/>
    <protectedRange sqref="B17:B22" name="Range1_1_4"/>
    <protectedRange sqref="B15:C16 B24:C32 B33 B34:C49" name="Range1_6_2"/>
    <protectedRange sqref="C17 C22 C19:C20" name="Range1_3"/>
    <protectedRange sqref="F16:F61" name="Range1_1_3_1_1"/>
    <protectedRange sqref="F15" name="Range1_1_2_2_3_2"/>
    <protectedRange sqref="B50:B60" name="Range1_6_2_2"/>
    <protectedRange sqref="C60" name="Range1_6_2_2_2_1"/>
    <protectedRange sqref="C50:C59" name="Range1_1_3_2"/>
    <protectedRange sqref="C33" name="Range1_1_3_5"/>
    <protectedRange sqref="C18" name="Range1_1_3"/>
    <protectedRange sqref="C21" name="Range1_1_3_6"/>
  </protectedRanges>
  <mergeCells count="22">
    <mergeCell ref="I75:K75"/>
    <mergeCell ref="I80:K80"/>
    <mergeCell ref="C68:F68"/>
    <mergeCell ref="G6:K6"/>
    <mergeCell ref="I74:K74"/>
    <mergeCell ref="C67:F67"/>
    <mergeCell ref="B69:K70"/>
    <mergeCell ref="H73:K73"/>
    <mergeCell ref="H11:K11"/>
    <mergeCell ref="H12:H13"/>
    <mergeCell ref="J12:J13"/>
    <mergeCell ref="K12:K13"/>
    <mergeCell ref="O3:P4"/>
    <mergeCell ref="B4:K4"/>
    <mergeCell ref="C66:F66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26">
    <cfRule type="cellIs" dxfId="6" priority="5" operator="equal">
      <formula>0</formula>
    </cfRule>
  </conditionalFormatting>
  <conditionalFormatting sqref="C30">
    <cfRule type="cellIs" dxfId="5" priority="4" operator="equal">
      <formula>0</formula>
    </cfRule>
  </conditionalFormatting>
  <conditionalFormatting sqref="C61">
    <cfRule type="cellIs" dxfId="4" priority="129" operator="equal">
      <formula>0</formula>
    </cfRule>
  </conditionalFormatting>
  <conditionalFormatting sqref="E1:E3 G1:G13 E5:E13 H12:I12 O13 S14:V14 E63:G63 H63:K65 E64:H64 E65:F65">
    <cfRule type="cellIs" dxfId="3" priority="1111" stopIfTrue="1" operator="equal">
      <formula>0</formula>
    </cfRule>
  </conditionalFormatting>
  <conditionalFormatting sqref="E14:K62">
    <cfRule type="cellIs" dxfId="2" priority="3" stopIfTrue="1" operator="equal">
      <formula>0</formula>
    </cfRule>
  </conditionalFormatting>
  <conditionalFormatting sqref="G64:G65530 E69:E65530">
    <cfRule type="cellIs" dxfId="1" priority="245" stopIfTrue="1" operator="equal">
      <formula>0</formula>
    </cfRule>
  </conditionalFormatting>
  <conditionalFormatting sqref="C1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27:C29 F15:F16 F24:F62 H14:K65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topLeftCell="E7" zoomScaleNormal="115" zoomScaleSheetLayoutView="100" workbookViewId="0">
      <selection activeCell="Q7" sqref="Q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1" t="s">
        <v>1439</v>
      </c>
      <c r="X2" s="642"/>
      <c r="Y2" s="642"/>
      <c r="Z2" s="642"/>
      <c r="AA2" s="642"/>
      <c r="AB2" s="642"/>
      <c r="AC2" s="642"/>
      <c r="AD2" s="643"/>
    </row>
    <row r="3" spans="3:30">
      <c r="C3" s="238"/>
      <c r="W3" s="644"/>
      <c r="X3" s="645"/>
      <c r="Y3" s="645"/>
      <c r="Z3" s="645"/>
      <c r="AA3" s="645"/>
      <c r="AB3" s="645"/>
      <c r="AC3" s="645"/>
      <c r="AD3" s="646"/>
    </row>
    <row r="4" spans="3:30">
      <c r="C4" s="238"/>
      <c r="Q4" s="483" t="s">
        <v>1615</v>
      </c>
      <c r="W4" s="239" t="s">
        <v>987</v>
      </c>
      <c r="AD4" s="240"/>
    </row>
    <row r="5" spans="3:30">
      <c r="C5" s="238"/>
      <c r="W5" s="241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 ht="21">
      <c r="C6" s="238"/>
      <c r="Q6" s="508" t="s">
        <v>1622</v>
      </c>
      <c r="W6" s="241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238"/>
      <c r="W7" s="241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238"/>
      <c r="W8" s="241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238"/>
      <c r="W9" s="241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238"/>
      <c r="W10" s="241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238"/>
      <c r="W11" s="241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238"/>
      <c r="W12" s="241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238"/>
      <c r="W13" s="241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238"/>
      <c r="W14" s="241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238"/>
      <c r="W15" s="241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238"/>
      <c r="W16" s="241">
        <v>11</v>
      </c>
      <c r="X16" s="647" t="s">
        <v>1455</v>
      </c>
      <c r="Y16" s="647"/>
      <c r="Z16" s="647"/>
      <c r="AA16" s="647"/>
      <c r="AB16" s="647"/>
      <c r="AC16" s="647"/>
      <c r="AD16" s="648"/>
    </row>
    <row r="17" spans="3:30">
      <c r="C17" s="238"/>
      <c r="S17" s="242"/>
      <c r="W17" s="241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243"/>
      <c r="D18" s="244"/>
      <c r="E18" s="244"/>
      <c r="W18" s="24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238"/>
      <c r="W19" s="245"/>
      <c r="X19" s="664"/>
      <c r="Y19" s="664"/>
      <c r="Z19" s="664"/>
      <c r="AA19" s="664"/>
      <c r="AB19" s="664"/>
      <c r="AC19" s="664"/>
      <c r="AD19" s="665"/>
    </row>
    <row r="20" spans="3:30">
      <c r="C20" s="238"/>
      <c r="W20" s="649" t="s">
        <v>992</v>
      </c>
      <c r="X20" s="650"/>
      <c r="Y20" s="650"/>
      <c r="Z20" s="650"/>
      <c r="AA20" s="650"/>
      <c r="AB20" s="650"/>
      <c r="AC20" s="650"/>
      <c r="AD20" s="651"/>
    </row>
    <row r="21" spans="3:30">
      <c r="C21" s="238"/>
      <c r="W21" s="652" t="s">
        <v>985</v>
      </c>
      <c r="X21" s="653"/>
      <c r="Y21" s="653"/>
      <c r="Z21" s="654"/>
      <c r="AA21" s="655" t="s">
        <v>986</v>
      </c>
      <c r="AB21" s="656"/>
      <c r="AC21" s="656"/>
      <c r="AD21" s="657"/>
    </row>
    <row r="22" spans="3:30">
      <c r="C22" s="238"/>
      <c r="W22" s="658"/>
      <c r="X22" s="659"/>
      <c r="Y22" s="485"/>
      <c r="Z22" s="488"/>
      <c r="AA22" s="660"/>
      <c r="AB22" s="661"/>
      <c r="AC22" s="248"/>
      <c r="AD22" s="249"/>
    </row>
    <row r="23" spans="3:30">
      <c r="C23" s="238"/>
      <c r="W23" s="658"/>
      <c r="X23" s="659"/>
      <c r="Y23" s="485"/>
      <c r="Z23" s="488"/>
      <c r="AA23" s="662"/>
      <c r="AB23" s="663"/>
      <c r="AC23" s="248"/>
      <c r="AD23" s="249"/>
    </row>
    <row r="24" spans="3:30">
      <c r="C24" s="238"/>
      <c r="W24" s="668"/>
      <c r="X24" s="669"/>
      <c r="Y24" s="246"/>
      <c r="Z24" s="247"/>
      <c r="AA24" s="670"/>
      <c r="AB24" s="671"/>
      <c r="AC24" s="248"/>
      <c r="AD24" s="249"/>
    </row>
    <row r="25" spans="3:30">
      <c r="C25" s="238"/>
      <c r="W25" s="668"/>
      <c r="X25" s="669"/>
      <c r="Y25" s="246"/>
      <c r="Z25" s="247"/>
      <c r="AA25" s="662"/>
      <c r="AB25" s="663"/>
      <c r="AC25" s="248"/>
      <c r="AD25" s="249"/>
    </row>
    <row r="26" spans="3:30">
      <c r="C26" s="238"/>
      <c r="W26" s="473"/>
      <c r="X26" s="474"/>
      <c r="Y26" s="246"/>
      <c r="Z26" s="247"/>
      <c r="AA26" s="662"/>
      <c r="AB26" s="663"/>
      <c r="AC26" s="248"/>
      <c r="AD26" s="249"/>
    </row>
    <row r="27" spans="3:30">
      <c r="C27" s="238"/>
      <c r="W27" s="473"/>
      <c r="X27" s="474"/>
      <c r="Y27" s="246"/>
      <c r="Z27" s="247"/>
      <c r="AA27" s="666"/>
      <c r="AB27" s="667"/>
      <c r="AC27" s="248"/>
      <c r="AD27" s="249"/>
    </row>
    <row r="28" spans="3:30">
      <c r="C28" s="238"/>
      <c r="W28" s="473"/>
      <c r="X28" s="474"/>
      <c r="Y28" s="246"/>
      <c r="Z28" s="247"/>
      <c r="AA28" s="666"/>
      <c r="AB28" s="667"/>
      <c r="AC28" s="248"/>
      <c r="AD28" s="249"/>
    </row>
    <row r="29" spans="3:30">
      <c r="C29" s="238"/>
      <c r="W29" s="473"/>
      <c r="X29" s="474"/>
      <c r="Y29" s="246"/>
      <c r="Z29" s="247"/>
      <c r="AA29" s="666"/>
      <c r="AB29" s="667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6"/>
      <c r="AB30" s="667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6"/>
      <c r="AB31" s="667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6"/>
      <c r="AB32" s="667"/>
      <c r="AC32" s="248"/>
      <c r="AD32" s="249"/>
    </row>
    <row r="33" spans="3:30">
      <c r="C33" s="238"/>
      <c r="W33" s="473"/>
      <c r="X33" s="474"/>
      <c r="Y33" s="246"/>
      <c r="Z33" s="247"/>
      <c r="AA33" s="666"/>
      <c r="AB33" s="667"/>
      <c r="AC33" s="248"/>
      <c r="AD33" s="249"/>
    </row>
    <row r="34" spans="3:30">
      <c r="C34" s="238"/>
      <c r="W34" s="473"/>
      <c r="X34" s="474"/>
      <c r="Y34" s="246"/>
      <c r="Z34" s="247"/>
      <c r="AA34" s="666"/>
      <c r="AB34" s="667"/>
      <c r="AC34" s="248"/>
      <c r="AD34" s="249"/>
    </row>
    <row r="35" spans="3:30">
      <c r="C35" s="238"/>
      <c r="W35" s="668"/>
      <c r="X35" s="681"/>
      <c r="Y35" s="246"/>
      <c r="Z35" s="247"/>
      <c r="AA35" s="666"/>
      <c r="AB35" s="667"/>
      <c r="AC35" s="248"/>
      <c r="AD35" s="249"/>
    </row>
    <row r="36" spans="3:30">
      <c r="C36" s="238"/>
      <c r="W36" s="672"/>
      <c r="X36" s="673"/>
      <c r="Y36" s="246"/>
      <c r="Z36" s="251"/>
      <c r="AA36" s="674"/>
      <c r="AB36" s="667"/>
      <c r="AC36" s="248"/>
      <c r="AD36" s="249"/>
    </row>
    <row r="37" spans="3:30" ht="12.75" customHeight="1">
      <c r="C37" s="238"/>
      <c r="W37" s="675"/>
      <c r="X37" s="676"/>
      <c r="Y37" s="246"/>
      <c r="Z37" s="251"/>
      <c r="AA37" s="677"/>
      <c r="AB37" s="678"/>
      <c r="AC37" s="252"/>
      <c r="AD37" s="253"/>
    </row>
    <row r="38" spans="3:30" ht="12.75" customHeight="1">
      <c r="C38" s="238"/>
      <c r="W38" s="675"/>
      <c r="X38" s="67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5"/>
      <c r="X39" s="676"/>
      <c r="Y39" s="254"/>
      <c r="Z39" s="257"/>
      <c r="AA39" s="679"/>
      <c r="AB39" s="680"/>
      <c r="AC39" s="252"/>
      <c r="AD39" s="253"/>
    </row>
    <row r="40" spans="3:30" ht="12" customHeight="1">
      <c r="C40" s="238"/>
      <c r="W40" s="685"/>
      <c r="X40" s="686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7"/>
      <c r="X41" s="688"/>
      <c r="Y41" s="260"/>
      <c r="Z41" s="261"/>
      <c r="AA41" s="679"/>
      <c r="AB41" s="680"/>
      <c r="AC41" s="252"/>
      <c r="AD41" s="253"/>
    </row>
    <row r="42" spans="3:30" ht="12" customHeight="1">
      <c r="C42" s="238"/>
      <c r="W42" s="689" t="s">
        <v>1456</v>
      </c>
      <c r="X42" s="690"/>
      <c r="Y42" s="690"/>
      <c r="Z42" s="69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2" t="s">
        <v>11</v>
      </c>
      <c r="X44" s="683"/>
      <c r="Y44" s="647"/>
      <c r="Z44" s="647"/>
      <c r="AA44" s="647"/>
      <c r="AB44" s="647"/>
      <c r="AC44" s="647"/>
      <c r="AD44" s="64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2" t="s">
        <v>984</v>
      </c>
      <c r="X45" s="683"/>
      <c r="Y45" s="647">
        <v>1</v>
      </c>
      <c r="Z45" s="647"/>
      <c r="AA45" s="647"/>
      <c r="AB45" s="647" t="s">
        <v>12</v>
      </c>
      <c r="AC45" s="64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2" t="s">
        <v>15</v>
      </c>
      <c r="X46" s="683"/>
      <c r="Y46" s="684"/>
      <c r="Z46" s="684"/>
      <c r="AA46" s="684"/>
      <c r="AB46" s="647" t="s">
        <v>16</v>
      </c>
      <c r="AC46" s="64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5" t="s">
        <v>17</v>
      </c>
      <c r="X47" s="695"/>
      <c r="Y47" s="695"/>
      <c r="Z47" s="695"/>
      <c r="AA47" s="695"/>
      <c r="AB47" s="695"/>
      <c r="AC47" s="695"/>
      <c r="AD47" s="69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7" t="str">
        <f>RAB!G6</f>
        <v>MTS N 2 KALIREJO</v>
      </c>
      <c r="X48" s="698"/>
      <c r="Y48" s="698"/>
      <c r="Z48" s="698"/>
      <c r="AA48" s="698"/>
      <c r="AB48" s="698"/>
      <c r="AC48" s="698"/>
      <c r="AD48" s="69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7" t="str">
        <f>RAB!G7</f>
        <v>JL KUWU KM 2 KALIREJO</v>
      </c>
      <c r="X49" s="698"/>
      <c r="Y49" s="698"/>
      <c r="Z49" s="698"/>
      <c r="AA49" s="698"/>
      <c r="AB49" s="698"/>
      <c r="AC49" s="698"/>
      <c r="AD49" s="69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2" t="s">
        <v>18</v>
      </c>
      <c r="X52" s="683"/>
      <c r="Y52" s="647" t="s">
        <v>1607</v>
      </c>
      <c r="Z52" s="647"/>
      <c r="AA52" s="647"/>
      <c r="AB52" s="647"/>
      <c r="AC52" s="647"/>
      <c r="AD52" s="64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2" t="s">
        <v>19</v>
      </c>
      <c r="X53" s="683"/>
      <c r="Y53" s="647" t="s">
        <v>1608</v>
      </c>
      <c r="Z53" s="647"/>
      <c r="AA53" s="647"/>
      <c r="AB53" s="647"/>
      <c r="AC53" s="647"/>
      <c r="AD53" s="64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2" t="s">
        <v>20</v>
      </c>
      <c r="X54" s="683"/>
      <c r="Y54" s="691" t="s">
        <v>1547</v>
      </c>
      <c r="Z54" s="691"/>
      <c r="AA54" s="691"/>
      <c r="AB54" s="647"/>
      <c r="AC54" s="647"/>
      <c r="AD54" s="64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2" t="s">
        <v>21</v>
      </c>
      <c r="X55" s="693"/>
      <c r="Y55" s="691"/>
      <c r="Z55" s="691"/>
      <c r="AA55" s="691"/>
      <c r="AB55" s="691"/>
      <c r="AC55" s="691"/>
      <c r="AD55" s="694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0" t="s">
        <v>1528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2"/>
      <c r="AD4" s="217"/>
      <c r="AE4" s="216"/>
      <c r="AF4" s="216"/>
    </row>
    <row r="5" spans="2:32" ht="13.5" customHeight="1">
      <c r="B5" s="215"/>
      <c r="C5" s="215"/>
      <c r="D5" s="703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05"/>
      <c r="AD5" s="217"/>
      <c r="AE5" s="216"/>
      <c r="AF5" s="216"/>
    </row>
    <row r="6" spans="2:32" ht="12.75" customHeight="1">
      <c r="B6" s="215"/>
      <c r="C6" s="215"/>
      <c r="D6" s="703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5"/>
      <c r="AE6" s="216"/>
      <c r="AF6" s="216"/>
    </row>
    <row r="7" spans="2:32" ht="12.75" customHeight="1" thickBot="1">
      <c r="B7" s="215"/>
      <c r="C7" s="215"/>
      <c r="D7" s="706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07"/>
      <c r="P7" s="707"/>
      <c r="Q7" s="707"/>
      <c r="R7" s="707"/>
      <c r="S7" s="707"/>
      <c r="T7" s="707"/>
      <c r="U7" s="707"/>
      <c r="V7" s="707"/>
      <c r="W7" s="707"/>
      <c r="X7" s="707"/>
      <c r="Y7" s="707"/>
      <c r="Z7" s="707"/>
      <c r="AA7" s="707"/>
      <c r="AB7" s="707"/>
      <c r="AC7" s="70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4" t="s">
        <v>1527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9"/>
      <c r="D6" s="709"/>
      <c r="E6" s="709"/>
      <c r="F6" s="709"/>
      <c r="G6" s="709"/>
      <c r="H6" s="709"/>
      <c r="I6" s="709"/>
      <c r="J6" s="709"/>
      <c r="K6" s="709"/>
      <c r="L6" s="709"/>
      <c r="M6" s="709"/>
      <c r="W6" s="182"/>
      <c r="Y6" s="420"/>
      <c r="Z6" s="420"/>
      <c r="AA6" s="420"/>
      <c r="AB6" s="421"/>
      <c r="AC6" s="421"/>
    </row>
    <row r="7" spans="1:29" ht="18" customHeight="1">
      <c r="A7" s="181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2024-04-05T04:17:38Z</cp:lastPrinted>
  <dcterms:created xsi:type="dcterms:W3CDTF">2011-02-06T11:57:38Z</dcterms:created>
  <dcterms:modified xsi:type="dcterms:W3CDTF">2024-05-27T08:04:07Z</dcterms:modified>
</cp:coreProperties>
</file>