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B. BP KURANG DR INVESTASI (PP KURANG DR 5 TH)\OKT\DR NURGIYANTO 23 KVA\"/>
    </mc:Choice>
  </mc:AlternateContent>
  <xr:revisionPtr revIDLastSave="0" documentId="8_{1C2314AE-A600-48AB-864A-BF765F54C4BD}" xr6:coauthVersionLast="47" xr6:coauthVersionMax="47" xr10:uidLastSave="{00000000-0000-0000-0000-000000000000}"/>
  <bookViews>
    <workbookView xWindow="-120" yWindow="-120" windowWidth="24240" windowHeight="131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77" i="11"/>
  <c r="F76" i="11"/>
  <c r="F75" i="11"/>
  <c r="F74" i="11"/>
  <c r="F73" i="11"/>
  <c r="D68" i="11"/>
  <c r="H68" i="11" s="1"/>
  <c r="E68" i="11"/>
  <c r="G68" i="11"/>
  <c r="D69" i="11"/>
  <c r="J69" i="11" s="1"/>
  <c r="E69" i="11"/>
  <c r="G69" i="11"/>
  <c r="D70" i="11"/>
  <c r="H70" i="11" s="1"/>
  <c r="E70" i="11"/>
  <c r="G70" i="11"/>
  <c r="D72" i="11"/>
  <c r="J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E76" i="11"/>
  <c r="G76" i="11"/>
  <c r="D77" i="11"/>
  <c r="I77" i="11" s="1"/>
  <c r="E77" i="11"/>
  <c r="G77" i="11"/>
  <c r="D78" i="11"/>
  <c r="H78" i="11" s="1"/>
  <c r="E78" i="11"/>
  <c r="G78" i="11"/>
  <c r="F93" i="11"/>
  <c r="F92" i="11"/>
  <c r="F91" i="11"/>
  <c r="F90" i="11"/>
  <c r="F89" i="11"/>
  <c r="F88" i="11"/>
  <c r="F87" i="11"/>
  <c r="F26" i="11"/>
  <c r="F25" i="11"/>
  <c r="F24" i="11"/>
  <c r="F23" i="11"/>
  <c r="F22" i="11"/>
  <c r="J70" i="11" l="1"/>
  <c r="I70" i="11"/>
  <c r="H76" i="11"/>
  <c r="J68" i="11"/>
  <c r="I68" i="11"/>
  <c r="J76" i="11"/>
  <c r="I76" i="11"/>
  <c r="J75" i="11"/>
  <c r="H73" i="11"/>
  <c r="I73" i="11"/>
  <c r="J78" i="11"/>
  <c r="I78" i="11"/>
  <c r="H72" i="11"/>
  <c r="I72" i="11"/>
  <c r="J77" i="11"/>
  <c r="H77" i="11"/>
  <c r="I75" i="11"/>
  <c r="I74" i="11"/>
  <c r="I69" i="11"/>
  <c r="H74" i="11"/>
  <c r="H69" i="11"/>
  <c r="K70" i="11" l="1"/>
  <c r="K68" i="11"/>
  <c r="K76" i="11"/>
  <c r="K69" i="11"/>
  <c r="K72" i="11"/>
  <c r="K74" i="11"/>
  <c r="K77" i="11"/>
  <c r="K78" i="11"/>
  <c r="K75" i="11"/>
  <c r="K73" i="11"/>
  <c r="D19" i="11" l="1"/>
  <c r="H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F55" i="11"/>
  <c r="F59" i="11" s="1"/>
  <c r="F53" i="11"/>
  <c r="F52" i="11"/>
  <c r="F51" i="11"/>
  <c r="F50" i="11"/>
  <c r="F49" i="11"/>
  <c r="F48" i="11"/>
  <c r="D46" i="11"/>
  <c r="H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H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H57" i="11" s="1"/>
  <c r="E57" i="11"/>
  <c r="G57" i="11"/>
  <c r="D58" i="11"/>
  <c r="J58" i="11" s="1"/>
  <c r="E58" i="11"/>
  <c r="G58" i="11"/>
  <c r="D59" i="11"/>
  <c r="E59" i="11"/>
  <c r="G59" i="11"/>
  <c r="D60" i="11"/>
  <c r="H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H67" i="11" s="1"/>
  <c r="E67" i="11"/>
  <c r="G67" i="11"/>
  <c r="F44" i="11"/>
  <c r="F40" i="11"/>
  <c r="F39" i="11"/>
  <c r="F38" i="11"/>
  <c r="F37" i="11"/>
  <c r="F36" i="11"/>
  <c r="F33" i="11"/>
  <c r="F32" i="11"/>
  <c r="F31" i="11"/>
  <c r="F30" i="11"/>
  <c r="F29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E40" i="11"/>
  <c r="G40" i="11"/>
  <c r="D41" i="11"/>
  <c r="J41" i="11" s="1"/>
  <c r="E41" i="11"/>
  <c r="G41" i="11"/>
  <c r="D42" i="11"/>
  <c r="H42" i="11" s="1"/>
  <c r="E42" i="11"/>
  <c r="G42" i="11"/>
  <c r="D43" i="11"/>
  <c r="I43" i="11" s="1"/>
  <c r="E43" i="11"/>
  <c r="G43" i="11"/>
  <c r="D44" i="11"/>
  <c r="E44" i="11"/>
  <c r="G44" i="11"/>
  <c r="D45" i="11"/>
  <c r="H45" i="11" s="1"/>
  <c r="E45" i="11"/>
  <c r="G45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J18" i="11" s="1"/>
  <c r="E18" i="11"/>
  <c r="G18" i="11"/>
  <c r="E7" i="64"/>
  <c r="J26" i="11" l="1"/>
  <c r="J22" i="11"/>
  <c r="J21" i="11"/>
  <c r="I26" i="11"/>
  <c r="J19" i="11"/>
  <c r="I23" i="11"/>
  <c r="I22" i="11"/>
  <c r="K22" i="11" s="1"/>
  <c r="I21" i="11"/>
  <c r="I19" i="11"/>
  <c r="K19" i="11" s="1"/>
  <c r="J25" i="11"/>
  <c r="I25" i="11"/>
  <c r="H23" i="11"/>
  <c r="K23" i="11" s="1"/>
  <c r="I27" i="11"/>
  <c r="I24" i="11"/>
  <c r="I20" i="11"/>
  <c r="H27" i="11"/>
  <c r="H24" i="11"/>
  <c r="H20" i="11"/>
  <c r="F56" i="11"/>
  <c r="I56" i="11" s="1"/>
  <c r="F61" i="11"/>
  <c r="F63" i="11" s="1"/>
  <c r="I63" i="11" s="1"/>
  <c r="J46" i="11"/>
  <c r="J52" i="11"/>
  <c r="I52" i="11"/>
  <c r="F57" i="11"/>
  <c r="I57" i="11" s="1"/>
  <c r="I54" i="11"/>
  <c r="I53" i="11"/>
  <c r="H50" i="11"/>
  <c r="I49" i="11"/>
  <c r="J48" i="11"/>
  <c r="I46" i="11"/>
  <c r="F58" i="11"/>
  <c r="I58" i="11" s="1"/>
  <c r="I50" i="11"/>
  <c r="I65" i="11"/>
  <c r="I48" i="11"/>
  <c r="H54" i="11"/>
  <c r="H62" i="11"/>
  <c r="I61" i="11"/>
  <c r="J60" i="11"/>
  <c r="H58" i="11"/>
  <c r="J56" i="11"/>
  <c r="J67" i="11"/>
  <c r="J64" i="11"/>
  <c r="I60" i="11"/>
  <c r="J59" i="11"/>
  <c r="I67" i="11"/>
  <c r="I59" i="11"/>
  <c r="I55" i="11"/>
  <c r="I51" i="11"/>
  <c r="I47" i="11"/>
  <c r="H63" i="11"/>
  <c r="J61" i="11"/>
  <c r="H59" i="11"/>
  <c r="J57" i="11"/>
  <c r="H55" i="11"/>
  <c r="J53" i="11"/>
  <c r="H51" i="11"/>
  <c r="J49" i="11"/>
  <c r="H47" i="11"/>
  <c r="J66" i="11"/>
  <c r="I66" i="11"/>
  <c r="J29" i="11"/>
  <c r="I29" i="11"/>
  <c r="I31" i="11"/>
  <c r="J43" i="11"/>
  <c r="J45" i="11"/>
  <c r="J39" i="11"/>
  <c r="J37" i="11"/>
  <c r="I37" i="11"/>
  <c r="I33" i="11"/>
  <c r="I45" i="11"/>
  <c r="I35" i="11"/>
  <c r="J33" i="11"/>
  <c r="J44" i="11"/>
  <c r="H43" i="11"/>
  <c r="I41" i="11"/>
  <c r="I39" i="11"/>
  <c r="H35" i="11"/>
  <c r="I34" i="11"/>
  <c r="H31" i="11"/>
  <c r="I30" i="11"/>
  <c r="H41" i="11"/>
  <c r="I38" i="11"/>
  <c r="I42" i="11"/>
  <c r="J40" i="11"/>
  <c r="I32" i="11"/>
  <c r="I28" i="11"/>
  <c r="H44" i="11"/>
  <c r="J42" i="11"/>
  <c r="H40" i="11"/>
  <c r="J38" i="11"/>
  <c r="H36" i="11"/>
  <c r="J34" i="11"/>
  <c r="H32" i="11"/>
  <c r="J30" i="11"/>
  <c r="H28" i="11"/>
  <c r="I40" i="11"/>
  <c r="I36" i="11"/>
  <c r="I44" i="11"/>
  <c r="J15" i="11"/>
  <c r="J17" i="11"/>
  <c r="I15" i="11"/>
  <c r="I17" i="11"/>
  <c r="H18" i="11"/>
  <c r="I18" i="11"/>
  <c r="I16" i="11"/>
  <c r="H16" i="11"/>
  <c r="G6" i="11"/>
  <c r="D95" i="11"/>
  <c r="J95" i="11" s="1"/>
  <c r="E95" i="11"/>
  <c r="G95" i="11"/>
  <c r="D96" i="11"/>
  <c r="J96" i="11" s="1"/>
  <c r="E96" i="11"/>
  <c r="G96" i="11"/>
  <c r="K54" i="11" l="1"/>
  <c r="K21" i="11"/>
  <c r="K26" i="11"/>
  <c r="K24" i="11"/>
  <c r="K27" i="11"/>
  <c r="K25" i="11"/>
  <c r="K20" i="11"/>
  <c r="F64" i="11"/>
  <c r="I64" i="11" s="1"/>
  <c r="K64" i="11" s="1"/>
  <c r="K43" i="11"/>
  <c r="K48" i="11"/>
  <c r="K46" i="11"/>
  <c r="F65" i="11"/>
  <c r="J65" i="11" s="1"/>
  <c r="K65" i="11" s="1"/>
  <c r="F62" i="11"/>
  <c r="I62" i="11" s="1"/>
  <c r="K62" i="11" s="1"/>
  <c r="K56" i="11"/>
  <c r="K49" i="11"/>
  <c r="K50" i="11"/>
  <c r="K52" i="11"/>
  <c r="K55" i="11"/>
  <c r="K61" i="11"/>
  <c r="K53" i="11"/>
  <c r="K47" i="11"/>
  <c r="K63" i="11"/>
  <c r="K66" i="11"/>
  <c r="K67" i="11"/>
  <c r="K57" i="11"/>
  <c r="K59" i="11"/>
  <c r="K60" i="11"/>
  <c r="K58" i="11"/>
  <c r="K51" i="11"/>
  <c r="K29" i="11"/>
  <c r="K33" i="11"/>
  <c r="K37" i="11"/>
  <c r="K45" i="11"/>
  <c r="K31" i="11"/>
  <c r="K42" i="11"/>
  <c r="K34" i="11"/>
  <c r="K39" i="11"/>
  <c r="K35" i="11"/>
  <c r="K32" i="11"/>
  <c r="K30" i="11"/>
  <c r="K41" i="11"/>
  <c r="K28" i="11"/>
  <c r="K15" i="11"/>
  <c r="K38" i="11"/>
  <c r="K40" i="11"/>
  <c r="K36" i="11"/>
  <c r="K44" i="11"/>
  <c r="K18" i="11"/>
  <c r="K17" i="11"/>
  <c r="K16" i="11"/>
  <c r="I95" i="11"/>
  <c r="H95" i="11"/>
  <c r="I96" i="11"/>
  <c r="H96" i="11"/>
  <c r="K95" i="11" l="1"/>
  <c r="K96" i="11"/>
  <c r="G86" i="11" l="1"/>
  <c r="G87" i="11"/>
  <c r="G88" i="11"/>
  <c r="G89" i="11"/>
  <c r="G90" i="11"/>
  <c r="G91" i="11"/>
  <c r="G92" i="11"/>
  <c r="G93" i="11"/>
  <c r="G94" i="11"/>
  <c r="D86" i="11"/>
  <c r="J86" i="11" s="1"/>
  <c r="E86" i="11"/>
  <c r="D87" i="11"/>
  <c r="E87" i="11"/>
  <c r="D88" i="11"/>
  <c r="H88" i="11" s="1"/>
  <c r="E88" i="11"/>
  <c r="D89" i="11"/>
  <c r="H89" i="11" s="1"/>
  <c r="E89" i="11"/>
  <c r="D90" i="11"/>
  <c r="J90" i="11" s="1"/>
  <c r="E90" i="11"/>
  <c r="D91" i="11"/>
  <c r="E91" i="11"/>
  <c r="D92" i="11"/>
  <c r="H92" i="11" s="1"/>
  <c r="E92" i="11"/>
  <c r="D93" i="11"/>
  <c r="H93" i="11" s="1"/>
  <c r="E93" i="11"/>
  <c r="D94" i="11"/>
  <c r="H94" i="11" s="1"/>
  <c r="E94" i="11"/>
  <c r="G85" i="11"/>
  <c r="D85" i="11"/>
  <c r="J85" i="11" s="1"/>
  <c r="E85" i="11"/>
  <c r="F84" i="11"/>
  <c r="F83" i="11"/>
  <c r="F82" i="11"/>
  <c r="F81" i="11"/>
  <c r="F80" i="11"/>
  <c r="D79" i="11"/>
  <c r="J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H83" i="11" s="1"/>
  <c r="E83" i="11"/>
  <c r="G83" i="11"/>
  <c r="D84" i="11"/>
  <c r="E84" i="11"/>
  <c r="G84" i="11"/>
  <c r="I91" i="11" l="1"/>
  <c r="I87" i="11"/>
  <c r="J93" i="11"/>
  <c r="I86" i="11"/>
  <c r="I90" i="11"/>
  <c r="H87" i="11"/>
  <c r="H91" i="11"/>
  <c r="J89" i="11"/>
  <c r="J94" i="11"/>
  <c r="I93" i="11"/>
  <c r="J92" i="11"/>
  <c r="H90" i="11"/>
  <c r="I89" i="11"/>
  <c r="J88" i="11"/>
  <c r="H86" i="11"/>
  <c r="I94" i="11"/>
  <c r="I92" i="11"/>
  <c r="J91" i="11"/>
  <c r="I88" i="11"/>
  <c r="J87" i="11"/>
  <c r="I85" i="11"/>
  <c r="H85" i="11"/>
  <c r="I83" i="11"/>
  <c r="I79" i="11"/>
  <c r="J84" i="11"/>
  <c r="I84" i="11"/>
  <c r="J83" i="11"/>
  <c r="I82" i="11"/>
  <c r="J81" i="11"/>
  <c r="H79" i="11"/>
  <c r="H82" i="11"/>
  <c r="I81" i="11"/>
  <c r="I80" i="11"/>
  <c r="H84" i="11"/>
  <c r="H80" i="11"/>
  <c r="K93" i="11" l="1"/>
  <c r="K94" i="11"/>
  <c r="K87" i="11"/>
  <c r="K90" i="11"/>
  <c r="K88" i="11"/>
  <c r="K86" i="11"/>
  <c r="K91" i="11"/>
  <c r="K92" i="11"/>
  <c r="K89" i="11"/>
  <c r="K85" i="11"/>
  <c r="K79" i="11"/>
  <c r="K80" i="11"/>
  <c r="K82" i="11"/>
  <c r="K83" i="11"/>
  <c r="K84" i="11"/>
  <c r="K81" i="11"/>
  <c r="D20" i="60" l="1"/>
  <c r="D14" i="11" l="1"/>
  <c r="J14" i="11" s="1"/>
  <c r="J97" i="11" s="1"/>
  <c r="E14" i="11"/>
  <c r="G14" i="11"/>
  <c r="K19" i="60"/>
  <c r="D19" i="60"/>
  <c r="H14" i="11" l="1"/>
  <c r="H97" i="11" s="1"/>
  <c r="I14" i="11"/>
  <c r="I97" i="11" s="1"/>
  <c r="K14" i="11" l="1"/>
  <c r="K97" i="11" l="1"/>
  <c r="W48" i="64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9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9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7" i="11"/>
  <c r="D98" i="11"/>
  <c r="H98" i="11" s="1"/>
  <c r="E9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8" i="11"/>
  <c r="I9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F224" i="29"/>
  <c r="E8" i="54"/>
  <c r="L8" i="54" s="1"/>
  <c r="M8" i="54" s="1"/>
  <c r="I9" i="54"/>
  <c r="H9" i="54"/>
  <c r="C10" i="54"/>
  <c r="D9" i="54"/>
  <c r="K36" i="39"/>
  <c r="K98" i="11"/>
  <c r="K100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00" i="11"/>
  <c r="H101" i="11" s="1"/>
  <c r="I100" i="11"/>
  <c r="I101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6" i="29" l="1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2" i="11"/>
  <c r="I10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01" i="11" l="1"/>
  <c r="K102" i="11" s="1"/>
  <c r="B10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00" i="11"/>
  <c r="J10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<sst xmlns="http://schemas.openxmlformats.org/spreadsheetml/2006/main" count="4761" uniqueCount="1632">
  <si>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</si>
  <si>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</si>
  <si>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</si>
  <si>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</si>
  <si>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</si>
  <si>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</si>
  <si>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</si>
  <si>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</si>
  <si>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</si>
  <si>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</si>
  <si>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</si>
  <si>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</si>
  <si>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</si>
  <si>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</si>
  <si>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</si>
  <si>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</si>
  <si>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</si>
  <si>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</si>
  <si>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</si>
  <si>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</si>
  <si>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</si>
  <si>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</si>
  <si>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</si>
  <si>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</si>
  <si>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</si>
  <si>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</si>
  <si>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</si>
  <si>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</si>
  <si>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</si>
  <si>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</si>
  <si>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</si>
  <si>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</si>
  <si>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</si>
  <si>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</si>
  <si>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</si>
  <si>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</si>
  <si>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</si>
  <si>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</si>
  <si>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</si>
  <si>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</si>
  <si>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</si>
  <si>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</si>
  <si>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</si>
  <si>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</si>
  <si>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</si>
  <si>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</si>
  <si>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</si>
  <si>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</si>
  <si>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</si>
  <si>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</si>
  <si>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</si>
  <si>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</si>
  <si>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</si>
  <si>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</si>
  <si>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</si>
  <si>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</si>
  <si>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</si>
  <si>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</si>
  <si>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</si>
  <si>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</si>
  <si>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</si>
  <si>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</si>
  <si>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</si>
  <si>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</si>
  <si>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</si>
  <si>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</si>
  <si>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</si>
  <si>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</si>
  <si>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</si>
  <si>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</si>
  <si>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</si>
  <si>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</si>
  <si>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</si>
  <si>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</si>
  <si>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</si>
  <si>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</si>
  <si>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</si>
  <si>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</si>
  <si>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</si>
  <si>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</si>
  <si>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</si>
  <si>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</si>
  <si>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</si>
  <si>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</si>
  <si>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</si>
  <si>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</si>
  <si>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</si>
  <si>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</si>
  <si>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</si>
  <si>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</si>
  <si>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</si>
  <si>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</si>
  <si>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</si>
  <si>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</si>
  <si>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</si>
  <si>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</si>
  <si>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</si>
  <si>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</si>
  <si>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</si>
  <si>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</si>
  <si>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</si>
  <si>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</si>
  <si>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</si>
  <si>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</si>
  <si>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</si>
  <si>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</si>
  <si>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</si>
  <si>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</si>
  <si>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</si>
  <si>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</si>
  <si>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</si>
  <si>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</si>
  <si>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</si>
  <si>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</si>
  <si>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</si>
  <si>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</si>
  <si>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</si>
  <si>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</si>
  <si>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</si>
  <si>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</si>
  <si>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</si>
  <si>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</si>
  <si>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</si>
  <si>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</si>
  <si>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</si>
  <si>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</si>
  <si>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</si>
  <si>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</si>
  <si>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</si>
  <si>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</si>
  <si>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</si>
  <si>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</si>
  <si>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</si>
  <si>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</si>
  <si>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</si>
  <si>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</si>
  <si>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</si>
  <si>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</si>
  <si>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</si>
  <si>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</si>
  <si>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</si>
  <si>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</si>
  <si>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</si>
  <si>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</si>
  <si>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</si>
  <si>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</si>
  <si>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</si>
  <si>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</si>
  <si>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</si>
  <si>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</si>
  <si>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</si>
  <si>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</si>
  <si>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</si>
  <si>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</si>
  <si>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</si>
  <si>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</si>
  <si>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</si>
  <si>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</si>
  <si>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</si>
  <si>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</si>
  <si>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</si>
  <si>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</si>
  <si>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</si>
  <si>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</si>
  <si>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</si>
  <si>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</si>
  <si>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</si>
  <si>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</si>
  <si>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</si>
  <si>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</si>
  <si>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</si>
  <si>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</si>
  <si>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</si>
  <si>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</si>
  <si>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</si>
  <si>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</si>
  <si>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</si>
  <si>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</si>
  <si>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</si>
  <si>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</si>
  <si>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</si>
  <si>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</si>
  <si>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</si>
  <si>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</si>
  <si>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</si>
  <si>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</si>
  <si>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</si>
  <si>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</si>
  <si>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</si>
  <si>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</si>
  <si>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</si>
  <si>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</si>
  <si>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</si>
  <si>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</si>
  <si>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</si>
  <si>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</si>
  <si>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</si>
  <si>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</si>
  <si>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</si>
  <si>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</si>
  <si>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</si>
  <si>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</si>
  <si>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</si>
  <si>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</si>
  <si>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</si>
  <si>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</si>
  <si>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</si>
  <si>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</si>
  <si>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</si>
  <si>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</si>
  <si>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</si>
  <si>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</si>
  <si>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</si>
  <si>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</si>
  <si>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</si>
  <si>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</si>
  <si>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</si>
  <si>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</si>
  <si>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</si>
  <si>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</si>
  <si>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</si>
  <si>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</si>
  <si>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</si>
  <si>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</si>
  <si>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</si>
  <si>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</si>
  <si>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</si>
  <si>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</si>
  <si>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</si>
  <si>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</si>
  <si>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</si>
  <si>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</si>
  <si>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</si>
  <si>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</si>
  <si>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</si>
  <si>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</si>
  <si>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</si>
  <si>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</si>
  <si>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</si>
  <si>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</si>
  <si>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</si>
  <si>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</si>
  <si>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</si>
  <si>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</si>
  <si>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</si>
  <si>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</si>
  <si>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</si>
  <si>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</si>
  <si>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</si>
  <si>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</si>
  <si>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</si>
  <si>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</si>
  <si>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</si>
  <si>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</si>
  <si>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</si>
  <si>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</si>
  <si>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</si>
  <si>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</si>
  <si>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</si>
  <si>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</si>
  <si>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</si>
  <si>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</si>
  <si>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</si>
  <si>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</si>
  <si>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</si>
  <si>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</si>
  <si>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</si>
  <si>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</si>
  <si>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</si>
  <si>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</si>
  <si>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</si>
  <si>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</si>
  <si>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</si>
  <si>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</si>
  <si>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</si>
  <si>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</si>
  <si>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</si>
  <si>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</si>
  <si>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</si>
  <si>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</si>
  <si>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</si>
  <si>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</si>
  <si>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</si>
  <si>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</si>
  <si>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</si>
  <si>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</si>
  <si>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</si>
  <si>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</si>
  <si>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</si>
  <si>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</si>
  <si>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</si>
  <si>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</si>
  <si>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</si>
  <si>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</si>
  <si>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</si>
  <si>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</si>
  <si>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</si>
  <si>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</si>
  <si>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</si>
  <si>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</si>
  <si>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</si>
  <si>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</si>
  <si>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</si>
  <si>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</si>
  <si>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</si>
  <si>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</si>
  <si>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</si>
  <si>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</si>
  <si>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</si>
  <si>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</si>
  <si>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</si>
  <si>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</si>
  <si>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</si>
  <si>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</si>
  <si>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</si>
  <si>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</si>
  <si>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</si>
  <si>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</si>
  <si>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</si>
  <si>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</si>
  <si>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</si>
  <si>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</si>
  <si>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</si>
  <si>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</si>
  <si>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</si>
  <si>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</si>
  <si>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</si>
  <si>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</si>
  <si>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</si>
  <si>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</si>
  <si>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</si>
  <si>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</si>
  <si>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</si>
  <si>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</si>
  <si>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</si>
  <si>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</si>
  <si>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</si>
  <si>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</si>
  <si>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</si>
  <si>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</si>
  <si>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</si>
  <si>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</si>
  <si>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</si>
  <si>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</si>
  <si>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</si>
  <si>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</si>
  <si>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</si>
  <si>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</si>
  <si>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</si>
  <si>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</si>
  <si>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</si>
  <si>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</si>
  <si>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</si>
  <si>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</si>
  <si>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</si>
  <si>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</si>
  <si>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</si>
  <si>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</si>
  <si>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</si>
  <si>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</si>
  <si>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</si>
  <si>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</si>
  <si>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</si>
  <si>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</si>
  <si>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</si>
  <si>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</si>
  <si>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</si>
  <si>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</si>
  <si>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</si>
  <si>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</si>
  <si>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</si>
  <si>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</si>
  <si>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</si>
  <si>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</si>
  <si>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</si>
  <si>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</si>
  <si>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</si>
  <si>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</si>
  <si>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</si>
  <si>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</si>
  <si>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</si>
  <si>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</si>
  <si>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</si>
  <si>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</si>
  <si>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</si>
  <si>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</si>
  <si>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</si>
  <si>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</si>
  <si>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</si>
  <si>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</si>
  <si>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</si>
  <si>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</si>
  <si>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</si>
  <si>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</si>
  <si>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</si>
  <si>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</si>
  <si>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</si>
  <si>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</si>
  <si>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</si>
  <si>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</si>
  <si>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</si>
  <si>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</si>
  <si>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</si>
  <si>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</si>
  <si>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</si>
  <si>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</si>
  <si>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</si>
  <si>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</si>
  <si>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</si>
  <si>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</si>
  <si>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</si>
  <si>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</si>
  <si>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</si>
  <si>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</si>
  <si>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</si>
  <si>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</si>
  <si>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</si>
  <si>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</si>
  <si>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</si>
  <si>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</si>
  <si>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</si>
  <si>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</si>
  <si>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</si>
  <si>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</si>
  <si>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</si>
  <si>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</si>
  <si>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</si>
  <si>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</si>
  <si>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</si>
  <si>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</si>
  <si>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</si>
  <si>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</si>
  <si>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</si>
  <si>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</si>
  <si>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</si>
  <si>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</si>
  <si>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</si>
  <si>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</si>
  <si>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</si>
  <si>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</si>
  <si>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</si>
  <si>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</si>
  <si>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</si>
  <si>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</si>
  <si>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</si>
  <si>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</si>
  <si>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</si>
  <si>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</si>
  <si>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</si>
  <si>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</si>
  <si>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</si>
  <si>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</si>
  <si>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</si>
  <si>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</si>
  <si>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</si>
  <si>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</si>
  <si>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</si>
  <si>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</si>
  <si>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</si>
  <si>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</si>
  <si>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</si>
  <si>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</si>
  <si>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</si>
  <si>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</si>
  <si>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</si>
  <si>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</si>
  <si>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</si>
  <si>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</si>
  <si>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</si>
  <si>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</si>
  <si>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</si>
  <si>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</si>
  <si>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</si>
  <si>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</si>
  <si>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</si>
  <si>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</si>
  <si>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</si>
  <si>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</si>
  <si>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</si>
  <si>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</si>
  <si>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</si>
  <si>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</si>
  <si>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</si>
  <si>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</si>
  <si>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</si>
  <si>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</si>
  <si>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</si>
  <si>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</si>
  <si>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</si>
  <si>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</si>
  <si>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</si>
  <si>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</si>
  <si>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</si>
  <si>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</si>
  <si>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</si>
  <si>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</si>
  <si>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</si>
  <si>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</si>
  <si>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</si>
  <si>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</si>
  <si>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</si>
  <si>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</si>
  <si>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</si>
  <si>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</si>
  <si>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</si>
  <si>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</si>
  <si>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</si>
  <si>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</si>
  <si>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</si>
  <si>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</si>
  <si>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</si>
  <si>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</si>
  <si>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</si>
  <si>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</si>
  <si>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</si>
  <si>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</si>
  <si>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</si>
  <si>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</si>
  <si>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</si>
  <si>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</si>
  <si>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</si>
  <si>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</si>
  <si>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</si>
  <si>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</si>
  <si>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</si>
  <si>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</si>
  <si>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</si>
  <si>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</si>
  <si>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</si>
  <si>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</si>
  <si>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</si>
  <si>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</si>
  <si>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</si>
  <si>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</si>
  <si>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</si>
  <si>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</si>
  <si>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</si>
  <si>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</si>
  <si>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</si>
  <si>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</si>
  <si>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</si>
  <si>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</si>
  <si>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</si>
  <si>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</si>
  <si>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</si>
  <si>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</si>
  <si>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</si>
  <si>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</si>
  <si>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</si>
  <si>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</si>
  <si>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</si>
  <si>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</si>
  <si>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</si>
  <si>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</si>
  <si>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</si>
  <si>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</si>
  <si>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</si>
  <si>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</si>
  <si>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</si>
  <si>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</si>
  <si>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</si>
  <si>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</si>
  <si>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</si>
  <si>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</si>
  <si>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</si>
  <si>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</si>
  <si>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</si>
  <si>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</si>
  <si>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</si>
  <si>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</si>
  <si>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</si>
  <si>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</si>
  <si>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</si>
  <si>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</si>
  <si>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</si>
  <si>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</si>
  <si>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</si>
  <si>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</si>
  <si>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</si>
  <si>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</si>
  <si>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</si>
  <si>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</si>
  <si>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</si>
  <si>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</si>
  <si>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</si>
  <si>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</si>
  <si>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</si>
  <si>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</si>
  <si>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</si>
  <si>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</si>
  <si>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</si>
  <si>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</si>
  <si>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</si>
  <si>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</si>
  <si>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</si>
  <si>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</si>
  <si>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</si>
  <si>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</si>
  <si>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</si>
  <si>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</si>
  <si>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</si>
  <si>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</si>
  <si>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</si>
  <si>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</si>
  <si>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</si>
  <si>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</si>
  <si>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</si>
  <si>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</si>
  <si>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</si>
  <si>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</si>
  <si>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</si>
  <si>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</si>
  <si>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</si>
  <si>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</si>
  <si>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</si>
  <si>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</si>
  <si>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</si>
  <si>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</si>
  <si>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</si>
  <si>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</si>
  <si>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</si>
  <si>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</si>
  <si>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</si>
  <si>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</si>
  <si>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</si>
  <si>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</si>
  <si>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</si>
  <si>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</si>
  <si>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</si>
  <si>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</si>
  <si>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</si>
  <si>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</si>
  <si>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</si>
  <si>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</si>
  <si>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</si>
  <si>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</si>
  <si>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</si>
  <si>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</si>
  <si>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</si>
  <si>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</si>
  <si>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</si>
  <si>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</si>
  <si>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</si>
  <si>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</si>
  <si>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</si>
  <si>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</si>
  <si>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</si>
  <si>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</si>
  <si>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</si>
  <si>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</si>
  <si>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</si>
  <si>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</si>
  <si>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</si>
  <si>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</si>
  <si>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</si>
  <si>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</si>
  <si>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</si>
  <si>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</si>
  <si>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</si>
  <si>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</si>
  <si>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</si>
  <si>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</si>
  <si>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</si>
  <si>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</si>
  <si>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</si>
  <si>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</si>
  <si>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</si>
  <si>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</si>
  <si>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</si>
  <si>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</si>
  <si>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</si>
  <si>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</si>
  <si>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</si>
  <si>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</si>
  <si>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</si>
  <si>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</si>
  <si>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</si>
  <si>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</si>
  <si>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</si>
  <si>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</si>
  <si>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</si>
  <si>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</si>
  <si>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</si>
  <si>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</si>
  <si>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</si>
  <si>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</si>
  <si>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</si>
  <si>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</si>
  <si>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</si>
  <si>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</si>
  <si>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</si>
  <si>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</si>
  <si>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</si>
  <si>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</si>
  <si>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</si>
  <si>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</si>
  <si>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</si>
  <si>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</si>
  <si>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</si>
  <si>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</si>
  <si>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</si>
  <si>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</si>
  <si>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</si>
  <si>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</si>
  <si>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</si>
  <si>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</si>
  <si>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</si>
  <si>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</si>
  <si>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</si>
  <si>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</si>
  <si>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</si>
  <si>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</si>
  <si>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</si>
  <si>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</si>
  <si>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</si>
  <si>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</si>
  <si>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</si>
  <si>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</si>
  <si>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</si>
  <si>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</si>
  <si>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</si>
  <si>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</si>
  <si>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</si>
  <si>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</si>
  <si>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</si>
  <si>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</si>
  <si>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</si>
  <si>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</si>
  <si>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</si>
  <si>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</si>
  <si>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</si>
  <si>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</si>
  <si>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</si>
  <si>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</si>
  <si>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</si>
  <si>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</si>
  <si>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</si>
  <si>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</si>
  <si>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</si>
  <si>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</si>
  <si>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</si>
  <si>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</si>
  <si>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</si>
  <si>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</si>
  <si>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</si>
  <si>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</si>
  <si>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</si>
  <si>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</si>
  <si>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</si>
  <si>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</si>
  <si>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</si>
  <si>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</si>
  <si>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</si>
  <si>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</si>
  <si>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</si>
  <si>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</si>
  <si>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</si>
  <si>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</si>
  <si>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</si>
  <si>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</si>
  <si>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</si>
  <si>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</si>
  <si>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</si>
  <si>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</si>
  <si>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</si>
  <si>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</si>
  <si>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</si>
  <si>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</si>
  <si>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</si>
  <si>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</si>
  <si>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</si>
  <si>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</si>
  <si>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</si>
  <si>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</si>
  <si>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</si>
  <si>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</si>
  <si>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</si>
  <si>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</si>
  <si>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</si>
  <si>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</si>
  <si>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</si>
  <si>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</si>
  <si>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</si>
  <si>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</si>
  <si>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</si>
  <si>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</si>
  <si>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</si>
  <si>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</si>
  <si>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</si>
  <si>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</si>
  <si>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</si>
  <si>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</si>
  <si>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</si>
  <si>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</si>
  <si>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</si>
  <si>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</si>
  <si>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</si>
  <si>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</si>
  <si>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</si>
  <si>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</si>
  <si>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</si>
  <si>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</si>
  <si>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</si>
  <si>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</si>
  <si>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</si>
  <si>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</si>
  <si>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</si>
  <si>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</si>
  <si>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</si>
  <si>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</si>
  <si>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</si>
  <si>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</si>
  <si>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</si>
  <si>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</si>
  <si>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</si>
  <si>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</si>
  <si>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</si>
  <si>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</si>
  <si>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</si>
  <si>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</si>
  <si>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</si>
  <si>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</si>
  <si>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</si>
  <si>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</si>
  <si>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</si>
  <si>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</si>
  <si>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</si>
  <si>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</si>
  <si>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</si>
  <si>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</si>
  <si>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</si>
  <si>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</si>
  <si>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</si>
  <si>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</si>
  <si>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</si>
  <si>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</si>
  <si>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</si>
  <si>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</si>
  <si>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</si>
  <si>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</si>
  <si>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</si>
  <si>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</si>
  <si>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</si>
  <si>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</si>
  <si>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</si>
  <si>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</si>
  <si>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</si>
  <si>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</si>
  <si>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</si>
  <si>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</si>
  <si>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</si>
  <si>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</si>
  <si>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</si>
  <si>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</si>
  <si>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</si>
  <si>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</si>
  <si>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</si>
  <si>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</si>
  <si>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</si>
  <si>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</si>
  <si>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</si>
  <si>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</si>
  <si>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</si>
  <si>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</si>
  <si>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</si>
  <si>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</si>
  <si>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</si>
  <si>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</si>
  <si>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</si>
  <si>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</si>
  <si>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</si>
  <si>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</si>
  <si>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</si>
  <si>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</si>
  <si>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</si>
  <si>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</si>
  <si>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</si>
  <si>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</si>
  <si>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</si>
  <si>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</si>
  <si>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</si>
  <si>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</si>
  <si>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</si>
  <si>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</si>
  <si>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</si>
  <si>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</si>
  <si>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</si>
  <si>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</si>
  <si>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</si>
  <si>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</si>
  <si>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</si>
  <si>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</si>
  <si>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</si>
  <si>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</si>
  <si>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</si>
  <si>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</si>
  <si>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</si>
  <si>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</si>
  <si>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</si>
  <si>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</si>
  <si>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</si>
  <si>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</si>
  <si>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</si>
  <si>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</si>
  <si>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</si>
  <si>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</si>
  <si>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</si>
  <si>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</si>
  <si>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</si>
  <si>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</si>
  <si>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</si>
  <si>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</si>
  <si>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</si>
  <si>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</si>
  <si>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</si>
  <si>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</si>
  <si>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</si>
  <si>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</si>
  <si>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</si>
  <si>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</si>
  <si>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</si>
  <si>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</si>
  <si>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</si>
  <si>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</si>
  <si>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</si>
  <si>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</si>
  <si>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</si>
  <si>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</si>
  <si>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</si>
  <si>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</si>
  <si>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</si>
  <si>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</si>
  <si>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</si>
  <si>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</si>
  <si>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</si>
  <si>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</si>
  <si>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</si>
  <si>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</si>
  <si>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</si>
  <si>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</si>
  <si>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</si>
  <si>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</si>
  <si>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</si>
  <si>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</si>
  <si>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</si>
  <si>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</si>
  <si>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</si>
  <si>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</si>
  <si>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</si>
  <si>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</si>
  <si>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</si>
  <si>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</si>
  <si>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</si>
  <si>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</si>
  <si>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</si>
  <si>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</si>
  <si>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</si>
  <si>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</si>
  <si>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</si>
  <si>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</si>
  <si>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</si>
  <si>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</si>
  <si>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</si>
  <si>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</si>
  <si>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</si>
  <si>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</si>
  <si>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</si>
  <si>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</si>
  <si>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</si>
  <si>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</si>
  <si>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</si>
  <si>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</si>
  <si>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</si>
  <si>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</si>
  <si>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</si>
  <si>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</si>
  <si>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</si>
  <si>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</si>
  <si>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</si>
  <si>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</si>
  <si>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</si>
  <si>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</si>
  <si>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</si>
  <si>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</si>
  <si>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</si>
  <si>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</si>
  <si>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</si>
  <si>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</si>
  <si>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</si>
  <si>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</si>
  <si>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</si>
  <si>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</si>
  <si>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</si>
  <si>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</si>
  <si>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</si>
  <si>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</si>
  <si>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</si>
  <si>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</si>
  <si>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</si>
  <si>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</si>
  <si>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</si>
  <si>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</si>
  <si>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</si>
  <si>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</si>
  <si>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</si>
  <si>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</si>
  <si>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</si>
  <si>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</si>
  <si>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</si>
  <si>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</si>
  <si>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</si>
  <si>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</si>
  <si>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</si>
  <si>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</si>
  <si>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</si>
  <si>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</si>
  <si>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</si>
  <si>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</si>
  <si>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</si>
  <si>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</si>
  <si>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</si>
  <si>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</si>
  <si>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</si>
  <si>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</si>
  <si>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</si>
  <si>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</si>
  <si>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</si>
  <si>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</si>
  <si>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</si>
  <si>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</si>
  <si>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</si>
  <si>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</si>
  <si>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</si>
  <si>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</si>
  <si>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</si>
  <si>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</si>
  <si>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</si>
  <si>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</si>
  <si>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</si>
  <si>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</si>
  <si>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</si>
  <si>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</si>
  <si>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</si>
  <si>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</si>
  <si>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</si>
  <si>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</si>
  <si>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</si>
  <si>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</si>
  <si>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</si>
  <si>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</si>
  <si>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</si>
  <si>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</si>
  <si>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</si>
  <si>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</si>
  <si>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</si>
  <si>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</si>
  <si>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</si>
  <si>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</si>
  <si>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</si>
  <si>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</si>
  <si>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</si>
  <si>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</si>
  <si>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</si>
  <si>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</si>
  <si>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</si>
  <si>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</si>
  <si>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</si>
  <si>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</si>
  <si>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</si>
  <si>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</si>
  <si>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</si>
  <si>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</si>
  <si>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</si>
  <si>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</si>
  <si>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</si>
  <si>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</si>
  <si>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</si>
  <si>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</si>
  <si>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</si>
  <si>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</si>
  <si>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</si>
  <si>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</si>
  <si>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</si>
  <si>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</si>
  <si>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</si>
  <si>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</si>
  <si>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</si>
  <si>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</si>
  <si>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</si>
  <si>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</si>
  <si>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</si>
  <si>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</si>
  <si>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</si>
  <si>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</si>
  <si>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</si>
  <si>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</si>
  <si>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</si>
  <si>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</si>
  <si>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</si>
  <si>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</si>
  <si>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</si>
  <si>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</si>
  <si>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</si>
  <si>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</si>
  <si>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</si>
  <si>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</si>
  <si>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</si>
  <si>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</si>
  <si>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</si>
  <si>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</si>
  <si>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</si>
  <si>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</si>
  <si>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</si>
  <si>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</si>
  <si>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</si>
  <si>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</si>
  <si>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</si>
  <si>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</si>
  <si>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</si>
  <si>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</si>
  <si>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</si>
  <si>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</si>
  <si>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</si>
  <si>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</si>
  <si>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</si>
  <si>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</si>
  <si>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</si>
  <si>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</si>
  <si>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</si>
  <si>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</si>
  <si>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</si>
  <si>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</si>
  <si>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</si>
  <si>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</si>
  <si>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</si>
  <si>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</si>
  <si>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</si>
  <si>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</si>
  <si>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</si>
  <si>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</si>
  <si>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</si>
  <si>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</si>
  <si>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</si>
  <si>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</si>
  <si>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</si>
  <si>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</si>
  <si>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</si>
  <si>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</si>
  <si>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</si>
  <si>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</si>
  <si>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</si>
  <si>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</si>
  <si>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</si>
  <si>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</si>
  <si>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</si>
  <si>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</si>
  <si>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</si>
  <si>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</si>
  <si>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</si>
  <si>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</si>
  <si>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</si>
  <si>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</si>
  <si>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</si>
  <si>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</si>
  <si>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</si>
  <si>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</si>
  <si>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</si>
  <si>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</si>
  <si>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</si>
  <si>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</si>
  <si>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</si>
  <si>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</si>
  <si>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</si>
  <si>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</si>
  <si>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</si>
  <si>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</si>
  <si>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</si>
  <si>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</si>
  <si>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</si>
  <si>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</si>
  <si>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</si>
  <si>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</si>
  <si>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</si>
  <si>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</si>
  <si>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</si>
  <si>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</si>
  <si>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</si>
  <si>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</si>
  <si>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</si>
  <si>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</si>
  <si>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</si>
  <si>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</si>
  <si>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</si>
  <si>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</si>
  <si>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</si>
  <si>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</si>
  <si>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</si>
  <si>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</si>
  <si>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</si>
  <si>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</si>
  <si>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</si>
  <si>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</si>
  <si>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</si>
  <si>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</si>
  <si>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</si>
  <si>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</si>
  <si>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</si>
  <si>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</si>
  <si>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</si>
  <si>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</si>
  <si>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</si>
  <si>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</si>
  <si>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</si>
  <si>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</si>
  <si>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</si>
  <si>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</si>
  <si>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</si>
  <si>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</si>
  <si>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</si>
  <si>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</si>
  <si>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</si>
  <si>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</si>
  <si>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</si>
  <si>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</si>
  <si>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</si>
  <si>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</si>
  <si>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</si>
  <si>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</si>
  <si>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</si>
  <si>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</si>
  <si>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</si>
  <si>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</si>
  <si>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</si>
  <si>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</si>
  <si>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</si>
  <si>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</si>
  <si>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</si>
  <si>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</si>
  <si>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</si>
  <si>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</si>
  <si>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</si>
  <si>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</si>
  <si>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</si>
  <si>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</si>
  <si>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</si>
  <si>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</si>
  <si>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</si>
  <si>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</si>
  <si>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</si>
  <si>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</si>
  <si>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</si>
  <si>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</si>
  <si>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</si>
  <si>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</si>
  <si>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</si>
  <si>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</si>
  <si>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</si>
  <si>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</si>
  <si>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</si>
  <si>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</si>
  <si>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</si>
  <si>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</si>
  <si>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</si>
  <si>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</si>
  <si>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</si>
  <si>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</si>
  <si>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</si>
  <si>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</si>
  <si>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</si>
  <si>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</si>
  <si>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</si>
  <si>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</si>
  <si>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</si>
  <si>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</si>
  <si>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</si>
  <si>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</si>
  <si>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</si>
  <si>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</si>
  <si>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</si>
  <si>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</si>
  <si>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</si>
  <si>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</si>
  <si>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</si>
  <si>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</si>
  <si>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</si>
  <si>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</si>
  <si>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</si>
  <si>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</si>
  <si>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</si>
  <si>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</si>
  <si>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</si>
  <si>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</si>
  <si>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</si>
  <si>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</si>
  <si>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</si>
  <si>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</si>
  <si>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</si>
  <si>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</si>
  <si>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</si>
  <si>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</si>
  <si>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</si>
  <si>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</si>
  <si>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</si>
  <si>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</si>
  <si>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</si>
  <si>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</si>
  <si>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</si>
  <si>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</si>
  <si>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</si>
  <si>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</si>
  <si>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</si>
  <si>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</si>
  <si>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</si>
  <si>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</si>
  <si>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</si>
  <si>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</si>
  <si>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</si>
  <si>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</si>
  <si>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</si>
  <si>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</si>
  <si>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</si>
  <si>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</si>
  <si>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</si>
  <si>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</si>
  <si>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</si>
  <si>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</si>
  <si>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</si>
  <si>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</si>
  <si>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</si>
  <si>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</si>
  <si>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</si>
  <si>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</si>
  <si>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</si>
  <si>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</si>
  <si>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</si>
  <si>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</si>
  <si>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</si>
  <si>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</si>
  <si>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</si>
  <si>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</si>
  <si>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</si>
  <si>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</si>
  <si>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</si>
  <si>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</si>
  <si>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</si>
  <si>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</si>
  <si>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</si>
  <si>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</si>
  <si>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</si>
  <si>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</si>
  <si>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</si>
  <si>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</si>
  <si>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</si>
  <si>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</si>
  <si>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</si>
  <si>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</si>
  <si>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</si>
  <si>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</si>
  <si>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</si>
  <si>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</si>
  <si>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</si>
  <si>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</si>
  <si>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</si>
  <si>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</si>
  <si>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</si>
  <si>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</si>
  <si>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</si>
  <si>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</si>
  <si>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</si>
  <si>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</si>
  <si>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</si>
  <si>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</si>
  <si>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</si>
  <si>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</si>
  <si>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</si>
  <si>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</si>
  <si>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</si>
  <si>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</si>
  <si>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</si>
  <si>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</si>
  <si>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</si>
  <si>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</si>
  <si>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</si>
  <si>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</si>
  <si>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</si>
  <si>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</si>
  <si>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</si>
  <si>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</si>
  <si>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</si>
  <si>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</si>
  <si>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</si>
  <si>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</si>
  <si>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</si>
  <si>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</si>
  <si>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</si>
  <si>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</si>
  <si>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</si>
  <si>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</si>
  <si>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</si>
  <si>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</si>
  <si>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</si>
  <si>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</si>
  <si>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</si>
  <si>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</si>
  <si>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</si>
  <si>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</si>
  <si>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</si>
  <si>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</si>
  <si>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</si>
  <si>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</si>
  <si>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</si>
  <si>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</si>
  <si>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</si>
  <si>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</si>
  <si>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</si>
  <si>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</si>
  <si>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</si>
  <si>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</si>
  <si>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</si>
  <si>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</si>
  <si>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</si>
  <si>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</si>
  <si>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</si>
  <si>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</si>
  <si>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</si>
  <si>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</si>
  <si>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</si>
  <si>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</si>
  <si>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</si>
  <si>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</si>
  <si>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</si>
  <si>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</si>
  <si>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</si>
  <si>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</si>
  <si>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</si>
  <si>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</si>
  <si>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</si>
  <si>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</si>
  <si>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</si>
  <si>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</si>
  <si>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</si>
  <si>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</si>
  <si>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</si>
  <si>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</si>
  <si>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</si>
  <si>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</si>
  <si>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</si>
  <si>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</si>
  <si>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</si>
  <si>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</si>
  <si>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</si>
  <si>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</si>
  <si>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</si>
  <si>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</si>
  <si>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</si>
  <si>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</si>
  <si>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</si>
  <si>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</si>
  <si>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</si>
  <si>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</si>
  <si>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</si>
  <si>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</si>
  <si>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</si>
  <si>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</si>
  <si>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</si>
  <si>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</si>
  <si>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</si>
  <si>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</si>
  <si>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</si>
  <si>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</si>
  <si>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</si>
  <si>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</si>
  <si>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</si>
  <si>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</si>
  <si>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</si>
  <si>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</si>
  <si>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</si>
  <si>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</si>
  <si>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</si>
  <si>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</si>
  <si>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</si>
  <si>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</si>
  <si>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</si>
  <si>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</si>
  <si>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</si>
  <si>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</si>
  <si>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</si>
  <si>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</si>
  <si>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</si>
  <si>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</si>
  <si>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</si>
  <si>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</si>
  <si>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</si>
  <si>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</si>
  <si>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</si>
  <si>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</si>
  <si>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</si>
  <si>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</si>
  <si>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</si>
  <si>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</si>
  <si>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</si>
  <si>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</si>
  <si>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</si>
  <si>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</si>
  <si>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</si>
  <si>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</si>
  <si>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</si>
  <si>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</si>
  <si>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</si>
  <si>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</si>
  <si>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</si>
  <si>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</si>
  <si>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</si>
  <si>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</si>
  <si>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</si>
  <si>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</si>
  <si>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</si>
  <si>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</si>
  <si>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</si>
  <si>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</si>
  <si>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</si>
  <si>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</si>
  <si>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</si>
  <si>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</si>
  <si>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</si>
  <si>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</si>
  <si>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</si>
  <si>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</si>
  <si>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</si>
  <si>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</si>
  <si>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</si>
  <si>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</si>
  <si>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</si>
  <si>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</si>
  <si>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</si>
  <si>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</si>
  <si>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</si>
  <si>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</si>
  <si>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</si>
  <si>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</si>
  <si>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</si>
  <si>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</si>
  <si>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</si>
  <si>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</si>
  <si>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</si>
  <si>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</si>
  <si>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</si>
  <si>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</si>
  <si>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</si>
  <si>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</si>
  <si>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</si>
  <si>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</si>
  <si>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</si>
  <si>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</si>
  <si>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</si>
  <si>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</si>
  <si>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</si>
  <si>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</si>
  <si>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</si>
  <si>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</si>
  <si>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</si>
  <si>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</si>
  <si>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</si>
  <si>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</si>
  <si>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</si>
  <si>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</si>
  <si>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</si>
  <si>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</si>
  <si>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</si>
  <si>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</si>
  <si>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</si>
  <si>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</si>
  <si>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</si>
  <si>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</si>
  <si>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</si>
  <si>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</si>
  <si>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</si>
  <si>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</si>
  <si>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</si>
  <si>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</si>
  <si>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</si>
  <si>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</si>
  <si>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</si>
  <si>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</si>
  <si>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</si>
  <si>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</si>
  <si>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</si>
  <si>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</si>
  <si>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</si>
  <si>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</si>
  <si>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</si>
  <si>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</si>
  <si>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</si>
  <si>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</si>
  <si>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</si>
  <si>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</si>
  <si>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</si>
  <si>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</si>
  <si>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</si>
  <si>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</si>
  <si>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</si>
  <si>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</si>
  <si>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</si>
  <si>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</si>
  <si>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</si>
  <si>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</si>
  <si>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</si>
  <si>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</si>
  <si>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</si>
  <si>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</si>
  <si>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</si>
  <si>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</si>
  <si>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</si>
  <si>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KONSTRUKSI TRAFO</t>
  </si>
  <si>
    <t>PEKERJAAN PEMASANGAN APP</t>
  </si>
  <si>
    <t>CM2-11</t>
  </si>
  <si>
    <t>PEKERJAAN PEMASANGAN KONSTRUKSI TR</t>
  </si>
  <si>
    <t>CJ6-T</t>
  </si>
  <si>
    <t>MJ6-T</t>
  </si>
  <si>
    <t>CONDUKTOR</t>
  </si>
  <si>
    <t>CE1-3</t>
  </si>
  <si>
    <t>F1-3</t>
  </si>
  <si>
    <t>CM2-12A</t>
  </si>
  <si>
    <t>SCHOOR</t>
  </si>
  <si>
    <t>KOORDINAT : -7.007974, 110.755505</t>
  </si>
  <si>
    <t>CJ5</t>
  </si>
  <si>
    <t>Pemasangan APP Di Tiang</t>
  </si>
  <si>
    <t>Daya 23.000 VA</t>
  </si>
  <si>
    <t>PASANG BARU</t>
  </si>
  <si>
    <t>DR NURGIANTO</t>
  </si>
  <si>
    <t>B2</t>
  </si>
  <si>
    <t>DS MERAK KEC. DEMPET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</si>
</sst>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7" fillId="0" borderId="0"/>
    <xf numFmtId="41" fontId="22" fillId="0" borderId="0" applyFont="0" applyFill="0" applyBorder="0" applyAlignment="0" applyProtection="0"/>
    <xf numFmtId="0" fontId="7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5"/>
    <xf numFmtId="0" fontId="89" fillId="0" borderId="96"/>
    <xf numFmtId="43" fontId="22" fillId="0" borderId="0" applyFont="0" applyFill="0" applyBorder="0" applyAlignment="0" applyProtection="0"/>
    <xf numFmtId="0" fontId="37" fillId="20" borderId="103" applyNumberFormat="0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7" fillId="21" borderId="99" applyNumberFormat="0" applyAlignment="0" applyProtection="0"/>
    <xf numFmtId="0" fontId="33" fillId="7" borderId="107" applyNumberFormat="0" applyAlignment="0" applyProtection="0"/>
    <xf numFmtId="0" fontId="39" fillId="0" borderId="104" applyNumberFormat="0" applyFill="0" applyAlignment="0" applyProtection="0"/>
    <xf numFmtId="0" fontId="6" fillId="0" borderId="0"/>
    <xf numFmtId="0" fontId="6" fillId="0" borderId="0"/>
    <xf numFmtId="0" fontId="88" fillId="0" borderId="106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6" fillId="0" borderId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43" fontId="6" fillId="0" borderId="0" applyFont="0" applyFill="0" applyBorder="0" applyAlignment="0" applyProtection="0"/>
    <xf numFmtId="0" fontId="79" fillId="23" borderId="105"/>
    <xf numFmtId="0" fontId="79" fillId="0" borderId="105"/>
    <xf numFmtId="0" fontId="79" fillId="0" borderId="100"/>
    <xf numFmtId="0" fontId="79" fillId="0" borderId="100"/>
    <xf numFmtId="0" fontId="74" fillId="0" borderId="105"/>
    <xf numFmtId="0" fontId="74" fillId="0" borderId="105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6" fillId="0" borderId="0"/>
    <xf numFmtId="0" fontId="6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3" applyNumberFormat="0" applyAlignment="0" applyProtection="0"/>
    <xf numFmtId="0" fontId="22" fillId="27" borderId="102" applyNumberFormat="0" applyFont="0" applyAlignment="0" applyProtection="0"/>
    <xf numFmtId="0" fontId="33" fillId="7" borderId="101" applyNumberFormat="0" applyAlignment="0" applyProtection="0"/>
    <xf numFmtId="0" fontId="26" fillId="20" borderId="101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2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00"/>
    <xf numFmtId="0" fontId="79" fillId="0" borderId="100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9" fontId="22" fillId="0" borderId="0" applyFont="0" applyFill="0" applyBorder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13"/>
    <xf numFmtId="0" fontId="88" fillId="0" borderId="113"/>
    <xf numFmtId="0" fontId="89" fillId="0" borderId="114"/>
    <xf numFmtId="0" fontId="89" fillId="0" borderId="114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1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74" fillId="0" borderId="140"/>
    <xf numFmtId="0" fontId="33" fillId="7" borderId="10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16" fillId="27" borderId="125" applyNumberFormat="0" applyFont="0" applyAlignment="0" applyProtection="0"/>
    <xf numFmtId="0" fontId="3" fillId="0" borderId="0"/>
    <xf numFmtId="0" fontId="33" fillId="7" borderId="117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26" fillId="20" borderId="136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" fillId="0" borderId="0"/>
    <xf numFmtId="194" fontId="43" fillId="28" borderId="125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2" fillId="0" borderId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6" fillId="20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22" fillId="27" borderId="125" applyNumberFormat="0" applyFont="0" applyAlignment="0" applyProtection="0"/>
    <xf numFmtId="0" fontId="37" fillId="20" borderId="126" applyNumberFormat="0" applyAlignment="0" applyProtection="0"/>
    <xf numFmtId="0" fontId="88" fillId="0" borderId="123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43" fontId="22" fillId="0" borderId="0" applyFont="0" applyFill="0" applyBorder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79" fillId="23" borderId="134"/>
    <xf numFmtId="0" fontId="79" fillId="0" borderId="134"/>
    <xf numFmtId="0" fontId="74" fillId="0" borderId="134"/>
    <xf numFmtId="0" fontId="74" fillId="0" borderId="134"/>
    <xf numFmtId="43" fontId="3" fillId="0" borderId="0" applyFont="0" applyFill="0" applyBorder="0" applyAlignment="0" applyProtection="0"/>
    <xf numFmtId="0" fontId="74" fillId="0" borderId="140"/>
    <xf numFmtId="0" fontId="74" fillId="0" borderId="128"/>
    <xf numFmtId="0" fontId="74" fillId="0" borderId="128"/>
    <xf numFmtId="0" fontId="79" fillId="0" borderId="140"/>
    <xf numFmtId="0" fontId="79" fillId="23" borderId="140"/>
    <xf numFmtId="0" fontId="79" fillId="0" borderId="128"/>
    <xf numFmtId="0" fontId="74" fillId="0" borderId="118"/>
    <xf numFmtId="0" fontId="74" fillId="0" borderId="118"/>
    <xf numFmtId="0" fontId="74" fillId="0" borderId="118"/>
    <xf numFmtId="0" fontId="74" fillId="0" borderId="118"/>
    <xf numFmtId="0" fontId="79" fillId="23" borderId="128"/>
    <xf numFmtId="0" fontId="79" fillId="0" borderId="118"/>
    <xf numFmtId="0" fontId="79" fillId="0" borderId="118"/>
    <xf numFmtId="0" fontId="79" fillId="23" borderId="118"/>
    <xf numFmtId="0" fontId="79" fillId="23" borderId="118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2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33" fillId="7" borderId="117" applyNumberFormat="0" applyAlignment="0" applyProtection="0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6" applyNumberFormat="0" applyAlignment="0" applyProtection="0"/>
    <xf numFmtId="0" fontId="88" fillId="0" borderId="115"/>
    <xf numFmtId="0" fontId="89" fillId="0" borderId="116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17" applyNumberFormat="0" applyAlignment="0" applyProtection="0"/>
    <xf numFmtId="0" fontId="22" fillId="27" borderId="137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0" borderId="0"/>
    <xf numFmtId="194" fontId="43" fillId="28" borderId="125" applyAlignment="0" applyProtection="0"/>
    <xf numFmtId="0" fontId="22" fillId="0" borderId="0"/>
    <xf numFmtId="0" fontId="33" fillId="7" borderId="136" applyNumberFormat="0" applyAlignment="0" applyProtection="0"/>
    <xf numFmtId="0" fontId="33" fillId="7" borderId="136" applyNumberForma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3" fillId="0" borderId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3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37" fillId="20" borderId="132" applyNumberFormat="0" applyAlignment="0" applyProtection="0"/>
    <xf numFmtId="0" fontId="22" fillId="27" borderId="131" applyNumberFormat="0" applyFont="0" applyAlignment="0" applyProtection="0"/>
    <xf numFmtId="0" fontId="88" fillId="0" borderId="129"/>
    <xf numFmtId="0" fontId="3" fillId="0" borderId="0"/>
    <xf numFmtId="0" fontId="26" fillId="20" borderId="13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88" fillId="0" borderId="122"/>
    <xf numFmtId="0" fontId="88" fillId="0" borderId="122"/>
    <xf numFmtId="0" fontId="16" fillId="27" borderId="137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0" fontId="33" fillId="7" borderId="124" applyNumberFormat="0" applyAlignment="0" applyProtection="0"/>
    <xf numFmtId="0" fontId="39" fillId="0" borderId="127" applyNumberFormat="0" applyFill="0" applyAlignment="0" applyProtection="0"/>
    <xf numFmtId="0" fontId="26" fillId="20" borderId="136" applyNumberFormat="0" applyAlignment="0" applyProtection="0"/>
    <xf numFmtId="0" fontId="33" fillId="7" borderId="107" applyNumberFormat="0" applyAlignment="0" applyProtection="0"/>
    <xf numFmtId="0" fontId="88" fillId="0" borderId="115"/>
    <xf numFmtId="0" fontId="22" fillId="27" borderId="137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37" fillId="20" borderId="126" applyNumberFormat="0" applyAlignment="0" applyProtection="0"/>
    <xf numFmtId="0" fontId="22" fillId="27" borderId="137" applyNumberFormat="0" applyFont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33" applyNumberFormat="0" applyFill="0" applyAlignment="0" applyProtection="0"/>
    <xf numFmtId="0" fontId="33" fillId="7" borderId="130" applyNumberFormat="0" applyAlignment="0" applyProtection="0"/>
    <xf numFmtId="0" fontId="39" fillId="0" borderId="127" applyNumberFormat="0" applyFill="0" applyAlignment="0" applyProtection="0"/>
    <xf numFmtId="0" fontId="16" fillId="27" borderId="137" applyNumberFormat="0" applyFont="0" applyAlignment="0" applyProtection="0"/>
    <xf numFmtId="0" fontId="22" fillId="0" borderId="0"/>
    <xf numFmtId="0" fontId="22" fillId="0" borderId="0"/>
    <xf numFmtId="0" fontId="22" fillId="0" borderId="0"/>
    <xf numFmtId="0" fontId="3" fillId="0" borderId="0"/>
    <xf numFmtId="0" fontId="39" fillId="0" borderId="127" applyNumberFormat="0" applyFill="0" applyAlignment="0" applyProtection="0"/>
    <xf numFmtId="43" fontId="11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9" fillId="0" borderId="139" applyNumberFormat="0" applyFill="0" applyAlignment="0" applyProtection="0"/>
    <xf numFmtId="0" fontId="37" fillId="20" borderId="138" applyNumberFormat="0" applyAlignment="0" applyProtection="0"/>
    <xf numFmtId="0" fontId="22" fillId="27" borderId="137" applyNumberFormat="0" applyFont="0" applyAlignment="0" applyProtection="0"/>
    <xf numFmtId="0" fontId="88" fillId="0" borderId="135"/>
    <xf numFmtId="0" fontId="33" fillId="7" borderId="136" applyNumberFormat="0" applyAlignment="0" applyProtection="0"/>
    <xf numFmtId="0" fontId="26" fillId="20" borderId="136" applyNumberFormat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1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88" fillId="0" borderId="141"/>
    <xf numFmtId="0" fontId="33" fillId="7" borderId="136" applyNumberFormat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22" fillId="0" borderId="0"/>
  </cellStyleXfs>
  <cellXfs count="703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8" xfId="0" applyFont="1" applyFill="1" applyBorder="1" applyAlignment="1">
      <alignment horizontal="center" vertical="center"/>
    </xf>
    <xf numFmtId="0" fontId="120" fillId="33" borderId="69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9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5" xfId="2670" applyFont="1" applyFill="1" applyBorder="1" applyAlignment="1">
      <alignment horizontal="center" vertical="center"/>
    </xf>
    <xf numFmtId="167" fontId="142" fillId="40" borderId="81" xfId="2672" applyFont="1" applyFill="1" applyBorder="1" applyAlignment="1" applyProtection="1">
      <alignment horizontal="right" vertical="center" wrapText="1"/>
      <protection locked="0"/>
    </xf>
    <xf numFmtId="167" fontId="142" fillId="40" borderId="83" xfId="2672" applyFont="1" applyFill="1" applyBorder="1" applyAlignment="1" applyProtection="1">
      <alignment horizontal="right" vertical="center"/>
      <protection locked="0"/>
    </xf>
    <xf numFmtId="169" fontId="142" fillId="40" borderId="83" xfId="2672" applyNumberFormat="1" applyFont="1" applyFill="1" applyBorder="1" applyAlignment="1" applyProtection="1">
      <alignment horizontal="right" vertical="center"/>
      <protection locked="0"/>
    </xf>
    <xf numFmtId="169" fontId="142" fillId="40" borderId="86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0" xfId="2673" applyFont="1" applyFill="1" applyBorder="1" applyAlignment="1">
      <alignment vertical="center" wrapText="1"/>
    </xf>
    <xf numFmtId="0" fontId="148" fillId="43" borderId="90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4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44" fillId="0" borderId="20" xfId="1615" applyFont="1" applyBorder="1" applyAlignment="1">
      <alignment horizontal="center" vertical="center"/>
    </xf>
    <xf numFmtId="0" fontId="44" fillId="0" borderId="21" xfId="1615" applyFont="1" applyBorder="1" applyAlignment="1">
      <alignment horizontal="left" vertical="center" wrapText="1"/>
    </xf>
    <xf numFmtId="0" fontId="115" fillId="0" borderId="20" xfId="1653" applyFont="1" applyBorder="1" applyAlignment="1">
      <alignment horizontal="center" vertical="center"/>
    </xf>
    <xf numFmtId="0" fontId="176" fillId="0" borderId="20" xfId="1653" applyFont="1" applyBorder="1" applyAlignment="1">
      <alignment horizontal="center" vertical="center"/>
    </xf>
    <xf numFmtId="0" fontId="176" fillId="0" borderId="21" xfId="1653" applyFont="1" applyBorder="1" applyAlignment="1">
      <alignment vertical="center" wrapText="1"/>
    </xf>
    <xf numFmtId="0" fontId="22" fillId="0" borderId="21" xfId="1451" applyBorder="1" applyAlignment="1">
      <alignment horizontal="left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44" fillId="33" borderId="20" xfId="1615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29" fillId="48" borderId="21" xfId="1652" applyFont="1" applyFill="1" applyBorder="1" applyAlignment="1">
      <alignment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2" fillId="0" borderId="21" xfId="1652" applyFont="1" applyBorder="1" applyAlignment="1">
      <alignment horizontal="center" vertical="center"/>
    </xf>
    <xf numFmtId="0" fontId="44" fillId="48" borderId="21" xfId="1451" applyFont="1" applyFill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0" fontId="165" fillId="42" borderId="88" xfId="2673" applyFont="1" applyFill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1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2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3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1" xfId="2673" applyNumberFormat="1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65" fillId="41" borderId="88" xfId="2673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6" xfId="2670" applyFill="1" applyBorder="1" applyAlignment="1">
      <alignment horizontal="center" vertical="center"/>
    </xf>
    <xf numFmtId="0" fontId="140" fillId="0" borderId="77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left" vertical="center"/>
    </xf>
    <xf numFmtId="0" fontId="93" fillId="33" borderId="40" xfId="0" applyFont="1" applyFill="1" applyBorder="1" applyAlignment="1">
      <alignment horizontal="left" vertical="center"/>
    </xf>
    <xf numFmtId="0" fontId="121" fillId="33" borderId="74" xfId="0" applyFont="1" applyFill="1" applyBorder="1" applyAlignment="1">
      <alignment horizontal="center" vertical="center" wrapText="1"/>
    </xf>
    <xf numFmtId="0" fontId="121" fillId="33" borderId="75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center"/>
    </xf>
    <xf numFmtId="0" fontId="120" fillId="33" borderId="72" xfId="0" applyFont="1" applyFill="1" applyBorder="1" applyAlignment="1">
      <alignment horizontal="left" vertical="center"/>
    </xf>
    <xf numFmtId="0" fontId="120" fillId="33" borderId="73" xfId="0" applyFont="1" applyFill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3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4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112</xdr:row>
      <xdr:rowOff>81642</xdr:rowOff>
    </xdr:from>
    <xdr:to>
      <xdr:col>12</xdr:col>
      <xdr:colOff>41108</xdr:colOff>
      <xdr:row>115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73720E7-A420-4542-B169-8235A252EC25}"/>
            </a:ext>
          </a:extLst>
        </xdr:cNvPr>
        <xdr:cNvGrpSpPr/>
      </xdr:nvGrpSpPr>
      <xdr:grpSpPr>
        <a:xfrm>
          <a:off x="9587176" y="819689"/>
          <a:ext cx="1373647" cy="1751930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317662</xdr:colOff>
      <xdr:row>20</xdr:row>
      <xdr:rowOff>87213</xdr:rowOff>
    </xdr:from>
    <xdr:to>
      <xdr:col>17</xdr:col>
      <xdr:colOff>240196</xdr:colOff>
      <xdr:row>20</xdr:row>
      <xdr:rowOff>140804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BD09257E-6218-4320-9131-11385E207451}"/>
            </a:ext>
          </a:extLst>
        </xdr:cNvPr>
        <xdr:cNvCxnSpPr/>
      </xdr:nvCxnSpPr>
      <xdr:spPr>
        <a:xfrm>
          <a:off x="1775401" y="3118648"/>
          <a:ext cx="4494534" cy="5359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228503</xdr:colOff>
      <xdr:row>22</xdr:row>
      <xdr:rowOff>75519</xdr:rowOff>
    </xdr:from>
    <xdr:to>
      <xdr:col>8</xdr:col>
      <xdr:colOff>346613</xdr:colOff>
      <xdr:row>23</xdr:row>
      <xdr:rowOff>52268</xdr:rowOff>
    </xdr:to>
    <xdr:grpSp>
      <xdr:nvGrpSpPr>
        <xdr:cNvPr id="307" name="Group 306">
          <a:extLst>
            <a:ext uri="{FF2B5EF4-FFF2-40B4-BE49-F238E27FC236}">
              <a16:creationId xmlns:a16="http://schemas.microsoft.com/office/drawing/2014/main" id="{D4EF0DD6-D74D-41EE-9FEF-A82920FCA027}"/>
            </a:ext>
          </a:extLst>
        </xdr:cNvPr>
        <xdr:cNvGrpSpPr/>
      </xdr:nvGrpSpPr>
      <xdr:grpSpPr>
        <a:xfrm>
          <a:off x="2829242" y="3405128"/>
          <a:ext cx="118110" cy="1258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8" name="Oval 307">
            <a:extLst>
              <a:ext uri="{FF2B5EF4-FFF2-40B4-BE49-F238E27FC236}">
                <a16:creationId xmlns:a16="http://schemas.microsoft.com/office/drawing/2014/main" id="{0F6C4484-9F66-4E11-98C7-8F67AAD02D4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FAAA8AF2-FB6E-4467-BB94-928E77BD539F}"/>
              </a:ext>
            </a:extLst>
          </xdr:cNvPr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718D2A31-E66C-4399-9E63-72E2D2DEA3F6}"/>
              </a:ext>
            </a:extLst>
          </xdr:cNvPr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371255</xdr:colOff>
      <xdr:row>25</xdr:row>
      <xdr:rowOff>69671</xdr:rowOff>
    </xdr:from>
    <xdr:to>
      <xdr:col>16</xdr:col>
      <xdr:colOff>173935</xdr:colOff>
      <xdr:row>29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8783817-8CF4-43DD-9061-79D2AA9A3BFB}"/>
            </a:ext>
          </a:extLst>
        </xdr:cNvPr>
        <xdr:cNvSpPr/>
      </xdr:nvSpPr>
      <xdr:spPr>
        <a:xfrm>
          <a:off x="2590994" y="3846541"/>
          <a:ext cx="3231680" cy="526676"/>
        </a:xfrm>
        <a:prstGeom prst="rect">
          <a:avLst/>
        </a:prstGeom>
        <a:noFill/>
        <a:ln w="12700"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TNK</a:t>
          </a:r>
          <a:r>
            <a:rPr lang="en-US" sz="1000" b="1" baseline="0">
              <a:solidFill>
                <a:schemeClr val="tx1"/>
              </a:solidFill>
            </a:rPr>
            <a:t> DR NURGIANTO</a:t>
          </a:r>
        </a:p>
        <a:p>
          <a:pPr algn="ctr"/>
          <a:r>
            <a:rPr lang="en-US" sz="1000" b="1" baseline="0">
              <a:solidFill>
                <a:srgbClr val="FF0000"/>
              </a:solidFill>
            </a:rPr>
            <a:t>TURUN DAYA 53 KE 33</a:t>
          </a:r>
          <a:endParaRPr lang="ar-SA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346613</xdr:colOff>
      <xdr:row>22</xdr:row>
      <xdr:rowOff>137949</xdr:rowOff>
    </xdr:from>
    <xdr:to>
      <xdr:col>10</xdr:col>
      <xdr:colOff>372717</xdr:colOff>
      <xdr:row>22</xdr:row>
      <xdr:rowOff>138437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8CA87E90-45B4-4230-929C-FC0F3F3D4E2A}"/>
            </a:ext>
          </a:extLst>
        </xdr:cNvPr>
        <xdr:cNvCxnSpPr>
          <a:stCxn id="308" idx="6"/>
          <a:endCxn id="23" idx="2"/>
        </xdr:cNvCxnSpPr>
      </xdr:nvCxnSpPr>
      <xdr:spPr>
        <a:xfrm flipV="1">
          <a:off x="2947352" y="3467558"/>
          <a:ext cx="788104" cy="48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17668</xdr:colOff>
      <xdr:row>22</xdr:row>
      <xdr:rowOff>9540</xdr:rowOff>
    </xdr:from>
    <xdr:to>
      <xdr:col>7</xdr:col>
      <xdr:colOff>374449</xdr:colOff>
      <xdr:row>23</xdr:row>
      <xdr:rowOff>85634</xdr:rowOff>
    </xdr:to>
    <xdr:sp macro="" textlink="">
      <xdr:nvSpPr>
        <xdr:cNvPr id="324" name="Rectangle 323">
          <a:extLst>
            <a:ext uri="{FF2B5EF4-FFF2-40B4-BE49-F238E27FC236}">
              <a16:creationId xmlns:a16="http://schemas.microsoft.com/office/drawing/2014/main" id="{6C4122C1-DE99-45D0-9D2D-5ADFACA463B7}"/>
            </a:ext>
          </a:extLst>
        </xdr:cNvPr>
        <xdr:cNvSpPr/>
      </xdr:nvSpPr>
      <xdr:spPr>
        <a:xfrm rot="21350995">
          <a:off x="2237407" y="3339149"/>
          <a:ext cx="356781" cy="22518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246774</xdr:colOff>
      <xdr:row>21</xdr:row>
      <xdr:rowOff>8040</xdr:rowOff>
    </xdr:from>
    <xdr:to>
      <xdr:col>6</xdr:col>
      <xdr:colOff>39708</xdr:colOff>
      <xdr:row>21</xdr:row>
      <xdr:rowOff>115227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3A0EE8F-43D1-4A7A-8B14-6F5F934E4860}"/>
            </a:ext>
          </a:extLst>
        </xdr:cNvPr>
        <xdr:cNvSpPr/>
      </xdr:nvSpPr>
      <xdr:spPr>
        <a:xfrm rot="16200000">
          <a:off x="1737886" y="3155189"/>
          <a:ext cx="107187" cy="17393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11</xdr:col>
      <xdr:colOff>242349</xdr:colOff>
      <xdr:row>22</xdr:row>
      <xdr:rowOff>135999</xdr:rowOff>
    </xdr:from>
    <xdr:to>
      <xdr:col>16</xdr:col>
      <xdr:colOff>190500</xdr:colOff>
      <xdr:row>23</xdr:row>
      <xdr:rowOff>5427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40D5FA34-12E7-47A5-89C8-FD36BAAAE02D}"/>
            </a:ext>
          </a:extLst>
        </xdr:cNvPr>
        <xdr:cNvCxnSpPr>
          <a:stCxn id="3" idx="2"/>
          <a:endCxn id="288" idx="6"/>
        </xdr:cNvCxnSpPr>
      </xdr:nvCxnSpPr>
      <xdr:spPr>
        <a:xfrm flipH="1" flipV="1">
          <a:off x="3986088" y="3465608"/>
          <a:ext cx="1853151" cy="1851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341828</xdr:colOff>
      <xdr:row>22</xdr:row>
      <xdr:rowOff>93722</xdr:rowOff>
    </xdr:from>
    <xdr:to>
      <xdr:col>14</xdr:col>
      <xdr:colOff>78938</xdr:colOff>
      <xdr:row>23</xdr:row>
      <xdr:rowOff>54881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5D002BF7-02E8-421C-843D-C583D8044DF9}"/>
            </a:ext>
          </a:extLst>
        </xdr:cNvPr>
        <xdr:cNvGrpSpPr/>
      </xdr:nvGrpSpPr>
      <xdr:grpSpPr>
        <a:xfrm>
          <a:off x="4847567" y="3423331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3" name="Oval 282">
            <a:extLst>
              <a:ext uri="{FF2B5EF4-FFF2-40B4-BE49-F238E27FC236}">
                <a16:creationId xmlns:a16="http://schemas.microsoft.com/office/drawing/2014/main" id="{8929F990-44FE-4D90-BFD0-47A7B45597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889A8C6E-9051-4FBE-8BC9-B46843E9E8FE}"/>
              </a:ext>
            </a:extLst>
          </xdr:cNvPr>
          <xdr:cNvCxnSpPr>
            <a:stCxn id="283" idx="1"/>
            <a:endCxn id="2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F844F32A-C6B9-4CFB-B2AA-52977711EFEA}"/>
              </a:ext>
            </a:extLst>
          </xdr:cNvPr>
          <xdr:cNvCxnSpPr>
            <a:stCxn id="283" idx="3"/>
            <a:endCxn id="2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124239</xdr:colOff>
      <xdr:row>22</xdr:row>
      <xdr:rowOff>80876</xdr:rowOff>
    </xdr:from>
    <xdr:to>
      <xdr:col>11</xdr:col>
      <xdr:colOff>242349</xdr:colOff>
      <xdr:row>23</xdr:row>
      <xdr:rowOff>42035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688CD83C-57D0-411B-877C-4732EFD69A5B}"/>
            </a:ext>
          </a:extLst>
        </xdr:cNvPr>
        <xdr:cNvGrpSpPr/>
      </xdr:nvGrpSpPr>
      <xdr:grpSpPr>
        <a:xfrm>
          <a:off x="3867978" y="3410485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67E00AA8-42EA-4B6A-B547-07EF303468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FAAB651D-EDCC-4567-B73A-79C77942CA12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05D921BF-D47F-48D2-B668-1E88173CBD94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87697</xdr:colOff>
      <xdr:row>22</xdr:row>
      <xdr:rowOff>76004</xdr:rowOff>
    </xdr:from>
    <xdr:to>
      <xdr:col>6</xdr:col>
      <xdr:colOff>205807</xdr:colOff>
      <xdr:row>23</xdr:row>
      <xdr:rowOff>44958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8CC833B-19D3-4429-8036-EE3638721D52}"/>
            </a:ext>
          </a:extLst>
        </xdr:cNvPr>
        <xdr:cNvGrpSpPr/>
      </xdr:nvGrpSpPr>
      <xdr:grpSpPr>
        <a:xfrm>
          <a:off x="1926436" y="3405613"/>
          <a:ext cx="118110" cy="1180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A8B1950C-72F5-E8FA-988D-AD8B52C0CA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C18913CC-A528-5D47-A97A-79E3B57431A7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40D150A9-1466-5421-B3A4-BA6E4AAFC363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160754</xdr:colOff>
      <xdr:row>22</xdr:row>
      <xdr:rowOff>18052</xdr:rowOff>
    </xdr:from>
    <xdr:to>
      <xdr:col>10</xdr:col>
      <xdr:colOff>144330</xdr:colOff>
      <xdr:row>23</xdr:row>
      <xdr:rowOff>94146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9C012EE-5968-4010-99CB-802B192E6A47}"/>
            </a:ext>
          </a:extLst>
        </xdr:cNvPr>
        <xdr:cNvSpPr/>
      </xdr:nvSpPr>
      <xdr:spPr>
        <a:xfrm>
          <a:off x="3142493" y="3347661"/>
          <a:ext cx="364576" cy="22518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184167</xdr:colOff>
      <xdr:row>24</xdr:row>
      <xdr:rowOff>25334</xdr:rowOff>
    </xdr:from>
    <xdr:to>
      <xdr:col>7</xdr:col>
      <xdr:colOff>74544</xdr:colOff>
      <xdr:row>29</xdr:row>
      <xdr:rowOff>49696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017F1CC-9115-4DEF-A59D-393B1B13D73E}"/>
            </a:ext>
          </a:extLst>
        </xdr:cNvPr>
        <xdr:cNvSpPr txBox="1"/>
      </xdr:nvSpPr>
      <xdr:spPr>
        <a:xfrm>
          <a:off x="1641906" y="3653117"/>
          <a:ext cx="652377" cy="76979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5</xdr:col>
      <xdr:colOff>265044</xdr:colOff>
      <xdr:row>22</xdr:row>
      <xdr:rowOff>140804</xdr:rowOff>
    </xdr:from>
    <xdr:to>
      <xdr:col>6</xdr:col>
      <xdr:colOff>115956</xdr:colOff>
      <xdr:row>23</xdr:row>
      <xdr:rowOff>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A4CD2AD-D3F6-4740-A3EA-72B3B4FC7F09}"/>
            </a:ext>
          </a:extLst>
        </xdr:cNvPr>
        <xdr:cNvCxnSpPr/>
      </xdr:nvCxnSpPr>
      <xdr:spPr>
        <a:xfrm flipH="1">
          <a:off x="1722783" y="3470413"/>
          <a:ext cx="231912" cy="82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205807</xdr:colOff>
      <xdr:row>22</xdr:row>
      <xdr:rowOff>135025</xdr:rowOff>
    </xdr:from>
    <xdr:to>
      <xdr:col>8</xdr:col>
      <xdr:colOff>228503</xdr:colOff>
      <xdr:row>22</xdr:row>
      <xdr:rowOff>138437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6579391C-E03D-477F-95A6-52B0FE18A956}"/>
            </a:ext>
          </a:extLst>
        </xdr:cNvPr>
        <xdr:cNvCxnSpPr>
          <a:stCxn id="308" idx="2"/>
          <a:endCxn id="6" idx="6"/>
        </xdr:cNvCxnSpPr>
      </xdr:nvCxnSpPr>
      <xdr:spPr>
        <a:xfrm flipH="1" flipV="1">
          <a:off x="2044546" y="3464634"/>
          <a:ext cx="784696" cy="341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22</xdr:row>
      <xdr:rowOff>99391</xdr:rowOff>
    </xdr:from>
    <xdr:to>
      <xdr:col>16</xdr:col>
      <xdr:colOff>308610</xdr:colOff>
      <xdr:row>23</xdr:row>
      <xdr:rowOff>60550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177A747-6908-4776-8A57-774EB5DFC7DC}"/>
            </a:ext>
          </a:extLst>
        </xdr:cNvPr>
        <xdr:cNvGrpSpPr/>
      </xdr:nvGrpSpPr>
      <xdr:grpSpPr>
        <a:xfrm>
          <a:off x="5839239" y="3429000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404710AE-883E-BB69-6511-80C07644608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8D0FCB6-5627-72EB-F657-DDBCCEBFEE63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00D478E-7A60-3FBA-DAC5-99A0B74475F2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41413</xdr:colOff>
      <xdr:row>21</xdr:row>
      <xdr:rowOff>66261</xdr:rowOff>
    </xdr:from>
    <xdr:to>
      <xdr:col>11</xdr:col>
      <xdr:colOff>190500</xdr:colOff>
      <xdr:row>22</xdr:row>
      <xdr:rowOff>57978</xdr:rowOff>
    </xdr:to>
    <xdr:sp macro="" textlink="">
      <xdr:nvSpPr>
        <xdr:cNvPr id="18" name="Isosceles Triangle 17">
          <a:extLst>
            <a:ext uri="{FF2B5EF4-FFF2-40B4-BE49-F238E27FC236}">
              <a16:creationId xmlns:a16="http://schemas.microsoft.com/office/drawing/2014/main" id="{F328CAFC-332D-48C2-B7AA-D4DEAC4BAF6B}"/>
            </a:ext>
          </a:extLst>
        </xdr:cNvPr>
        <xdr:cNvSpPr/>
      </xdr:nvSpPr>
      <xdr:spPr>
        <a:xfrm>
          <a:off x="3785152" y="3246783"/>
          <a:ext cx="149087" cy="14080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10</xdr:col>
      <xdr:colOff>372717</xdr:colOff>
      <xdr:row>22</xdr:row>
      <xdr:rowOff>82826</xdr:rowOff>
    </xdr:from>
    <xdr:to>
      <xdr:col>11</xdr:col>
      <xdr:colOff>109827</xdr:colOff>
      <xdr:row>23</xdr:row>
      <xdr:rowOff>43985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69165CA-2948-456F-BF72-196B22B2816E}"/>
            </a:ext>
          </a:extLst>
        </xdr:cNvPr>
        <xdr:cNvGrpSpPr/>
      </xdr:nvGrpSpPr>
      <xdr:grpSpPr>
        <a:xfrm>
          <a:off x="3735456" y="3412435"/>
          <a:ext cx="118110" cy="1102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71ACF260-5367-D373-3EA2-DA0CD37CBE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ABCBF0FE-210C-F25E-4815-CB6AE499572E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5B65911-8EB2-DE00-C8A8-878D8F08962C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157370</xdr:colOff>
      <xdr:row>14</xdr:row>
      <xdr:rowOff>123656</xdr:rowOff>
    </xdr:from>
    <xdr:to>
      <xdr:col>17</xdr:col>
      <xdr:colOff>163605</xdr:colOff>
      <xdr:row>33</xdr:row>
      <xdr:rowOff>82825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6B08F1DB-A3C0-4FBF-B3B4-9257CA778E26}"/>
            </a:ext>
          </a:extLst>
        </xdr:cNvPr>
        <xdr:cNvCxnSpPr/>
      </xdr:nvCxnSpPr>
      <xdr:spPr>
        <a:xfrm flipH="1">
          <a:off x="6187109" y="2260569"/>
          <a:ext cx="6235" cy="278353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82827</xdr:colOff>
      <xdr:row>14</xdr:row>
      <xdr:rowOff>132522</xdr:rowOff>
    </xdr:from>
    <xdr:to>
      <xdr:col>5</xdr:col>
      <xdr:colOff>66263</xdr:colOff>
      <xdr:row>29</xdr:row>
      <xdr:rowOff>91109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76CE57F-7401-4805-B948-92B0366B7957}"/>
            </a:ext>
          </a:extLst>
        </xdr:cNvPr>
        <xdr:cNvSpPr txBox="1"/>
      </xdr:nvSpPr>
      <xdr:spPr>
        <a:xfrm>
          <a:off x="778566" y="2269435"/>
          <a:ext cx="745436" cy="219489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DR NURGIANTO</a:t>
          </a:r>
        </a:p>
        <a:p>
          <a:pPr algn="ctr"/>
          <a:endParaRPr lang="en-US" sz="7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PB 23 KVA</a:t>
          </a:r>
        </a:p>
      </xdr:txBody>
    </xdr:sp>
    <xdr:clientData/>
  </xdr:twoCellAnchor>
  <xdr:twoCellAnchor>
    <xdr:from>
      <xdr:col>6</xdr:col>
      <xdr:colOff>107674</xdr:colOff>
      <xdr:row>15</xdr:row>
      <xdr:rowOff>41412</xdr:rowOff>
    </xdr:from>
    <xdr:to>
      <xdr:col>16</xdr:col>
      <xdr:colOff>241658</xdr:colOff>
      <xdr:row>18</xdr:row>
      <xdr:rowOff>104262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5B5EC26F-F330-4AD6-A3CC-6B85EB2F5085}"/>
            </a:ext>
          </a:extLst>
        </xdr:cNvPr>
        <xdr:cNvSpPr/>
      </xdr:nvSpPr>
      <xdr:spPr>
        <a:xfrm>
          <a:off x="1946413" y="2327412"/>
          <a:ext cx="3943984" cy="510111"/>
        </a:xfrm>
        <a:prstGeom prst="rect">
          <a:avLst/>
        </a:prstGeom>
        <a:noFill/>
        <a:ln w="12700"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TNK</a:t>
          </a:r>
          <a:r>
            <a:rPr lang="en-US" sz="1000" b="1" baseline="0">
              <a:solidFill>
                <a:schemeClr val="tx1"/>
              </a:solidFill>
            </a:rPr>
            <a:t> DR PUJIARTI</a:t>
          </a:r>
          <a:endParaRPr lang="ar-SA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339702</xdr:colOff>
      <xdr:row>17</xdr:row>
      <xdr:rowOff>55720</xdr:rowOff>
    </xdr:from>
    <xdr:to>
      <xdr:col>13</xdr:col>
      <xdr:colOff>347291</xdr:colOff>
      <xdr:row>22</xdr:row>
      <xdr:rowOff>66261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667BF44E-7A6C-4900-AD9B-E5C2722E7A83}"/>
            </a:ext>
          </a:extLst>
        </xdr:cNvPr>
        <xdr:cNvSpPr txBox="1"/>
      </xdr:nvSpPr>
      <xdr:spPr>
        <a:xfrm>
          <a:off x="4083441" y="2639894"/>
          <a:ext cx="769589" cy="7559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8284</xdr:colOff>
      <xdr:row>24</xdr:row>
      <xdr:rowOff>16565</xdr:rowOff>
    </xdr:from>
    <xdr:to>
      <xdr:col>9</xdr:col>
      <xdr:colOff>173936</xdr:colOff>
      <xdr:row>26</xdr:row>
      <xdr:rowOff>91108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1C934AE-1574-4536-ABF4-FB98E87575EA}"/>
            </a:ext>
          </a:extLst>
        </xdr:cNvPr>
        <xdr:cNvSpPr txBox="1"/>
      </xdr:nvSpPr>
      <xdr:spPr>
        <a:xfrm>
          <a:off x="2609023" y="3644348"/>
          <a:ext cx="546652" cy="37271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</xdr:row>
      <xdr:rowOff>0</xdr:rowOff>
    </xdr:from>
    <xdr:to>
      <xdr:col>18</xdr:col>
      <xdr:colOff>485259</xdr:colOff>
      <xdr:row>47</xdr:row>
      <xdr:rowOff>138545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09E4D7-D922-7E36-4970-67F8013B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6727" y="1870364"/>
          <a:ext cx="8365032" cy="574963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23 kVA MCCB 35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NFA2X-T 3x70+1x70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100</v>
      </c>
      <c r="G13" s="41">
        <f ca="1">IF(ISERROR(OFFSET('HARGA SATUAN'!$I$6,MATCH(C13,'HARGA SATUAN'!$C$7:$C$1492,0),0)),"",OFFSET('HARGA SATUAN'!$I$6,MATCH(C13,'HARGA SATUAN'!$C$7:$C$1492,0),0))</f>
        <v>54500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KWH MPB; 3P; 4W; 230/400 V; 5(80) A; Class 1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1719200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SUMIFS(RAB!$F$14:$F$96,RAB!$C$14:$C$96,C714)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SUMIFS(RAB!$F$14:$F$96,RAB!$C$14:$C$96,C715)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SUMIFS(RAB!$F$14:$F$96,RAB!$C$14:$C$96,C716)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SUMIFS(RAB!$F$14:$F$96,RAB!$C$14:$C$96,C717)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SUMIFS(RAB!$F$14:$F$96,RAB!$C$14:$C$96,C718)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SUMIFS(RAB!$F$14:$F$96,RAB!$C$14:$C$96,C719)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SUMIFS(RAB!$F$14:$F$96,RAB!$C$14:$C$96,C720)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SUMIFS(RAB!$F$14:$F$96,RAB!$C$14:$C$96,C721)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SUMIFS(RAB!$F$14:$F$96,RAB!$C$14:$C$96,C722)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SUMIFS(RAB!$F$14:$F$96,RAB!$C$14:$C$96,C723)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SUMIFS(RAB!$F$14:$F$96,RAB!$C$14:$C$96,C724)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SUMIFS(RAB!$F$14:$F$96,RAB!$C$14:$C$96,C725)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SUMIFS(RAB!$F$14:$F$96,RAB!$C$14:$C$96,C726)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SUMIFS(RAB!$F$14:$F$96,RAB!$C$14:$C$96,C727)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SUMIFS(RAB!$F$14:$F$96,RAB!$C$14:$C$96,C728)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SUMIFS(RAB!$F$14:$F$96,RAB!$C$14:$C$96,C729)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SUMIFS(RAB!$F$14:$F$96,RAB!$C$14:$C$96,C730)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SUMIFS(RAB!$F$14:$F$96,RAB!$C$14:$C$96,C731)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SUMIFS(RAB!$F$14:$F$96,RAB!$C$14:$C$96,C732)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SUMIFS(RAB!$F$14:$F$96,RAB!$C$14:$C$96,C733)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SUMIFS(RAB!$F$14:$F$96,RAB!$C$14:$C$96,C734)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SUMIFS(RAB!$F$14:$F$96,RAB!$C$14:$C$96,C735)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SUMIFS(RAB!$F$14:$F$96,RAB!$C$14:$C$96,C736)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SUMIFS(RAB!$F$14:$F$96,RAB!$C$14:$C$96,C737)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SUMIFS(RAB!$F$14:$F$96,RAB!$C$14:$C$96,C738)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SUMIFS(RAB!$F$14:$F$96,RAB!$C$14:$C$96,C739)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SUMIFS(RAB!$F$14:$F$96,RAB!$C$14:$C$96,C740)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SUMIFS(RAB!$F$14:$F$96,RAB!$C$14:$C$96,C741)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SUMIFS(RAB!$F$14:$F$96,RAB!$C$14:$C$96,C742)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SUMIFS(RAB!$F$14:$F$96,RAB!$C$14:$C$96,C743)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SUMIFS(RAB!$F$14:$F$96,RAB!$C$14:$C$96,C744)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SUMIFS(RAB!$F$14:$F$96,RAB!$C$14:$C$96,C745)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SUMIFS(RAB!$F$14:$F$96,RAB!$C$14:$C$96,C746)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SUMIFS(RAB!$F$14:$F$96,RAB!$C$14:$C$96,C747)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SUMIFS(RAB!$F$14:$F$96,RAB!$C$14:$C$96,C748)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SUMIFS(RAB!$F$14:$F$96,RAB!$C$14:$C$96,C749)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SUMIFS(RAB!$F$14:$F$96,RAB!$C$14:$C$96,C750)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SUMIFS(RAB!$F$14:$F$96,RAB!$C$14:$C$96,C751)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SUMIFS(RAB!$F$14:$F$96,RAB!$C$14:$C$96,C752)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SUMIFS(RAB!$F$14:$F$96,RAB!$C$14:$C$96,C753)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SUMIFS(RAB!$F$14:$F$96,RAB!$C$14:$C$96,C754)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SUMIFS(RAB!$F$14:$F$96,RAB!$C$14:$C$96,C755)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SUMIFS(RAB!$F$14:$F$96,RAB!$C$14:$C$96,C756)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SUMIFS(RAB!$F$14:$F$96,RAB!$C$14:$C$96,C757)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SUMIFS(RAB!$F$14:$F$96,RAB!$C$14:$C$96,C758)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SUMIFS(RAB!$F$14:$F$96,RAB!$C$14:$C$96,C759)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SUMIFS(RAB!$F$14:$F$96,RAB!$C$14:$C$96,C760)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SUMIFS(RAB!$F$14:$F$96,RAB!$C$14:$C$96,C761)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SUMIFS(RAB!$F$14:$F$96,RAB!$C$14:$C$96,C762)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SUMIFS(RAB!$F$14:$F$96,RAB!$C$14:$C$96,C763)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SUMIFS(RAB!$F$14:$F$96,RAB!$C$14:$C$96,C764)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SUMIFS(RAB!$F$14:$F$96,RAB!$C$14:$C$96,C765)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SUMIFS(RAB!$F$14:$F$96,RAB!$C$14:$C$96,C766)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SUMIFS(RAB!$F$14:$F$96,RAB!$C$14:$C$96,C767)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SUMIFS(RAB!$F$14:$F$96,RAB!$C$14:$C$96,C768)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SUMIFS(RAB!$F$14:$F$96,RAB!$C$14:$C$96,C769)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SUMIFS(RAB!$F$14:$F$96,RAB!$C$14:$C$96,C770)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SUMIFS(RAB!$F$14:$F$96,RAB!$C$14:$C$96,C771)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SUMIFS(RAB!$F$14:$F$96,RAB!$C$14:$C$96,C772)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SUMIFS(RAB!$F$14:$F$96,RAB!$C$14:$C$96,C773)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SUMIFS(RAB!$F$14:$F$96,RAB!$C$14:$C$96,C774)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SUMIFS(RAB!$F$14:$F$96,RAB!$C$14:$C$96,C775)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SUMIFS(RAB!$F$14:$F$96,RAB!$C$14:$C$96,C776)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SUMIFS(RAB!$F$14:$F$96,RAB!$C$14:$C$96,C777)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SUMIFS(RAB!$F$14:$F$96,RAB!$C$14:$C$96,C778)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SUMIFS(RAB!$F$14:$F$96,RAB!$C$14:$C$96,C779)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SUMIFS(RAB!$F$14:$F$96,RAB!$C$14:$C$96,C780)</f>
        <v>1</v>
      </c>
      <c r="E780" s="26">
        <f t="shared" ca="1" si="34"/>
        <v>1</v>
      </c>
      <c r="F780" s="26">
        <f ca="1">IF(D780=0,0,SUM($E$713:E780))</f>
        <v>1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SUMIFS(RAB!$F$14:$F$96,RAB!$C$14:$C$96,C781)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SUMIFS(RAB!$F$14:$F$96,RAB!$C$14:$C$96,C782)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SUMIFS(RAB!$F$14:$F$96,RAB!$C$14:$C$96,C783)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SUMIFS(RAB!$F$14:$F$96,RAB!$C$14:$C$96,C784)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SUMIFS(RAB!$F$14:$F$96,RAB!$C$14:$C$96,C785)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SUMIFS(RAB!$F$14:$F$96,RAB!$C$14:$C$96,C786)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SUMIFS(RAB!$F$14:$F$96,RAB!$C$14:$C$96,C787)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SUMIFS(RAB!$F$14:$F$96,RAB!$C$14:$C$96,C788)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SUMIFS(RAB!$F$14:$F$96,RAB!$C$14:$C$96,C789)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SUMIFS(RAB!$F$14:$F$96,RAB!$C$14:$C$96,C790)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SUMIFS(RAB!$F$14:$F$96,RAB!$C$14:$C$96,C791)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SUMIFS(RAB!$F$14:$F$96,RAB!$C$14:$C$96,C792)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SUMIFS(RAB!$F$14:$F$96,RAB!$C$14:$C$96,C793)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SUMIFS(RAB!$F$14:$F$96,RAB!$C$14:$C$96,C794)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SUMIFS(RAB!$F$14:$F$96,RAB!$C$14:$C$96,C795)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SUMIFS(RAB!$F$14:$F$96,RAB!$C$14:$C$96,C796)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SUMIFS(RAB!$F$14:$F$96,RAB!$C$14:$C$96,C797)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SUMIFS(RAB!$F$14:$F$96,RAB!$C$14:$C$96,C798)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SUMIFS(RAB!$F$14:$F$96,RAB!$C$14:$C$96,C799)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SUMIFS(RAB!$F$14:$F$96,RAB!$C$14:$C$96,C800)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SUMIFS(RAB!$F$14:$F$96,RAB!$C$14:$C$96,C801)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SUMIFS(RAB!$F$14:$F$96,RAB!$C$14:$C$96,C802)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SUMIFS(RAB!$F$14:$F$96,RAB!$C$14:$C$96,C803)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SUMIFS(RAB!$F$14:$F$96,RAB!$C$14:$C$96,C804)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SUMIFS(RAB!$F$14:$F$96,RAB!$C$14:$C$96,C805)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SUMIFS(RAB!$F$14:$F$96,RAB!$C$14:$C$96,C806)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SUMIFS(RAB!$F$14:$F$96,RAB!$C$14:$C$96,C807)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SUMIFS(RAB!$F$14:$F$96,RAB!$C$14:$C$96,C808)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SUMIFS(RAB!$F$14:$F$96,RAB!$C$14:$C$96,C809)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SUMIFS(RAB!$F$14:$F$96,RAB!$C$14:$C$96,C810)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SUMIFS(RAB!$F$14:$F$96,RAB!$C$14:$C$96,C811)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SUMIFS(RAB!$F$14:$F$96,RAB!$C$14:$C$96,C812)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SUMIFS(RAB!$F$14:$F$96,RAB!$C$14:$C$96,C813)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SUMIFS(RAB!$F$14:$F$96,RAB!$C$14:$C$96,C814)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SUMIFS(RAB!$F$14:$F$96,RAB!$C$14:$C$96,C815)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SUMIFS(RAB!$F$14:$F$96,RAB!$C$14:$C$96,C816)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SUMIFS(RAB!$F$14:$F$96,RAB!$C$14:$C$96,C817)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SUMIFS(RAB!$F$14:$F$96,RAB!$C$14:$C$96,C818)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SUMIFS(RAB!$F$14:$F$96,RAB!$C$14:$C$96,C819)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SUMIFS(RAB!$F$14:$F$96,RAB!$C$14:$C$96,C820)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SUMIFS(RAB!$F$14:$F$96,RAB!$C$14:$C$96,C821)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SUMIFS(RAB!$F$14:$F$96,RAB!$C$14:$C$96,C822)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SUMIFS(RAB!$F$14:$F$96,RAB!$C$14:$C$96,C823)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SUMIFS(RAB!$F$14:$F$96,RAB!$C$14:$C$96,C824)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SUMIFS(RAB!$F$14:$F$96,RAB!$C$14:$C$96,C825)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SUMIFS(RAB!$F$14:$F$96,RAB!$C$14:$C$96,C826)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SUMIFS(RAB!$F$14:$F$96,RAB!$C$14:$C$96,C827)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SUMIFS(RAB!$F$14:$F$96,RAB!$C$14:$C$96,C828)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SUMIFS(RAB!$F$14:$F$96,RAB!$C$14:$C$96,C829)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SUMIFS(RAB!$F$14:$F$96,RAB!$C$14:$C$96,C830)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SUMIFS(RAB!$F$14:$F$96,RAB!$C$14:$C$96,C831)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SUMIFS(RAB!$F$14:$F$96,RAB!$C$14:$C$96,C832)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SUMIFS(RAB!$F$14:$F$96,RAB!$C$14:$C$96,C833)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SUMIFS(RAB!$F$14:$F$96,RAB!$C$14:$C$96,C834)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SUMIFS(RAB!$F$14:$F$96,RAB!$C$14:$C$96,C835)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SUMIFS(RAB!$F$14:$F$96,RAB!$C$14:$C$96,C836)</f>
        <v>100</v>
      </c>
      <c r="E836" s="26">
        <f t="shared" ca="1" si="34"/>
        <v>1</v>
      </c>
      <c r="F836" s="26">
        <f ca="1">IF(D836=0,0,SUM($E$713:E836))</f>
        <v>2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SUMIFS(RAB!$F$14:$F$96,RAB!$C$14:$C$96,C837)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SUMIFS(RAB!$F$14:$F$96,RAB!$C$14:$C$96,C838)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SUMIFS(RAB!$F$14:$F$96,RAB!$C$14:$C$96,C839)</f>
        <v>35</v>
      </c>
      <c r="E839" s="26">
        <f t="shared" ca="1" si="34"/>
        <v>1</v>
      </c>
      <c r="F839" s="26">
        <f ca="1">IF(D839=0,0,SUM($E$713:E839))</f>
        <v>3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SUMIFS(RAB!$F$14:$F$96,RAB!$C$14:$C$96,C840)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SUMIFS(RAB!$F$14:$F$96,RAB!$C$14:$C$96,C841)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SUMIFS(RAB!$F$14:$F$96,RAB!$C$14:$C$96,C842)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SUMIFS(RAB!$F$14:$F$96,RAB!$C$14:$C$96,C843)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SUMIFS(RAB!$F$14:$F$96,RAB!$C$14:$C$96,C844)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SUMIFS(RAB!$F$14:$F$96,RAB!$C$14:$C$96,C845)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SUMIFS(RAB!$F$14:$F$96,RAB!$C$14:$C$96,C846)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SUMIFS(RAB!$F$14:$F$96,RAB!$C$14:$C$96,C847)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SUMIFS(RAB!$F$14:$F$96,RAB!$C$14:$C$96,C848)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SUMIFS(RAB!$F$14:$F$96,RAB!$C$14:$C$96,C849)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SUMIFS(RAB!$F$14:$F$96,RAB!$C$14:$C$96,C850)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SUMIFS(RAB!$F$14:$F$96,RAB!$C$14:$C$96,C851)</f>
        <v>1</v>
      </c>
      <c r="E851" s="26">
        <f t="shared" ca="1" si="35"/>
        <v>1</v>
      </c>
      <c r="F851" s="26">
        <f ca="1">IF(D851=0,0,SUM($E$713:E851))</f>
        <v>4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SUMIFS(RAB!$F$14:$F$96,RAB!$C$14:$C$96,C852)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SUMIFS(RAB!$F$14:$F$96,RAB!$C$14:$C$96,C853)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SUMIFS(RAB!$F$14:$F$96,RAB!$C$14:$C$96,C854)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SUMIFS(RAB!$F$14:$F$96,RAB!$C$14:$C$96,C855)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SUMIFS(RAB!$F$14:$F$96,RAB!$C$14:$C$96,C856)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SUMIFS(RAB!$F$14:$F$96,RAB!$C$14:$C$96,C857)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SUMIFS(RAB!$F$14:$F$96,RAB!$C$14:$C$96,C858)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SUMIFS(RAB!$F$14:$F$96,RAB!$C$14:$C$96,C859)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SUMIFS(RAB!$F$14:$F$96,RAB!$C$14:$C$96,C860)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SUMIFS(RAB!$F$14:$F$96,RAB!$C$14:$C$96,C861)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SUMIFS(RAB!$F$14:$F$96,RAB!$C$14:$C$96,C862)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SUMIFS(RAB!$F$14:$F$96,RAB!$C$14:$C$96,C863)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SUMIFS(RAB!$F$14:$F$96,RAB!$C$14:$C$96,C864)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SUMIFS(RAB!$F$14:$F$96,RAB!$C$14:$C$96,C865)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SUMIFS(RAB!$F$14:$F$96,RAB!$C$14:$C$96,C866)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SUMIFS(RAB!$F$14:$F$96,RAB!$C$14:$C$96,C867)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SUMIFS(RAB!$F$14:$F$96,RAB!$C$14:$C$96,C868)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SUMIFS(RAB!$F$14:$F$96,RAB!$C$14:$C$96,C869)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SUMIFS(RAB!$F$14:$F$96,RAB!$C$14:$C$96,C870)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SUMIFS(RAB!$F$14:$F$96,RAB!$C$14:$C$96,C871)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SUMIFS(RAB!$F$14:$F$96,RAB!$C$14:$C$96,C872)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SUMIFS(RAB!$F$14:$F$96,RAB!$C$14:$C$96,C873)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SUMIFS(RAB!$F$14:$F$96,RAB!$C$14:$C$96,C874)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SUMIFS(RAB!$F$14:$F$96,RAB!$C$14:$C$96,C875)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SUMIFS(RAB!$F$14:$F$96,RAB!$C$14:$C$96,C876)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SUMIFS(RAB!$F$14:$F$96,RAB!$C$14:$C$96,C877)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SUMIFS(RAB!$F$14:$F$96,RAB!$C$14:$C$96,C878)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SUMIFS(RAB!$F$14:$F$96,RAB!$C$14:$C$96,C879)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SUMIFS(RAB!$F$14:$F$96,RAB!$C$14:$C$96,C880)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SUMIFS(RAB!$F$14:$F$96,RAB!$C$14:$C$96,C881)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SUMIFS(RAB!$F$14:$F$96,RAB!$C$14:$C$96,C882)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SUMIFS(RAB!$F$14:$F$96,RAB!$C$14:$C$96,C883)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SUMIFS(RAB!$F$14:$F$96,RAB!$C$14:$C$96,C884)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SUMIFS(RAB!$F$14:$F$96,RAB!$C$14:$C$96,C885)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SUMIFS(RAB!$F$14:$F$96,RAB!$C$14:$C$96,C886)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SUMIFS(RAB!$F$14:$F$96,RAB!$C$14:$C$96,C887)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SUMIFS(RAB!$F$14:$F$96,RAB!$C$14:$C$96,C888)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SUMIFS(RAB!$F$14:$F$96,RAB!$C$14:$C$96,C889)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SUMIFS(RAB!$F$14:$F$96,RAB!$C$14:$C$96,C890)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SUMIFS(RAB!$F$14:$F$96,RAB!$C$14:$C$96,C891)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SUMIFS(RAB!$F$14:$F$96,RAB!$C$14:$C$96,C892)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SUMIFS(RAB!$F$14:$F$96,RAB!$C$14:$C$96,C893)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SUMIFS(RAB!$F$14:$F$96,RAB!$C$14:$C$96,C894)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SUMIFS(RAB!$F$14:$F$96,RAB!$C$14:$C$96,C895)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SUMIFS(RAB!$F$14:$F$96,RAB!$C$14:$C$96,C896)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SUMIFS(RAB!$F$14:$F$96,RAB!$C$14:$C$96,C897)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SUMIFS(RAB!$F$14:$F$96,RAB!$C$14:$C$96,C898)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SUMIFS(RAB!$F$14:$F$96,RAB!$C$14:$C$96,C899)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SUMIFS(RAB!$F$14:$F$96,RAB!$C$14:$C$96,C900)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SUMIFS(RAB!$F$14:$F$96,RAB!$C$14:$C$96,C901)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SUMIFS(RAB!$F$14:$F$96,RAB!$C$14:$C$96,C902)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SUMIFS(RAB!$F$14:$F$96,RAB!$C$14:$C$96,C903)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SUMIFS(RAB!$F$14:$F$96,RAB!$C$14:$C$96,C904)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SUMIFS(RAB!$F$14:$F$96,RAB!$C$14:$C$96,C905)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SUMIFS(RAB!$F$14:$F$96,RAB!$C$14:$C$96,C906)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SUMIFS(RAB!$F$14:$F$96,RAB!$C$14:$C$96,C907)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SUMIFS(RAB!$F$14:$F$96,RAB!$C$14:$C$96,C908)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SUMIFS(RAB!$F$14:$F$96,RAB!$C$14:$C$96,C909)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SUMIFS(RAB!$F$14:$F$96,RAB!$C$14:$C$96,C910)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SUMIFS(RAB!$F$14:$F$96,RAB!$C$14:$C$96,C911)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SUMIFS(RAB!$F$14:$F$96,RAB!$C$14:$C$96,C912)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SUMIFS(RAB!$F$14:$F$96,RAB!$C$14:$C$96,C913)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SUMIFS(RAB!$F$14:$F$96,RAB!$C$14:$C$96,C914)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SUMIFS(RAB!$F$14:$F$96,RAB!$C$14:$C$96,C915)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SUMIFS(RAB!$F$14:$F$96,RAB!$C$14:$C$96,C916)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SUMIFS(RAB!$F$14:$F$96,RAB!$C$14:$C$96,C917)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SUMIFS(RAB!$F$14:$F$96,RAB!$C$14:$C$96,C918)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SUMIFS(RAB!$F$14:$F$96,RAB!$C$14:$C$96,C919)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SUMIFS(RAB!$F$14:$F$96,RAB!$C$14:$C$96,C920)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SUMIFS(RAB!$F$14:$F$96,RAB!$C$14:$C$96,C921)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SUMIFS(RAB!$F$14:$F$96,RAB!$C$14:$C$96,C922)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SUMIFS(RAB!$F$14:$F$96,RAB!$C$14:$C$96,C923)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SUMIFS(RAB!$F$14:$F$96,RAB!$C$14:$C$96,C924)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SUMIFS(RAB!$F$14:$F$96,RAB!$C$14:$C$96,C925)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SUMIFS(RAB!$F$14:$F$96,RAB!$C$14:$C$96,C926)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SUMIFS(RAB!$F$14:$F$96,RAB!$C$14:$C$96,C927)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SUMIFS(RAB!$F$14:$F$96,RAB!$C$14:$C$96,C928)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SUMIFS(RAB!$F$14:$F$96,RAB!$C$14:$C$96,C929)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SUMIFS(RAB!$F$14:$F$96,RAB!$C$14:$C$96,C930)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SUMIFS(RAB!$F$14:$F$96,RAB!$C$14:$C$96,C931)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SUMIFS(RAB!$F$14:$F$96,RAB!$C$14:$C$96,C932)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SUMIFS(RAB!$F$14:$F$96,RAB!$C$14:$C$96,C933)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SUMIFS(RAB!$F$14:$F$96,RAB!$C$14:$C$96,C934)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SUMIFS(RAB!$F$14:$F$96,RAB!$C$14:$C$96,C935)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SUMIFS(RAB!$F$14:$F$96,RAB!$C$14:$C$96,C936)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SUMIFS(RAB!$F$14:$F$96,RAB!$C$14:$C$96,C937)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SUMIFS(RAB!$F$14:$F$96,RAB!$C$14:$C$96,C938)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SUMIFS(RAB!$F$14:$F$96,RAB!$C$14:$C$96,C939)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SUMIFS(RAB!$F$14:$F$96,RAB!$C$14:$C$96,C940)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SUMIFS(RAB!$F$14:$F$96,RAB!$C$14:$C$96,C941)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SUMIFS(RAB!$F$14:$F$96,RAB!$C$14:$C$96,C942)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SUMIFS(RAB!$F$14:$F$96,RAB!$C$14:$C$96,C943)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SUMIFS(RAB!$F$14:$F$96,RAB!$C$14:$C$96,C944)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SUMIFS(RAB!$F$14:$F$96,RAB!$C$14:$C$96,C945)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SUMIFS(RAB!$F$14:$F$96,RAB!$C$14:$C$96,C946)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SUMIFS(RAB!$F$14:$F$96,RAB!$C$14:$C$96,C947)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SUMIFS(RAB!$F$14:$F$96,RAB!$C$14:$C$96,C948)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SUMIFS(RAB!$F$14:$F$96,RAB!$C$14:$C$96,C949)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SUMIFS(RAB!$F$14:$F$96,RAB!$C$14:$C$96,C950)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SUMIFS(RAB!$F$14:$F$96,RAB!$C$14:$C$96,C951)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SUMIFS(RAB!$F$14:$F$96,RAB!$C$14:$C$96,C952)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SUMIFS(RAB!$F$14:$F$96,RAB!$C$14:$C$96,C953)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SUMIFS(RAB!$F$14:$F$96,RAB!$C$14:$C$96,C954)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SUMIFS(RAB!$F$14:$F$96,RAB!$C$14:$C$96,C955)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SUMIFS(RAB!$F$14:$F$96,RAB!$C$14:$C$96,C956)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SUMIFS(RAB!$F$14:$F$96,RAB!$C$14:$C$96,C957)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SUMIFS(RAB!$F$14:$F$96,RAB!$C$14:$C$96,C958)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SUMIFS(RAB!$F$14:$F$96,RAB!$C$14:$C$96,C959)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SUMIFS(RAB!$F$14:$F$96,RAB!$C$14:$C$96,C960)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SUMIFS(RAB!$F$14:$F$96,RAB!$C$14:$C$96,C961)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SUMIFS(RAB!$F$14:$F$96,RAB!$C$14:$C$96,C962)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SUMIFS(RAB!$F$14:$F$96,RAB!$C$14:$C$96,C963)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SUMIFS(RAB!$F$14:$F$96,RAB!$C$14:$C$96,C964)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SUMIFS(RAB!$F$14:$F$96,RAB!$C$14:$C$96,C965)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SUMIFS(RAB!$F$14:$F$96,RAB!$C$14:$C$96,C966)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SUMIFS(RAB!$F$14:$F$96,RAB!$C$14:$C$96,C967)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SUMIFS(RAB!$F$14:$F$96,RAB!$C$14:$C$96,C968)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SUMIFS(RAB!$F$14:$F$96,RAB!$C$14:$C$96,C969)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SUMIFS(RAB!$F$14:$F$96,RAB!$C$14:$C$96,C970)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SUMIFS(RAB!$F$14:$F$96,RAB!$C$14:$C$96,C971)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SUMIFS(RAB!$F$14:$F$96,RAB!$C$14:$C$96,C972)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SUMIFS(RAB!$F$14:$F$96,RAB!$C$14:$C$96,C973)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SUMIFS(RAB!$F$14:$F$96,RAB!$C$14:$C$96,C974)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SUMIFS(RAB!$F$14:$F$96,RAB!$C$14:$C$96,C975)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SUMIFS(RAB!$F$14:$F$96,RAB!$C$14:$C$96,C976)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SUMIFS(RAB!$F$14:$F$96,RAB!$C$14:$C$96,C977)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SUMIFS(RAB!$F$14:$F$96,RAB!$C$14:$C$96,C978)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SUMIFS(RAB!$F$14:$F$96,RAB!$C$14:$C$96,C979)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SUMIFS(RAB!$F$14:$F$96,RAB!$C$14:$C$96,C980)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SUMIFS(RAB!$F$14:$F$96,RAB!$C$14:$C$96,C981)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SUMIFS(RAB!$F$14:$F$96,RAB!$C$14:$C$96,C982)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SUMIFS(RAB!$F$14:$F$96,RAB!$C$14:$C$96,C983)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SUMIFS(RAB!$F$14:$F$96,RAB!$C$14:$C$96,C984)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SUMIFS(RAB!$F$14:$F$96,RAB!$C$14:$C$96,C985)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SUMIFS(RAB!$F$14:$F$96,RAB!$C$14:$C$96,C986)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SUMIFS(RAB!$F$14:$F$96,RAB!$C$14:$C$96,C987)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SUMIFS(RAB!$F$14:$F$96,RAB!$C$14:$C$96,C988)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SUMIFS(RAB!$F$14:$F$96,RAB!$C$14:$C$96,C989)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SUMIFS(RAB!$F$14:$F$96,RAB!$C$14:$C$96,C990)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SUMIFS(RAB!$F$14:$F$96,RAB!$C$14:$C$96,C991)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SUMIFS(RAB!$F$14:$F$96,RAB!$C$14:$C$96,C992)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SUMIFS(RAB!$F$14:$F$96,RAB!$C$14:$C$96,C993)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SUMIFS(RAB!$F$14:$F$96,RAB!$C$14:$C$96,C994)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SUMIFS(RAB!$F$14:$F$96,RAB!$C$14:$C$96,C995)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SUMIFS(RAB!$F$14:$F$96,RAB!$C$14:$C$96,C996)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SUMIFS(RAB!$F$14:$F$96,RAB!$C$14:$C$96,C997)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SUMIFS(RAB!$F$14:$F$96,RAB!$C$14:$C$96,C998)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SUMIFS(RAB!$F$14:$F$96,RAB!$C$14:$C$96,C999)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SUMIFS(RAB!$F$14:$F$96,RAB!$C$14:$C$96,C1000)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SUMIFS(RAB!$F$14:$F$96,RAB!$C$14:$C$96,C1001)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SUMIFS(RAB!$F$14:$F$96,RAB!$C$14:$C$96,C1002)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SUMIFS(RAB!$F$14:$F$96,RAB!$C$14:$C$96,C1003)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SUMIFS(RAB!$F$14:$F$96,RAB!$C$14:$C$96,C1004)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SUMIFS(RAB!$F$14:$F$96,RAB!$C$14:$C$96,C1005)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SUMIFS(RAB!$F$14:$F$96,RAB!$C$14:$C$96,C1006)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SUMIFS(RAB!$F$14:$F$96,RAB!$C$14:$C$96,C1007)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SUMIFS(RAB!$F$14:$F$96,RAB!$C$14:$C$96,C1008)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SUMIFS(RAB!$F$14:$F$96,RAB!$C$14:$C$96,C1009)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SUMIFS(RAB!$F$14:$F$96,RAB!$C$14:$C$96,C1010)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SUMIFS(RAB!$F$14:$F$96,RAB!$C$14:$C$96,C1011)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SUMIFS(RAB!$F$14:$F$96,RAB!$C$14:$C$96,C1012)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SUMIFS(RAB!$F$14:$F$96,RAB!$C$14:$C$96,C1013)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SUMIFS(RAB!$F$14:$F$96,RAB!$C$14:$C$96,C1014)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SUMIFS(RAB!$F$14:$F$96,RAB!$C$14:$C$96,C1015)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SUMIFS(RAB!$F$14:$F$96,RAB!$C$14:$C$96,C1016)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SUMIFS(RAB!$F$14:$F$96,RAB!$C$14:$C$96,C1017)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SUMIFS(RAB!$F$14:$F$96,RAB!$C$14:$C$96,C1018)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SUMIFS(RAB!$F$14:$F$96,RAB!$C$14:$C$96,C1019)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SUMIFS(RAB!$F$14:$F$96,RAB!$C$14:$C$96,C1020)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SUMIFS(RAB!$F$14:$F$96,RAB!$C$14:$C$96,C1021)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SUMIFS(RAB!$F$14:$F$96,RAB!$C$14:$C$96,C1022)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SUMIFS(RAB!$F$14:$F$96,RAB!$C$14:$C$96,C1023)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SUMIFS(RAB!$F$14:$F$96,RAB!$C$14:$C$96,C1024)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SUMIFS(RAB!$F$14:$F$96,RAB!$C$14:$C$96,C1025)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SUMIFS(RAB!$F$14:$F$96,RAB!$C$14:$C$96,C1026)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SUMIFS(RAB!$F$14:$F$96,RAB!$C$14:$C$96,C1027)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SUMIFS(RAB!$F$14:$F$96,RAB!$C$14:$C$96,C1028)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SUMIFS(RAB!$F$14:$F$96,RAB!$C$14:$C$96,C1029)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SUMIFS(RAB!$F$14:$F$96,RAB!$C$14:$C$96,C1030)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SUMIFS(RAB!$F$14:$F$96,RAB!$C$14:$C$96,C1031)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SUMIFS(RAB!$F$14:$F$96,RAB!$C$14:$C$96,C1032)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SUMIFS(RAB!$F$14:$F$96,RAB!$C$14:$C$96,C1033)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SUMIFS(RAB!$F$14:$F$96,RAB!$C$14:$C$96,C1034)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SUMIFS(RAB!$F$14:$F$96,RAB!$C$14:$C$96,C1035)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SUMIFS(RAB!$F$14:$F$96,RAB!$C$14:$C$96,C1036)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SUMIFS(RAB!$F$14:$F$96,RAB!$C$14:$C$96,C1037)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SUMIFS(RAB!$F$14:$F$96,RAB!$C$14:$C$96,C1038)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SUMIFS(RAB!$F$14:$F$96,RAB!$C$14:$C$96,C1039)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SUMIFS(RAB!$F$14:$F$96,RAB!$C$14:$C$96,C1040)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SUMIFS(RAB!$F$14:$F$96,RAB!$C$14:$C$96,C1041)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SUMIFS(RAB!$F$14:$F$96,RAB!$C$14:$C$96,C1042)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SUMIFS(RAB!$F$14:$F$96,RAB!$C$14:$C$96,C1043)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SUMIFS(RAB!$F$14:$F$96,RAB!$C$14:$C$96,C1044)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SUMIFS(RAB!$F$14:$F$96,RAB!$C$14:$C$96,C1045)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SUMIFS(RAB!$F$14:$F$96,RAB!$C$14:$C$96,C1046)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SUMIFS(RAB!$F$14:$F$96,RAB!$C$14:$C$96,C1047)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SUMIFS(RAB!$F$14:$F$96,RAB!$C$14:$C$96,C1048)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SUMIFS(RAB!$F$14:$F$96,RAB!$C$14:$C$96,C1049)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SUMIFS(RAB!$F$14:$F$96,RAB!$C$14:$C$96,C1050)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SUMIFS(RAB!$F$14:$F$96,RAB!$C$14:$C$96,C1051)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SUMIFS(RAB!$F$14:$F$96,RAB!$C$14:$C$96,C1052)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SUMIFS(RAB!$F$14:$F$96,RAB!$C$14:$C$96,C1053)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SUMIFS(RAB!$F$14:$F$96,RAB!$C$14:$C$96,C1054)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SUMIFS(RAB!$F$14:$F$96,RAB!$C$14:$C$96,C1055)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SUMIFS(RAB!$F$14:$F$96,RAB!$C$14:$C$96,C1056)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SUMIFS(RAB!$F$14:$F$96,RAB!$C$14:$C$96,C1057)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SUMIFS(RAB!$F$14:$F$96,RAB!$C$14:$C$96,C1058)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SUMIFS(RAB!$F$14:$F$96,RAB!$C$14:$C$96,C1059)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SUMIFS(RAB!$F$14:$F$96,RAB!$C$14:$C$96,C1060)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SUMIFS(RAB!$F$14:$F$96,RAB!$C$14:$C$96,C1061)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SUMIFS(RAB!$F$14:$F$96,RAB!$C$14:$C$96,C1062)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SUMIFS(RAB!$F$14:$F$96,RAB!$C$14:$C$96,C1063)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SUMIFS(RAB!$F$14:$F$96,RAB!$C$14:$C$96,C1064)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SUMIFS(RAB!$F$14:$F$96,RAB!$C$14:$C$96,C1065)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SUMIFS(RAB!$F$14:$F$96,RAB!$C$14:$C$96,C1066)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SUMIFS(RAB!$F$14:$F$96,RAB!$C$14:$C$96,C1067)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SUMIFS(RAB!$F$14:$F$96,RAB!$C$14:$C$96,C1068)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SUMIFS(RAB!$F$14:$F$96,RAB!$C$14:$C$96,C1069)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SUMIFS(RAB!$F$14:$F$96,RAB!$C$14:$C$96,C1070)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SUMIFS(RAB!$F$14:$F$96,RAB!$C$14:$C$96,C1071)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SUMIFS(RAB!$F$14:$F$96,RAB!$C$14:$C$96,C1072)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SUMIFS(RAB!$F$14:$F$96,RAB!$C$14:$C$96,C1073)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SUMIFS(RAB!$F$14:$F$96,RAB!$C$14:$C$96,C1074)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SUMIFS(RAB!$F$14:$F$96,RAB!$C$14:$C$96,C1075)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SUMIFS(RAB!$F$14:$F$96,RAB!$C$14:$C$96,C1076)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SUMIFS(RAB!$F$14:$F$96,RAB!$C$14:$C$96,C1077)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SUMIFS(RAB!$F$14:$F$96,RAB!$C$14:$C$96,C1078)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SUMIFS(RAB!$F$14:$F$96,RAB!$C$14:$C$96,C1079)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SUMIFS(RAB!$F$14:$F$96,RAB!$C$14:$C$96,C1080)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SUMIFS(RAB!$F$14:$F$96,RAB!$C$14:$C$96,C1081)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SUMIFS(RAB!$F$14:$F$96,RAB!$C$14:$C$96,C1082)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SUMIFS(RAB!$F$14:$F$96,RAB!$C$14:$C$96,C1083)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SUMIFS(RAB!$F$14:$F$96,RAB!$C$14:$C$96,C1084)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SUMIFS(RAB!$F$14:$F$96,RAB!$C$14:$C$96,C1085)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SUMIFS(RAB!$F$14:$F$96,RAB!$C$14:$C$96,C1086)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SUMIFS(RAB!$F$14:$F$96,RAB!$C$14:$C$96,C1087)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SUMIFS(RAB!$F$14:$F$96,RAB!$C$14:$C$96,C1088)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SUMIFS(RAB!$F$14:$F$96,RAB!$C$14:$C$96,C1089)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SUMIFS(RAB!$F$14:$F$96,RAB!$C$14:$C$96,C1090)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SUMIFS(RAB!$F$14:$F$96,RAB!$C$14:$C$96,C1091)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SUMIFS(RAB!$F$14:$F$96,RAB!$C$14:$C$96,C1092)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SUMIFS(RAB!$F$14:$F$96,RAB!$C$14:$C$96,C1093)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SUMIFS(RAB!$F$14:$F$96,RAB!$C$14:$C$96,C1094)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SUMIFS(RAB!$F$14:$F$96,RAB!$C$14:$C$96,C1095)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SUMIFS(RAB!$F$14:$F$96,RAB!$C$14:$C$96,C1096)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SUMIFS(RAB!$F$14:$F$96,RAB!$C$14:$C$96,C1097)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SUMIFS(RAB!$F$14:$F$96,RAB!$C$14:$C$96,C1098)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SUMIFS(RAB!$F$14:$F$96,RAB!$C$14:$C$96,C1099)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SUMIFS(RAB!$F$14:$F$96,RAB!$C$14:$C$96,C1100)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SUMIFS(RAB!$F$14:$F$96,RAB!$C$14:$C$96,C1101)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SUMIFS(RAB!$F$14:$F$96,RAB!$C$14:$C$96,C1102)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SUMIFS(RAB!$F$14:$F$96,RAB!$C$14:$C$96,C1103)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SUMIFS(RAB!$F$14:$F$96,RAB!$C$14:$C$96,C1104)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SUMIFS(RAB!$F$14:$F$96,RAB!$C$14:$C$96,C1105)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SUMIFS(RAB!$F$14:$F$96,RAB!$C$14:$C$96,C1106)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SUMIFS(RAB!$F$14:$F$96,RAB!$C$14:$C$96,C1107)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SUMIFS(RAB!$F$14:$F$96,RAB!$C$14:$C$96,C1108)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SUMIFS(RAB!$F$14:$F$96,RAB!$C$14:$C$96,C1109)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SUMIFS(RAB!$F$14:$F$96,RAB!$C$14:$C$96,C1110)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SUMIFS(RAB!$F$14:$F$96,RAB!$C$14:$C$96,C1111)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SUMIFS(RAB!$F$14:$F$96,RAB!$C$14:$C$96,C1112)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SUMIFS(RAB!$F$14:$F$96,RAB!$C$14:$C$96,C1113)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SUMIFS(RAB!$F$14:$F$96,RAB!$C$14:$C$96,C1114)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SUMIFS(RAB!$F$14:$F$96,RAB!$C$14:$C$96,C1115)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SUMIFS(RAB!$F$14:$F$96,RAB!$C$14:$C$96,C1116)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SUMIFS(RAB!$F$14:$F$96,RAB!$C$14:$C$96,C1117)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SUMIFS(RAB!$F$14:$F$96,RAB!$C$14:$C$96,C1118)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SUMIFS(RAB!$F$14:$F$96,RAB!$C$14:$C$96,C1119)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SUMIFS(RAB!$F$14:$F$96,RAB!$C$14:$C$96,C1120)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SUMIFS(RAB!$F$14:$F$96,RAB!$C$14:$C$96,C1121)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SUMIFS(RAB!$F$14:$F$96,RAB!$C$14:$C$96,C1122)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SUMIFS(RAB!$F$14:$F$96,RAB!$C$14:$C$96,C1123)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SUMIFS(RAB!$F$14:$F$96,RAB!$C$14:$C$96,C1124)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SUMIFS(RAB!$F$14:$F$96,RAB!$C$14:$C$96,C1125)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SUMIFS(RAB!$F$14:$F$96,RAB!$C$14:$C$96,C1126)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SUMIFS(RAB!$F$14:$F$96,RAB!$C$14:$C$96,C1127)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SUMIFS(RAB!$F$14:$F$96,RAB!$C$14:$C$96,C1128)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SUMIFS(RAB!$F$14:$F$96,RAB!$C$14:$C$96,C1129)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SUMIFS(RAB!$F$14:$F$96,RAB!$C$14:$C$96,C1130)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SUMIFS(RAB!$F$14:$F$96,RAB!$C$14:$C$96,C1131)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SUMIFS(RAB!$F$14:$F$96,RAB!$C$14:$C$96,C1132)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SUMIFS(RAB!$F$14:$F$96,RAB!$C$14:$C$96,C1133)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SUMIFS(RAB!$F$14:$F$96,RAB!$C$14:$C$96,C1134)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SUMIFS(RAB!$F$14:$F$96,RAB!$C$14:$C$96,C1135)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SUMIFS(RAB!$F$14:$F$96,RAB!$C$14:$C$96,C1136)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SUMIFS(RAB!$F$14:$F$96,RAB!$C$14:$C$96,C1137)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SUMIFS(RAB!$F$14:$F$96,RAB!$C$14:$C$96,C1138)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SUMIFS(RAB!$F$14:$F$96,RAB!$C$14:$C$96,C1139)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SUMIFS(RAB!$F$14:$F$96,RAB!$C$14:$C$96,C1140)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SUMIFS(RAB!$F$14:$F$96,RAB!$C$14:$C$96,C1141)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SUMIFS(RAB!$F$14:$F$96,RAB!$C$14:$C$96,C1142)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SUMIFS(RAB!$F$14:$F$96,RAB!$C$14:$C$96,C1143)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SUMIFS(RAB!$F$14:$F$96,RAB!$C$14:$C$96,C1144)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SUMIFS(RAB!$F$14:$F$96,RAB!$C$14:$C$96,C1145)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SUMIFS(RAB!$F$14:$F$96,RAB!$C$14:$C$96,C1146)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SUMIFS(RAB!$F$14:$F$96,RAB!$C$14:$C$96,C1147)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SUMIFS(RAB!$F$14:$F$96,RAB!$C$14:$C$96,C1148)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SUMIFS(RAB!$F$14:$F$96,RAB!$C$14:$C$96,C1149)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SUMIFS(RAB!$F$14:$F$96,RAB!$C$14:$C$96,C1150)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SUMIFS(RAB!$F$14:$F$96,RAB!$C$14:$C$96,C1151)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SUMIFS(RAB!$F$14:$F$96,RAB!$C$14:$C$96,C1152)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SUMIFS(RAB!$F$14:$F$96,RAB!$C$14:$C$96,C1153)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SUMIFS(RAB!$F$14:$F$96,RAB!$C$14:$C$96,C1154)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SUMIFS(RAB!$F$14:$F$96,RAB!$C$14:$C$96,C1155)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SUMIFS(RAB!$F$14:$F$96,RAB!$C$14:$C$96,C1156)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SUMIFS(RAB!$F$14:$F$96,RAB!$C$14:$C$96,C1157)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SUMIFS(RAB!$F$14:$F$96,RAB!$C$14:$C$96,C1158)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SUMIFS(RAB!$F$14:$F$96,RAB!$C$14:$C$96,C1159)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SUMIFS(RAB!$F$14:$F$96,RAB!$C$14:$C$96,C1160)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SUMIFS(RAB!$F$14:$F$96,RAB!$C$14:$C$96,C1161)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SUMIFS(RAB!$F$14:$F$96,RAB!$C$14:$C$96,C1162)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SUMIFS(RAB!$F$14:$F$96,RAB!$C$14:$C$96,C1163)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SUMIFS(RAB!$F$14:$F$96,RAB!$C$14:$C$96,C1164)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SUMIFS(RAB!$F$14:$F$96,RAB!$C$14:$C$96,C1165)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SUMIFS(RAB!$F$14:$F$96,RAB!$C$14:$C$96,C1166)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SUMIFS(RAB!$F$14:$F$96,RAB!$C$14:$C$96,C1167)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SUMIFS(RAB!$F$14:$F$96,RAB!$C$14:$C$96,C1168)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SUMIFS(RAB!$F$14:$F$96,RAB!$C$14:$C$96,C1169)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SUMIFS(RAB!$F$14:$F$96,RAB!$C$14:$C$96,C1170)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SUMIFS(RAB!$F$14:$F$96,RAB!$C$14:$C$96,C1171)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SUMIFS(RAB!$F$14:$F$96,RAB!$C$14:$C$96,C1172)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SUMIFS(RAB!$F$14:$F$96,RAB!$C$14:$C$96,C1173)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SUMIFS(RAB!$F$14:$F$96,RAB!$C$14:$C$96,C1174)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SUMIFS(RAB!$F$14:$F$96,RAB!$C$14:$C$96,C1175)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SUMIFS(RAB!$F$14:$F$96,RAB!$C$14:$C$96,C1176)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SUMIFS(RAB!$F$14:$F$96,RAB!$C$14:$C$96,C1177)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SUMIFS(RAB!$F$14:$F$96,RAB!$C$14:$C$96,C1178)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SUMIFS(RAB!$F$14:$F$96,RAB!$C$14:$C$96,C1179)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SUMIFS(RAB!$F$14:$F$96,RAB!$C$14:$C$96,C1180)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SUMIFS(RAB!$F$14:$F$96,RAB!$C$14:$C$96,C1181)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SUMIFS(RAB!$F$14:$F$96,RAB!$C$14:$C$96,C1182)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SUMIFS(RAB!$F$14:$F$96,RAB!$C$14:$C$96,C1183)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SUMIFS(RAB!$F$14:$F$96,RAB!$C$14:$C$96,C1184)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SUMIFS(RAB!$F$14:$F$96,RAB!$C$14:$C$96,C1185)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SUMIFS(RAB!$F$14:$F$96,RAB!$C$14:$C$96,C1186)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SUMIFS(RAB!$F$14:$F$96,RAB!$C$14:$C$96,C1187)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SUMIFS(RAB!$F$14:$F$96,RAB!$C$14:$C$96,C1188)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SUMIFS(RAB!$F$14:$F$96,RAB!$C$14:$C$96,C1189)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SUMIFS(RAB!$F$14:$F$96,RAB!$C$14:$C$96,C1190)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SUMIFS(RAB!$F$14:$F$96,RAB!$C$14:$C$96,C1191)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SUMIFS(RAB!$F$14:$F$96,RAB!$C$14:$C$96,C1192)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SUMIFS(RAB!$F$14:$F$96,RAB!$C$14:$C$96,C1193)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SUMIFS(RAB!$F$14:$F$96,RAB!$C$14:$C$96,C1194)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SUMIFS(RAB!$F$14:$F$96,RAB!$C$14:$C$96,C1195)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SUMIFS(RAB!$F$14:$F$96,RAB!$C$14:$C$96,C1196)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SUMIFS(RAB!$F$14:$F$96,RAB!$C$14:$C$96,C1197)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SUMIFS(RAB!$F$14:$F$96,RAB!$C$14:$C$96,C1198)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SUMIFS(RAB!$F$14:$F$96,RAB!$C$14:$C$96,C1199)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SUMIFS(RAB!$F$14:$F$96,RAB!$C$14:$C$96,C1200)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SUMIFS(RAB!$F$14:$F$96,RAB!$C$14:$C$96,C1201)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SUMIFS(RAB!$F$14:$F$96,RAB!$C$14:$C$96,C1202)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SUMIFS(RAB!$F$14:$F$96,RAB!$C$14:$C$96,C1203)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SUMIFS(RAB!$F$14:$F$96,RAB!$C$14:$C$96,C1204)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SUMIFS(RAB!$F$14:$F$96,RAB!$C$14:$C$96,C1205)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SUMIFS(RAB!$F$14:$F$96,RAB!$C$14:$C$96,C1206)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SUMIFS(RAB!$F$14:$F$96,RAB!$C$14:$C$96,C1207)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SUMIFS(RAB!$F$14:$F$96,RAB!$C$14:$C$96,C1208)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SUMIFS(RAB!$F$14:$F$96,RAB!$C$14:$C$96,C1209)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SUMIFS(RAB!$F$14:$F$96,RAB!$C$14:$C$96,C1210)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SUMIFS(RAB!$F$14:$F$96,RAB!$C$14:$C$96,C1211)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SUMIFS(RAB!$F$14:$F$96,RAB!$C$14:$C$96,C1212)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SUMIFS(RAB!$F$14:$F$96,RAB!$C$14:$C$96,C1213)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SUMIFS(RAB!$F$14:$F$96,RAB!$C$14:$C$96,C1214)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SUMIFS(RAB!$F$14:$F$96,RAB!$C$14:$C$96,C1215)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SUMIFS(RAB!$F$14:$F$96,RAB!$C$14:$C$96,C1216)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SUMIFS(RAB!$F$14:$F$96,RAB!$C$14:$C$96,C1217)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SUMIFS(RAB!$F$14:$F$96,RAB!$C$14:$C$96,C1218)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SUMIFS(RAB!$F$14:$F$96,RAB!$C$14:$C$96,C1219)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SUMIFS(RAB!$F$14:$F$96,RAB!$C$14:$C$96,C1220)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SUMIFS(RAB!$F$14:$F$96,RAB!$C$14:$C$96,C1221)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SUMIFS(RAB!$F$14:$F$96,RAB!$C$14:$C$96,C1222)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SUMIFS(RAB!$F$14:$F$96,RAB!$C$14:$C$96,C1223)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SUMIFS(RAB!$F$14:$F$96,RAB!$C$14:$C$96,C1224)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SUMIFS(RAB!$F$14:$F$96,RAB!$C$14:$C$96,C1225)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SUMIFS(RAB!$F$14:$F$96,RAB!$C$14:$C$96,C1226)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SUMIFS(RAB!$F$14:$F$96,RAB!$C$14:$C$96,C1227)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SUMIFS(RAB!$F$14:$F$96,RAB!$C$14:$C$96,C1228)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SUMIFS(RAB!$F$14:$F$96,RAB!$C$14:$C$96,C1229)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SUMIFS(RAB!$F$14:$F$96,RAB!$C$14:$C$96,C1230)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SUMIFS(RAB!$F$14:$F$96,RAB!$C$14:$C$96,C1231)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SUMIFS(RAB!$F$14:$F$96,RAB!$C$14:$C$96,C1232)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SUMIFS(RAB!$F$14:$F$96,RAB!$C$14:$C$96,C1233)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SUMIFS(RAB!$F$14:$F$96,RAB!$C$14:$C$96,C1234)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SUMIFS(RAB!$F$14:$F$96,RAB!$C$14:$C$96,C1235)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SUMIFS(RAB!$F$14:$F$96,RAB!$C$14:$C$96,C1236)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SUMIFS(RAB!$F$14:$F$96,RAB!$C$14:$C$96,C1237)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SUMIFS(RAB!$F$14:$F$96,RAB!$C$14:$C$96,C1238)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SUMIFS(RAB!$F$14:$F$96,RAB!$C$14:$C$96,C1239)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SUMIFS(RAB!$F$14:$F$96,RAB!$C$14:$C$96,C1240)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SUMIFS(RAB!$F$14:$F$96,RAB!$C$14:$C$96,C1241)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SUMIFS(RAB!$F$14:$F$96,RAB!$C$14:$C$96,C1242)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SUMIFS(RAB!$F$14:$F$96,RAB!$C$14:$C$96,C1243)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SUMIFS(RAB!$F$14:$F$96,RAB!$C$14:$C$96,C1244)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SUMIFS(RAB!$F$14:$F$96,RAB!$C$14:$C$96,C1245)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SUMIFS(RAB!$F$14:$F$96,RAB!$C$14:$C$96,C1246)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SUMIFS(RAB!$F$14:$F$96,RAB!$C$14:$C$96,C1247)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SUMIFS(RAB!$F$14:$F$96,RAB!$C$14:$C$96,C1248)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SUMIFS(RAB!$F$14:$F$96,RAB!$C$14:$C$96,C1249)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SUMIFS(RAB!$F$14:$F$96,RAB!$C$14:$C$96,C1250)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SUMIFS(RAB!$F$14:$F$96,RAB!$C$14:$C$96,C1251)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SUMIFS(RAB!$F$14:$F$96,RAB!$C$14:$C$96,C1252)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SUMIFS(RAB!$F$14:$F$96,RAB!$C$14:$C$96,C1253)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SUMIFS(RAB!$F$14:$F$96,RAB!$C$14:$C$96,C1254)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SUMIFS(RAB!$F$14:$F$96,RAB!$C$14:$C$96,C1255)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SUMIFS(RAB!$F$14:$F$96,RAB!$C$14:$C$96,C1256)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SUMIFS(RAB!$F$14:$F$96,RAB!$C$14:$C$96,C1257)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SUMIFS(RAB!$F$14:$F$96,RAB!$C$14:$C$96,C1258)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SUMIFS(RAB!$F$14:$F$96,RAB!$C$14:$C$96,C1259)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SUMIFS(RAB!$F$14:$F$96,RAB!$C$14:$C$96,C1260)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SUMIFS(RAB!$F$14:$F$96,RAB!$C$14:$C$96,C1261)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SUMIFS(RAB!$F$14:$F$96,RAB!$C$14:$C$96,C1262)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SUMIFS(RAB!$F$14:$F$96,RAB!$C$14:$C$96,C1263)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SUMIFS(RAB!$F$14:$F$96,RAB!$C$14:$C$96,C1264)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SUMIFS(RAB!$F$14:$F$96,RAB!$C$14:$C$96,C1265)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SUMIFS(RAB!$F$14:$F$96,RAB!$C$14:$C$96,C1266)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SUMIFS(RAB!$F$14:$F$96,RAB!$C$14:$C$96,C1267)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SUMIFS(RAB!$F$14:$F$96,RAB!$C$14:$C$96,C1268)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SUMIFS(RAB!$F$14:$F$96,RAB!$C$14:$C$96,C1269)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SUMIFS(RAB!$F$14:$F$96,RAB!$C$14:$C$96,C1270)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SUMIFS(RAB!$F$14:$F$96,RAB!$C$14:$C$96,C1271)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SUMIFS(RAB!$F$14:$F$96,RAB!$C$14:$C$96,C1272)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SUMIFS(RAB!$F$14:$F$96,RAB!$C$14:$C$96,C1273)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SUMIFS(RAB!$F$14:$F$96,RAB!$C$14:$C$96,C1274)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SUMIFS(RAB!$F$14:$F$96,RAB!$C$14:$C$96,C1275)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SUMIFS(RAB!$F$14:$F$96,RAB!$C$14:$C$96,C1276)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SUMIFS(RAB!$F$14:$F$96,RAB!$C$14:$C$96,C1277)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SUMIFS(RAB!$F$14:$F$96,RAB!$C$14:$C$96,C1278)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SUMIFS(RAB!$F$14:$F$96,RAB!$C$14:$C$96,C1279)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SUMIFS(RAB!$F$14:$F$96,RAB!$C$14:$C$96,C1280)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SUMIFS(RAB!$F$14:$F$96,RAB!$C$14:$C$96,C1281)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SUMIFS(RAB!$F$14:$F$96,RAB!$C$14:$C$96,C1282)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SUMIFS(RAB!$F$14:$F$96,RAB!$C$14:$C$96,C1283)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SUMIFS(RAB!$F$14:$F$96,RAB!$C$14:$C$96,C1284)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SUMIFS(RAB!$F$14:$F$96,RAB!$C$14:$C$96,C1285)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SUMIFS(RAB!$F$14:$F$96,RAB!$C$14:$C$96,C1286)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SUMIFS(RAB!$F$14:$F$96,RAB!$C$14:$C$96,C1287)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SUMIFS(RAB!$F$14:$F$96,RAB!$C$14:$C$96,C1288)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SUMIFS(RAB!$F$14:$F$96,RAB!$C$14:$C$96,C1289)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SUMIFS(RAB!$F$14:$F$96,RAB!$C$14:$C$96,C1290)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SUMIFS(RAB!$F$14:$F$96,RAB!$C$14:$C$96,C1291)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SUMIFS(RAB!$F$14:$F$96,RAB!$C$14:$C$96,C1292)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SUMIFS(RAB!$F$14:$F$96,RAB!$C$14:$C$96,C1293)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SUMIFS(RAB!$F$14:$F$96,RAB!$C$14:$C$96,C1294)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SUMIFS(RAB!$F$14:$F$96,RAB!$C$14:$C$96,C1295)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SUMIFS(RAB!$F$14:$F$96,RAB!$C$14:$C$96,C1296)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SUMIFS(RAB!$F$14:$F$96,RAB!$C$14:$C$96,C1297)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SUMIFS(RAB!$F$14:$F$96,RAB!$C$14:$C$96,C1298)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SUMIFS(RAB!$F$14:$F$96,RAB!$C$14:$C$96,C1299)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SUMIFS(RAB!$F$14:$F$96,RAB!$C$14:$C$96,C1300)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SUMIFS(RAB!$F$14:$F$96,RAB!$C$14:$C$96,C1301)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SUMIFS(RAB!$F$14:$F$96,RAB!$C$14:$C$96,C1302)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SUMIFS(RAB!$F$14:$F$96,RAB!$C$14:$C$96,C1303)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SUMIFS(RAB!$F$14:$F$96,RAB!$C$14:$C$96,C1304)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SUMIFS(RAB!$F$14:$F$96,RAB!$C$14:$C$96,C1305)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SUMIFS(RAB!$F$14:$F$96,RAB!$C$14:$C$96,C1306)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SUMIFS(RAB!$F$14:$F$96,RAB!$C$14:$C$96,C1307)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SUMIFS(RAB!$F$14:$F$96,RAB!$C$14:$C$96,C1308)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SUMIFS(RAB!$F$14:$F$96,RAB!$C$14:$C$96,C1309)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SUMIFS(RAB!$F$14:$F$96,RAB!$C$14:$C$96,C1310)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SUMIFS(RAB!$F$14:$F$96,RAB!$C$14:$C$96,C1311)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SUMIFS(RAB!$F$14:$F$96,RAB!$C$14:$C$96,C1312)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SUMIFS(RAB!$F$14:$F$96,RAB!$C$14:$C$96,C1313)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SUMIFS(RAB!$F$14:$F$96,RAB!$C$14:$C$96,C1314)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SUMIFS(RAB!$F$14:$F$96,RAB!$C$14:$C$96,C1315)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SUMIFS(RAB!$F$14:$F$96,RAB!$C$14:$C$96,C1316)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SUMIFS(RAB!$F$14:$F$96,RAB!$C$14:$C$96,C1317)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SUMIFS(RAB!$F$14:$F$96,RAB!$C$14:$C$96,C1318)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SUMIFS(RAB!$F$14:$F$96,RAB!$C$14:$C$96,C1319)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SUMIFS(RAB!$F$14:$F$96,RAB!$C$14:$C$96,C1320)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6" priority="5" operator="equal">
      <formula>0</formula>
    </cfRule>
  </conditionalFormatting>
  <conditionalFormatting sqref="A10:L65536">
    <cfRule type="cellIs" dxfId="45" priority="1" operator="equal">
      <formula>0</formula>
    </cfRule>
  </conditionalFormatting>
  <conditionalFormatting sqref="C12:C711">
    <cfRule type="cellIs" dxfId="44" priority="66" stopIfTrue="1" operator="equal">
      <formula>0</formula>
    </cfRule>
  </conditionalFormatting>
  <conditionalFormatting sqref="E712:E65536">
    <cfRule type="cellIs" dxfId="43" priority="16" stopIfTrue="1" operator="equal">
      <formula>0</formula>
    </cfRule>
  </conditionalFormatting>
  <conditionalFormatting sqref="G1:G11 E6:E11 E1:E3 H7 H10:H11 F10:F711 G712:G65536">
    <cfRule type="cellIs" dxfId="42" priority="69" stopIfTrue="1" operator="equal">
      <formula>0</formula>
    </cfRule>
  </conditionalFormatting>
  <conditionalFormatting sqref="G12:H711">
    <cfRule type="cellIs" dxfId="41" priority="12" stopIfTrue="1" operator="equal">
      <formula>0</formula>
    </cfRule>
  </conditionalFormatting>
  <conditionalFormatting sqref="I7:K7">
    <cfRule type="cellIs" dxfId="40" priority="4" stopIfTrue="1" operator="equal">
      <formula>0</formula>
    </cfRule>
  </conditionalFormatting>
  <conditionalFormatting sqref="I10:L711">
    <cfRule type="cellIs" dxfId="39" priority="2" stopIfTrue="1" operator="equal">
      <formula>0</formula>
    </cfRule>
  </conditionalFormatting>
  <conditionalFormatting sqref="L1:L6">
    <cfRule type="cellIs" dxfId="38" priority="10" operator="equal">
      <formula>0</formula>
    </cfRule>
  </conditionalFormatting>
  <conditionalFormatting sqref="M1:IV1048576 A8:G9">
    <cfRule type="cellIs" dxfId="3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1127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DR NURGIANTO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MERAK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SUMIFS(RAB!$F$14:$F$96,RAB!$C$14:$C$96,'REKAP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SUMIFS(RAB!$F$14:$F$96,RAB!$C$14:$C$96,'REKAP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SUMIFS(RAB!$F$14:$F$96,RAB!$C$14:$C$96,'REKAP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SUMIFS(RAB!$F$14:$F$96,RAB!$C$14:$C$96,'REKAP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SUMIFS(RAB!$F$14:$F$96,RAB!$C$14:$C$96,'REKAP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SUMIFS(RAB!$F$14:$F$96,RAB!$C$14:$C$96,'REKAP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SUMIFS(RAB!$F$14:$F$96,RAB!$C$14:$C$96,'REKAP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SUMIFS(RAB!$F$14:$F$96,RAB!$C$14:$C$96,'REKAP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SUMIFS(RAB!$F$14:$F$96,RAB!$C$14:$C$96,'REKAP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SUMIFS(RAB!$F$14:$F$96,RAB!$C$14:$C$96,'REKAP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SUMIFS(RAB!$F$14:$F$96,RAB!$C$14:$C$96,'REKAP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SUMIFS(RAB!$F$14:$F$96,RAB!$C$14:$C$96,'REKAP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SUMIFS(RAB!$F$14:$F$96,RAB!$C$14:$C$96,'REKAP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SUMIFS(RAB!$F$14:$F$96,RAB!$C$14:$C$96,'REKAP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SUMIFS(RAB!$F$14:$F$96,RAB!$C$14:$C$96,'REKAP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SUMIFS(RAB!$F$14:$F$96,RAB!$C$14:$C$96,'REKAP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SUMIFS(RAB!$F$14:$F$96,RAB!$C$14:$C$96,'REKAP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SUMIFS(RAB!$F$14:$F$96,RAB!$C$14:$C$96,'REKAP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SUMIFS(RAB!$F$14:$F$96,RAB!$C$14:$C$96,'REKAP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SUMIFS(RAB!$F$14:$F$96,RAB!$C$14:$C$96,'REKAP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1034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DR NURGIANTO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MERAK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23 kVA MCCB 35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100</v>
      </c>
      <c r="G17" s="41">
        <f ca="1">IF(ISERROR(OFFSET('HARGA SATUAN'!$I$6,MATCH(C17,'HARGA SATUAN'!$C$7:$C$1492,0),0)),"",OFFSET('HARGA SATUAN'!$I$6,MATCH(C17,'HARGA SATUAN'!$C$7:$C$1492,0),0))</f>
        <v>54500</v>
      </c>
      <c r="H17" s="42">
        <f t="shared" ca="1" si="1"/>
        <v>5450000</v>
      </c>
      <c r="I17" s="42">
        <f t="shared" ca="1" si="2"/>
        <v>0</v>
      </c>
      <c r="J17" s="42">
        <f t="shared" ca="1" si="3"/>
        <v>0</v>
      </c>
      <c r="K17" s="43">
        <f t="shared" ca="1" si="0"/>
        <v>5450000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13500</v>
      </c>
      <c r="H18" s="42">
        <f t="shared" ca="1" si="1"/>
        <v>472500</v>
      </c>
      <c r="I18" s="42">
        <f t="shared" ca="1" si="2"/>
        <v>0</v>
      </c>
      <c r="J18" s="42">
        <f t="shared" ca="1" si="3"/>
        <v>0</v>
      </c>
      <c r="K18" s="43">
        <f t="shared" ca="1" si="0"/>
        <v>472500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9487400</v>
      </c>
      <c r="I168" s="55">
        <f ca="1">SUM(I14:I167)</f>
        <v>0</v>
      </c>
      <c r="J168" s="55">
        <f ca="1">SUM(J14:J167)</f>
        <v>0</v>
      </c>
      <c r="K168" s="55">
        <f ca="1">SUM(K14:K167)</f>
        <v>9487400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948740</v>
      </c>
      <c r="I169" s="60">
        <f ca="1">I168*0.1</f>
        <v>0</v>
      </c>
      <c r="J169" s="60">
        <f ca="1">J168*0.1</f>
        <v>0</v>
      </c>
      <c r="K169" s="60">
        <f ca="1">K168*0.1</f>
        <v>948740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10436140</v>
      </c>
      <c r="I170" s="78">
        <f ca="1">SUM(I168:I169)</f>
        <v>0</v>
      </c>
      <c r="J170" s="61">
        <f ca="1">SUM(J168:J169)</f>
        <v>0</v>
      </c>
      <c r="K170" s="61">
        <f ca="1">SUM(K168:K169)</f>
        <v>10436140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SUMIFS(RAB!$F$14:$F$96,RAB!$C$14:$C$96,C224)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SUMIFS(RAB!$F$14:$F$96,RAB!$C$14:$C$96,C225)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SUMIFS(RAB!$F$14:$F$96,RAB!$C$14:$C$96,C226)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SUMIFS(RAB!$F$14:$F$96,RAB!$C$14:$C$96,C227)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SUMIFS(RAB!$F$14:$F$96,RAB!$C$14:$C$96,C228)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SUMIFS(RAB!$F$14:$F$96,RAB!$C$14:$C$96,C229)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SUMIFS(RAB!$F$14:$F$96,RAB!$C$14:$C$96,C230)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SUMIFS(RAB!$F$14:$F$96,RAB!$C$14:$C$96,C231)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SUMIFS(RAB!$F$14:$F$96,RAB!$C$14:$C$96,C232)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SUMIFS(RAB!$F$14:$F$96,RAB!$C$14:$C$96,C233)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SUMIFS(RAB!$F$14:$F$96,RAB!$C$14:$C$96,C234)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SUMIFS(RAB!$F$14:$F$96,RAB!$C$14:$C$96,C235)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SUMIFS(RAB!$F$14:$F$96,RAB!$C$14:$C$96,C236)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SUMIFS(RAB!$F$14:$F$96,RAB!$C$14:$C$96,C237)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SUMIFS(RAB!$F$14:$F$96,RAB!$C$14:$C$96,C238)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SUMIFS(RAB!$F$14:$F$96,RAB!$C$14:$C$96,C239)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SUMIFS(RAB!$F$14:$F$96,RAB!$C$14:$C$96,C240)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SUMIFS(RAB!$F$14:$F$96,RAB!$C$14:$C$96,C241)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SUMIFS(RAB!$F$14:$F$96,RAB!$C$14:$C$96,C242)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SUMIFS(RAB!$F$14:$F$96,RAB!$C$14:$C$96,C243)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SUMIFS(RAB!$F$14:$F$96,RAB!$C$14:$C$96,C244)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SUMIFS(RAB!$F$14:$F$96,RAB!$C$14:$C$96,C245)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SUMIFS(RAB!$F$14:$F$96,RAB!$C$14:$C$96,C246)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SUMIFS(RAB!$F$14:$F$96,RAB!$C$14:$C$96,C247)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SUMIFS(RAB!$F$14:$F$96,RAB!$C$14:$C$96,C248)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SUMIFS(RAB!$F$14:$F$96,RAB!$C$14:$C$96,C249)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SUMIFS(RAB!$F$14:$F$96,RAB!$C$14:$C$96,C250)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SUMIFS(RAB!$F$14:$F$96,RAB!$C$14:$C$96,C251)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SUMIFS(RAB!$F$14:$F$96,RAB!$C$14:$C$96,C252)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SUMIFS(RAB!$F$14:$F$96,RAB!$C$14:$C$96,C253)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SUMIFS(RAB!$F$14:$F$96,RAB!$C$14:$C$96,C254)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SUMIFS(RAB!$F$14:$F$96,RAB!$C$14:$C$96,C255)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SUMIFS(RAB!$F$14:$F$96,RAB!$C$14:$C$96,C256)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SUMIFS(RAB!$F$14:$F$96,RAB!$C$14:$C$96,C257)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SUMIFS(RAB!$F$14:$F$96,RAB!$C$14:$C$96,C258)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SUMIFS(RAB!$F$14:$F$96,RAB!$C$14:$C$96,C259)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SUMIFS(RAB!$F$14:$F$96,RAB!$C$14:$C$96,C260)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SUMIFS(RAB!$F$14:$F$96,RAB!$C$14:$C$96,C261)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SUMIFS(RAB!$F$14:$F$96,RAB!$C$14:$C$96,C262)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SUMIFS(RAB!$F$14:$F$96,RAB!$C$14:$C$96,C263)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SUMIFS(RAB!$F$14:$F$96,RAB!$C$14:$C$96,C264)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SUMIFS(RAB!$F$14:$F$96,RAB!$C$14:$C$96,C265)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SUMIFS(RAB!$F$14:$F$96,RAB!$C$14:$C$96,C266)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SUMIFS(RAB!$F$14:$F$96,RAB!$C$14:$C$96,C267)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SUMIFS(RAB!$F$14:$F$96,RAB!$C$14:$C$96,C268)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SUMIFS(RAB!$F$14:$F$96,RAB!$C$14:$C$96,C269)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SUMIFS(RAB!$F$14:$F$96,RAB!$C$14:$C$96,C270)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SUMIFS(RAB!$F$14:$F$96,RAB!$C$14:$C$96,C271)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SUMIFS(RAB!$F$14:$F$96,RAB!$C$14:$C$96,C272)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SUMIFS(RAB!$F$14:$F$96,RAB!$C$14:$C$96,C273)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SUMIFS(RAB!$F$14:$F$96,RAB!$C$14:$C$96,C274)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SUMIFS(RAB!$F$14:$F$96,RAB!$C$14:$C$96,C275)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SUMIFS(RAB!$F$14:$F$96,RAB!$C$14:$C$96,C276)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SUMIFS(RAB!$F$14:$F$96,RAB!$C$14:$C$96,C277)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SUMIFS(RAB!$F$14:$F$96,RAB!$C$14:$C$96,C278)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SUMIFS(RAB!$F$14:$F$96,RAB!$C$14:$C$96,C279)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SUMIFS(RAB!$F$14:$F$96,RAB!$C$14:$C$96,C280)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SUMIFS(RAB!$F$14:$F$96,RAB!$C$14:$C$96,C281)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SUMIFS(RAB!$F$14:$F$96,RAB!$C$14:$C$96,C282)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SUMIFS(RAB!$F$14:$F$96,RAB!$C$14:$C$96,C283)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SUMIFS(RAB!$F$14:$F$96,RAB!$C$14:$C$96,C284)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SUMIFS(RAB!$F$14:$F$96,RAB!$C$14:$C$96,C285)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SUMIFS(RAB!$F$14:$F$96,RAB!$C$14:$C$96,C286)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SUMIFS(RAB!$F$14:$F$96,RAB!$C$14:$C$96,C287)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SUMIFS(RAB!$F$14:$F$96,RAB!$C$14:$C$96,C288)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SUMIFS(RAB!$F$14:$F$96,RAB!$C$14:$C$96,C289)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SUMIFS(RAB!$F$14:$F$96,RAB!$C$14:$C$96,C290)</f>
        <v>1</v>
      </c>
      <c r="E290" s="24">
        <f t="shared" ca="1" si="22"/>
        <v>1</v>
      </c>
      <c r="F290" s="24">
        <f ca="1">IF(D290=0,0,SUM($E$223:E290))</f>
        <v>1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SUMIFS(RAB!$F$14:$F$96,RAB!$C$14:$C$96,C291)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SUMIFS(RAB!$F$14:$F$96,RAB!$C$14:$C$96,C292)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SUMIFS(RAB!$F$14:$F$96,RAB!$C$14:$C$96,C293)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SUMIFS(RAB!$F$14:$F$96,RAB!$C$14:$C$96,C294)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SUMIFS(RAB!$F$14:$F$96,RAB!$C$14:$C$96,C295)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SUMIFS(RAB!$F$14:$F$96,RAB!$C$14:$C$96,C296)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SUMIFS(RAB!$F$14:$F$96,RAB!$C$14:$C$96,C297)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SUMIFS(RAB!$F$14:$F$96,RAB!$C$14:$C$96,C298)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SUMIFS(RAB!$F$14:$F$96,RAB!$C$14:$C$96,C299)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SUMIFS(RAB!$F$14:$F$96,RAB!$C$14:$C$96,C300)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SUMIFS(RAB!$F$14:$F$96,RAB!$C$14:$C$96,C301)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SUMIFS(RAB!$F$14:$F$96,RAB!$C$14:$C$96,C302)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SUMIFS(RAB!$F$14:$F$96,RAB!$C$14:$C$96,C303)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SUMIFS(RAB!$F$14:$F$96,RAB!$C$14:$C$96,C304)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SUMIFS(RAB!$F$14:$F$96,RAB!$C$14:$C$96,C305)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SUMIFS(RAB!$F$14:$F$96,RAB!$C$14:$C$96,C306)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SUMIFS(RAB!$F$14:$F$96,RAB!$C$14:$C$96,C307)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SUMIFS(RAB!$F$14:$F$96,RAB!$C$14:$C$96,C308)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SUMIFS(RAB!$F$14:$F$96,RAB!$C$14:$C$96,C309)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SUMIFS(RAB!$F$14:$F$96,RAB!$C$14:$C$96,C310)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SUMIFS(RAB!$F$14:$F$96,RAB!$C$14:$C$96,C311)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SUMIFS(RAB!$F$14:$F$96,RAB!$C$14:$C$96,C312)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SUMIFS(RAB!$F$14:$F$96,RAB!$C$14:$C$96,C313)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SUMIFS(RAB!$F$14:$F$96,RAB!$C$14:$C$96,C314)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SUMIFS(RAB!$F$14:$F$96,RAB!$C$14:$C$96,C315)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SUMIFS(RAB!$F$14:$F$96,RAB!$C$14:$C$96,C316)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SUMIFS(RAB!$F$14:$F$96,RAB!$C$14:$C$96,C317)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SUMIFS(RAB!$F$14:$F$96,RAB!$C$14:$C$96,C318)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SUMIFS(RAB!$F$14:$F$96,RAB!$C$14:$C$96,C319)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SUMIFS(RAB!$F$14:$F$96,RAB!$C$14:$C$96,C320)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SUMIFS(RAB!$F$14:$F$96,RAB!$C$14:$C$96,C321)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SUMIFS(RAB!$F$14:$F$96,RAB!$C$14:$C$96,C322)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SUMIFS(RAB!$F$14:$F$96,RAB!$C$14:$C$96,C323)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SUMIFS(RAB!$F$14:$F$96,RAB!$C$14:$C$96,C324)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SUMIFS(RAB!$F$14:$F$96,RAB!$C$14:$C$96,C325)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SUMIFS(RAB!$F$14:$F$96,RAB!$C$14:$C$96,C326)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SUMIFS(RAB!$F$14:$F$96,RAB!$C$14:$C$96,C327)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SUMIFS(RAB!$F$14:$F$96,RAB!$C$14:$C$96,C328)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SUMIFS(RAB!$F$14:$F$96,RAB!$C$14:$C$96,C329)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SUMIFS(RAB!$F$14:$F$96,RAB!$C$14:$C$96,C330)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SUMIFS(RAB!$F$14:$F$96,RAB!$C$14:$C$96,C331)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SUMIFS(RAB!$F$14:$F$96,RAB!$C$14:$C$96,C332)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SUMIFS(RAB!$F$14:$F$96,RAB!$C$14:$C$96,C333)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SUMIFS(RAB!$F$14:$F$96,RAB!$C$14:$C$96,C334)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SUMIFS(RAB!$F$14:$F$96,RAB!$C$14:$C$96,C335)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SUMIFS(RAB!$F$14:$F$96,RAB!$C$14:$C$96,C336)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SUMIFS(RAB!$F$14:$F$96,RAB!$C$14:$C$96,C337)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SUMIFS(RAB!$F$14:$F$96,RAB!$C$14:$C$96,C338)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SUMIFS(RAB!$F$14:$F$96,RAB!$C$14:$C$96,C339)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SUMIFS(RAB!$F$14:$F$96,RAB!$C$14:$C$96,C340)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SUMIFS(RAB!$F$14:$F$96,RAB!$C$14:$C$96,C341)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SUMIFS(RAB!$F$14:$F$96,RAB!$C$14:$C$96,C342)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SUMIFS(RAB!$F$14:$F$96,RAB!$C$14:$C$96,C343)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SUMIFS(RAB!$F$14:$F$96,RAB!$C$14:$C$96,C344)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SUMIFS(RAB!$F$14:$F$96,RAB!$C$14:$C$96,C345)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SUMIFS(RAB!$F$14:$F$96,RAB!$C$14:$C$96,C346)</f>
        <v>100</v>
      </c>
      <c r="E346" s="24">
        <f t="shared" ca="1" si="22"/>
        <v>1</v>
      </c>
      <c r="F346" s="24">
        <f ca="1">IF(D346=0,0,SUM($E$223:E346))</f>
        <v>2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SUMIFS(RAB!$F$14:$F$96,RAB!$C$14:$C$96,C347)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SUMIFS(RAB!$F$14:$F$96,RAB!$C$14:$C$96,C348)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SUMIFS(RAB!$F$14:$F$96,RAB!$C$14:$C$96,C349)</f>
        <v>35</v>
      </c>
      <c r="E349" s="24">
        <f t="shared" ca="1" si="22"/>
        <v>1</v>
      </c>
      <c r="F349" s="24">
        <f ca="1">IF(D349=0,0,SUM($E$223:E349))</f>
        <v>3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SUMIFS(RAB!$F$14:$F$96,RAB!$C$14:$C$96,C350)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SUMIFS(RAB!$F$14:$F$96,RAB!$C$14:$C$96,C351)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SUMIFS(RAB!$F$14:$F$96,RAB!$C$14:$C$96,C352)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SUMIFS(RAB!$F$14:$F$96,RAB!$C$14:$C$96,C353)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SUMIFS(RAB!$F$14:$F$96,RAB!$C$14:$C$96,C354)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SUMIFS(RAB!$F$14:$F$96,RAB!$C$14:$C$96,C355)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SUMIFS(RAB!$F$14:$F$96,RAB!$C$14:$C$96,C356)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SUMIFS(RAB!$F$14:$F$96,RAB!$C$14:$C$96,C357)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SUMIFS(RAB!$F$14:$F$96,RAB!$C$14:$C$96,C358)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SUMIFS(RAB!$F$14:$F$96,RAB!$C$14:$C$96,C359)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SUMIFS(RAB!$F$14:$F$96,RAB!$C$14:$C$96,C360)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SUMIFS(RAB!$F$14:$F$96,RAB!$C$14:$C$96,C361)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SUMIFS(RAB!$F$14:$F$96,RAB!$C$14:$C$96,C362)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SUMIFS(RAB!$F$14:$F$96,RAB!$C$14:$C$96,C363)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SUMIFS(RAB!$F$14:$F$96,RAB!$C$14:$C$96,C364)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SUMIFS(RAB!$F$14:$F$96,RAB!$C$14:$C$96,C365)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SUMIFS(RAB!$F$14:$F$96,RAB!$C$14:$C$96,C366)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SUMIFS(RAB!$F$14:$F$96,RAB!$C$14:$C$96,C367)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SUMIFS(RAB!$F$14:$F$96,RAB!$C$14:$C$96,C368)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SUMIFS(RAB!$F$14:$F$96,RAB!$C$14:$C$96,C369)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SUMIFS(RAB!$F$14:$F$96,RAB!$C$14:$C$96,C370)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SUMIFS(RAB!$F$14:$F$96,RAB!$C$14:$C$96,C371)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SUMIFS(RAB!$F$14:$F$96,RAB!$C$14:$C$96,C372)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SUMIFS(RAB!$F$14:$F$96,RAB!$C$14:$C$96,C373)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4" priority="5" operator="equal">
      <formula>0</formula>
    </cfRule>
  </conditionalFormatting>
  <conditionalFormatting sqref="C16:C165">
    <cfRule type="cellIs" dxfId="33" priority="4" stopIfTrue="1" operator="equal">
      <formula>0</formula>
    </cfRule>
  </conditionalFormatting>
  <conditionalFormatting sqref="C16:E165">
    <cfRule type="cellIs" dxfId="32" priority="1" operator="equal">
      <formula>0</formula>
    </cfRule>
  </conditionalFormatting>
  <conditionalFormatting sqref="D224:F373">
    <cfRule type="cellIs" dxfId="31" priority="8" operator="equal">
      <formula>0</formula>
    </cfRule>
  </conditionalFormatting>
  <conditionalFormatting sqref="E1:E3 G1:G115 E6:E15 H12:I12 N13 F14:F15 H14:K115 E166:K166 G166:G223 E167:F167 H167:K167">
    <cfRule type="cellIs" dxfId="30" priority="43" stopIfTrue="1" operator="equal">
      <formula>0</formula>
    </cfRule>
  </conditionalFormatting>
  <conditionalFormatting sqref="E171:E65536">
    <cfRule type="cellIs" dxfId="29" priority="9" stopIfTrue="1" operator="equal">
      <formula>0</formula>
    </cfRule>
  </conditionalFormatting>
  <conditionalFormatting sqref="G224">
    <cfRule type="cellIs" dxfId="28" priority="10" operator="equal">
      <formula>0</formula>
    </cfRule>
  </conditionalFormatting>
  <conditionalFormatting sqref="G225:G65536">
    <cfRule type="cellIs" dxfId="27" priority="14" stopIfTrue="1" operator="equal">
      <formula>0</formula>
    </cfRule>
  </conditionalFormatting>
  <conditionalFormatting sqref="R14:T166 G116:K165">
    <cfRule type="cellIs" dxfId="2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" sqref="C13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1609</v>
      </c>
      <c r="G4" s="108" t="s">
        <v>1608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5" priority="138" operator="equal">
      <formula>0</formula>
    </cfRule>
  </conditionalFormatting>
  <conditionalFormatting sqref="B8:C135">
    <cfRule type="cellIs" dxfId="24" priority="51" operator="equal">
      <formula>0</formula>
    </cfRule>
  </conditionalFormatting>
  <conditionalFormatting sqref="B150:G1493">
    <cfRule type="cellIs" dxfId="23" priority="1" operator="equal">
      <formula>0</formula>
    </cfRule>
  </conditionalFormatting>
  <conditionalFormatting sqref="C143:G149">
    <cfRule type="cellIs" dxfId="22" priority="5" operator="equal">
      <formula>0</formula>
    </cfRule>
  </conditionalFormatting>
  <conditionalFormatting sqref="D9:G142">
    <cfRule type="cellIs" dxfId="21" priority="11" operator="equal">
      <formula>0</formula>
    </cfRule>
  </conditionalFormatting>
  <conditionalFormatting sqref="D1:IV5 A1:C7 D6:K6 H1455:IV1457 H1458:XFD1485 H1486:H1493 I1486:XFD1494 A1494:H1494 A1495:XFD65536">
    <cfRule type="cellIs" dxfId="20" priority="163" operator="equal">
      <formula>0</formula>
    </cfRule>
  </conditionalFormatting>
  <conditionalFormatting sqref="D7:IV8 C136:C142 B136:B149">
    <cfRule type="cellIs" dxfId="19" priority="62" operator="equal">
      <formula>0</formula>
    </cfRule>
  </conditionalFormatting>
  <conditionalFormatting sqref="H9:H1418">
    <cfRule type="cellIs" dxfId="18" priority="129" operator="equal">
      <formula>0</formula>
    </cfRule>
  </conditionalFormatting>
  <conditionalFormatting sqref="H1419:I1454">
    <cfRule type="cellIs" dxfId="17" priority="128" operator="equal">
      <formula>0</formula>
    </cfRule>
  </conditionalFormatting>
  <conditionalFormatting sqref="I108:I1418">
    <cfRule type="cellIs" dxfId="16" priority="125" operator="equal">
      <formula>0</formula>
    </cfRule>
  </conditionalFormatting>
  <conditionalFormatting sqref="J108:IV1454">
    <cfRule type="cellIs" dxfId="15" priority="139" operator="equal">
      <formula>0</formula>
    </cfRule>
  </conditionalFormatting>
  <conditionalFormatting sqref="M6:IV6">
    <cfRule type="cellIs" dxfId="1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6" sqref="O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1" t="s">
        <v>1454</v>
      </c>
      <c r="C2" s="581"/>
      <c r="D2" s="581"/>
      <c r="E2" s="581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6" t="s">
        <v>1532</v>
      </c>
      <c r="C4" s="587"/>
      <c r="D4" s="587"/>
      <c r="E4" s="588"/>
      <c r="F4" s="431"/>
      <c r="G4" s="431"/>
      <c r="H4" s="432"/>
      <c r="I4" s="550" t="s">
        <v>1533</v>
      </c>
      <c r="J4" s="551"/>
      <c r="K4" s="551"/>
      <c r="L4" s="552"/>
    </row>
    <row r="5" spans="1:12" ht="34.5" customHeight="1">
      <c r="A5" s="204"/>
      <c r="B5" s="434" t="s">
        <v>1379</v>
      </c>
      <c r="C5" s="274" t="s">
        <v>9</v>
      </c>
      <c r="D5" s="582" t="str">
        <f>DATA!D14</f>
        <v>DR NURGIANTO</v>
      </c>
      <c r="E5" s="583"/>
      <c r="F5" s="208"/>
      <c r="G5" s="208"/>
      <c r="I5" s="435" t="s">
        <v>1379</v>
      </c>
      <c r="J5" s="274" t="s">
        <v>9</v>
      </c>
      <c r="K5" s="553" t="str">
        <f>D5</f>
        <v>DR NURGIANTO</v>
      </c>
      <c r="L5" s="554"/>
    </row>
    <row r="6" spans="1:12" ht="31.5" customHeight="1">
      <c r="A6" s="204"/>
      <c r="B6" s="434" t="s">
        <v>1529</v>
      </c>
      <c r="C6" s="274" t="s">
        <v>9</v>
      </c>
      <c r="D6" s="591">
        <f>DATA!D17*1000</f>
        <v>0</v>
      </c>
      <c r="E6" s="592"/>
      <c r="F6" s="208"/>
      <c r="G6" s="208"/>
      <c r="I6" s="435" t="s">
        <v>1530</v>
      </c>
      <c r="J6" s="274" t="s">
        <v>9</v>
      </c>
      <c r="K6" s="555">
        <f>DATA!D20*1000</f>
        <v>23000</v>
      </c>
      <c r="L6" s="556"/>
    </row>
    <row r="7" spans="1:12" ht="30.75" customHeight="1">
      <c r="A7" s="204"/>
      <c r="B7" s="434" t="s">
        <v>1441</v>
      </c>
      <c r="C7" s="274" t="s">
        <v>9</v>
      </c>
      <c r="D7" s="589">
        <f>DATA!D18</f>
        <v>1</v>
      </c>
      <c r="E7" s="590"/>
      <c r="F7" s="433" t="s">
        <v>1453</v>
      </c>
      <c r="I7" s="435" t="s">
        <v>1441</v>
      </c>
      <c r="J7" s="274" t="s">
        <v>9</v>
      </c>
      <c r="K7" s="557">
        <f>DATA!D21</f>
        <v>3</v>
      </c>
      <c r="L7" s="558"/>
    </row>
    <row r="8" spans="1:12" ht="51" customHeight="1">
      <c r="A8" s="204"/>
      <c r="B8" s="434" t="s">
        <v>1442</v>
      </c>
      <c r="C8" s="274" t="s">
        <v>9</v>
      </c>
      <c r="D8" s="589">
        <f>DATA!D19</f>
        <v>220</v>
      </c>
      <c r="E8" s="590"/>
      <c r="F8" s="433" t="s">
        <v>1453</v>
      </c>
      <c r="G8" s="428">
        <v>220</v>
      </c>
      <c r="I8" s="435" t="s">
        <v>1442</v>
      </c>
      <c r="J8" s="274" t="s">
        <v>9</v>
      </c>
      <c r="K8" s="557">
        <f>DATA!D22</f>
        <v>380</v>
      </c>
      <c r="L8" s="558"/>
    </row>
    <row r="9" spans="1:12" ht="30" customHeight="1" thickBot="1">
      <c r="A9" s="204"/>
      <c r="B9" s="440" t="s">
        <v>1541</v>
      </c>
      <c r="C9" s="430" t="s">
        <v>9</v>
      </c>
      <c r="D9" s="584">
        <f>IF(D7=1,D6/(380/3^0.5),(D6/(380*3^0.5)))</f>
        <v>0</v>
      </c>
      <c r="E9" s="585"/>
      <c r="F9" s="207"/>
      <c r="G9" s="429">
        <v>380</v>
      </c>
      <c r="I9" s="441" t="s">
        <v>1541</v>
      </c>
      <c r="J9" s="430" t="s">
        <v>9</v>
      </c>
      <c r="K9" s="561">
        <f>IF(K7=1,K6/(380/3^0.5),(K6/(380*3^0.5)))</f>
        <v>34.94488471410893</v>
      </c>
      <c r="L9" s="562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93"/>
      <c r="E12" s="594"/>
      <c r="F12" s="208"/>
      <c r="G12" s="208"/>
      <c r="I12" s="457" t="s">
        <v>1534</v>
      </c>
      <c r="J12" s="458" t="s">
        <v>9</v>
      </c>
      <c r="K12" s="593"/>
      <c r="L12" s="594"/>
    </row>
    <row r="13" spans="1:12" ht="31.5" customHeight="1">
      <c r="A13" s="204"/>
      <c r="B13" s="465" t="s">
        <v>1380</v>
      </c>
      <c r="C13" s="445" t="s">
        <v>9</v>
      </c>
      <c r="D13" s="559"/>
      <c r="E13" s="560"/>
      <c r="F13" s="208"/>
      <c r="G13" s="208"/>
      <c r="I13" s="459" t="s">
        <v>1380</v>
      </c>
      <c r="J13" s="445" t="s">
        <v>9</v>
      </c>
      <c r="K13" s="559"/>
      <c r="L13" s="560"/>
    </row>
    <row r="14" spans="1:12" ht="30.75" customHeight="1">
      <c r="A14" s="204"/>
      <c r="B14" s="465" t="s">
        <v>1535</v>
      </c>
      <c r="C14" s="445" t="s">
        <v>9</v>
      </c>
      <c r="D14" s="563"/>
      <c r="E14" s="564"/>
      <c r="F14" s="433" t="s">
        <v>1453</v>
      </c>
      <c r="G14" s="437">
        <v>50</v>
      </c>
      <c r="I14" s="459" t="s">
        <v>1535</v>
      </c>
      <c r="J14" s="445" t="s">
        <v>9</v>
      </c>
      <c r="K14" s="565">
        <v>100</v>
      </c>
      <c r="L14" s="566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67">
        <v>0</v>
      </c>
      <c r="E16" s="568"/>
      <c r="F16" s="433"/>
      <c r="G16" s="437">
        <v>160</v>
      </c>
      <c r="I16" s="459" t="s">
        <v>1537</v>
      </c>
      <c r="J16" s="445" t="s">
        <v>9</v>
      </c>
      <c r="K16" s="571">
        <f>K9</f>
        <v>34.94488471410893</v>
      </c>
      <c r="L16" s="572"/>
    </row>
    <row r="17" spans="1:12" ht="34.5" customHeight="1">
      <c r="A17" s="204"/>
      <c r="B17" s="465" t="s">
        <v>1538</v>
      </c>
      <c r="C17" s="445" t="s">
        <v>9</v>
      </c>
      <c r="D17" s="569">
        <f>IF(D15=1,D14/(20/3^0.5),(D14/(20*3^0.5)))</f>
        <v>0</v>
      </c>
      <c r="E17" s="570"/>
      <c r="F17" s="433" t="s">
        <v>1453</v>
      </c>
      <c r="G17" s="438">
        <v>200</v>
      </c>
      <c r="I17" s="459" t="s">
        <v>1538</v>
      </c>
      <c r="J17" s="445" t="s">
        <v>9</v>
      </c>
      <c r="K17" s="575">
        <f>IF(K15=1,K14/(20/3^0.5),(K14/(20*3^0.5)))</f>
        <v>2.8867513459481291</v>
      </c>
      <c r="L17" s="576"/>
    </row>
    <row r="18" spans="1:12" ht="34.5" customHeight="1">
      <c r="A18" s="204"/>
      <c r="B18" s="465" t="s">
        <v>1539</v>
      </c>
      <c r="C18" s="445" t="s">
        <v>9</v>
      </c>
      <c r="D18" s="569">
        <f>IF(D15=1,D14/(380/3^0.5),(D14/(380*3^0.5)))*1000</f>
        <v>0</v>
      </c>
      <c r="E18" s="570"/>
      <c r="F18" s="433" t="s">
        <v>1453</v>
      </c>
      <c r="G18" s="438">
        <v>250</v>
      </c>
      <c r="I18" s="459" t="s">
        <v>1539</v>
      </c>
      <c r="J18" s="445" t="s">
        <v>9</v>
      </c>
      <c r="K18" s="575">
        <f>IF(K15=1,K14/(380/3^0.5),(K14/(380*3^0.5)))*1000</f>
        <v>151.93428136569102</v>
      </c>
      <c r="L18" s="576"/>
    </row>
    <row r="19" spans="1:12" ht="30" customHeight="1">
      <c r="A19" s="204"/>
      <c r="B19" s="466" t="s">
        <v>1531</v>
      </c>
      <c r="C19" s="444" t="s">
        <v>9</v>
      </c>
      <c r="D19" s="569">
        <f>IF(D15=1,D14/(380/3^0.5),(D14/(380*3^0.5)))</f>
        <v>0</v>
      </c>
      <c r="E19" s="570"/>
      <c r="F19" s="207"/>
      <c r="G19" s="429"/>
      <c r="I19" s="461" t="s">
        <v>1531</v>
      </c>
      <c r="J19" s="444" t="s">
        <v>9</v>
      </c>
      <c r="K19" s="575">
        <f>IF(K15=1,K14/(380/3^0.5),(K14/(380*3^0.5)))</f>
        <v>0.15193428136569101</v>
      </c>
      <c r="L19" s="576"/>
    </row>
    <row r="20" spans="1:12" ht="30" customHeight="1" thickBot="1">
      <c r="A20" s="204"/>
      <c r="B20" s="467" t="s">
        <v>1540</v>
      </c>
      <c r="C20" s="463" t="s">
        <v>9</v>
      </c>
      <c r="D20" s="595" t="e">
        <f>D16/D18</f>
        <v>#DIV/0!</v>
      </c>
      <c r="E20" s="596"/>
      <c r="F20" s="207"/>
      <c r="G20" s="429"/>
      <c r="I20" s="462" t="s">
        <v>1531</v>
      </c>
      <c r="J20" s="463" t="s">
        <v>9</v>
      </c>
      <c r="K20" s="573">
        <f>K16/K18</f>
        <v>0.22999999999999998</v>
      </c>
      <c r="L20" s="574"/>
    </row>
    <row r="21" spans="1:12" ht="9.75" customHeight="1">
      <c r="A21" s="204"/>
      <c r="B21" s="452" t="s">
        <v>1540</v>
      </c>
      <c r="C21" s="453" t="s">
        <v>9</v>
      </c>
      <c r="D21" s="580">
        <v>1</v>
      </c>
      <c r="E21" s="580"/>
      <c r="F21" s="454"/>
      <c r="G21" s="455"/>
      <c r="H21" s="456"/>
      <c r="I21" s="452" t="s">
        <v>1531</v>
      </c>
      <c r="J21" s="453" t="s">
        <v>9</v>
      </c>
      <c r="K21" s="580">
        <v>1</v>
      </c>
      <c r="L21" s="580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77"/>
      <c r="C24" s="578"/>
      <c r="D24" s="578"/>
      <c r="E24" s="579"/>
      <c r="I24" s="577"/>
      <c r="J24" s="578"/>
      <c r="K24" s="578"/>
      <c r="L24" s="579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K24" sqref="K24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7"/>
      <c r="C1" s="597"/>
      <c r="D1" s="597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1611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23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22287000</v>
      </c>
    </row>
    <row r="10" spans="2:11" ht="20.100000000000001" customHeight="1">
      <c r="B10" s="288" t="s">
        <v>1446</v>
      </c>
      <c r="C10" s="289" t="s">
        <v>9</v>
      </c>
      <c r="D10" s="295">
        <f ca="1">RAB!K102</f>
        <v>25220440.050560001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504408.80101120006</v>
      </c>
    </row>
    <row r="12" spans="2:11" ht="9" customHeight="1">
      <c r="B12" s="598"/>
      <c r="C12" s="598"/>
      <c r="D12" s="598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1629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1630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0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23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5" t="s">
        <v>1357</v>
      </c>
      <c r="C3" s="605"/>
      <c r="D3" s="605"/>
      <c r="E3" s="605"/>
      <c r="F3" s="302" t="str">
        <f>DATA!D14</f>
        <v>DR NURGIANTO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9" t="s">
        <v>1349</v>
      </c>
      <c r="C5" s="599" t="s">
        <v>1358</v>
      </c>
      <c r="D5" s="604" t="s">
        <v>1359</v>
      </c>
      <c r="E5" s="604" t="s">
        <v>1360</v>
      </c>
      <c r="F5" s="599" t="s">
        <v>1361</v>
      </c>
      <c r="G5" s="599"/>
      <c r="H5" s="599"/>
      <c r="I5" s="599"/>
      <c r="J5" s="599"/>
      <c r="K5" s="599" t="s">
        <v>1362</v>
      </c>
      <c r="L5" s="599"/>
      <c r="M5" s="304"/>
      <c r="N5" s="602" t="s">
        <v>1363</v>
      </c>
      <c r="O5" s="604" t="s">
        <v>1364</v>
      </c>
      <c r="P5" s="604" t="s">
        <v>1365</v>
      </c>
      <c r="Q5" s="604" t="s">
        <v>1366</v>
      </c>
      <c r="R5" s="305"/>
      <c r="S5" s="306"/>
      <c r="T5" s="600" t="s">
        <v>1367</v>
      </c>
      <c r="U5" s="307"/>
    </row>
    <row r="6" spans="1:21" ht="20.100000000000001" customHeight="1">
      <c r="B6" s="599"/>
      <c r="C6" s="599"/>
      <c r="D6" s="599"/>
      <c r="E6" s="599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03"/>
      <c r="O6" s="599"/>
      <c r="P6" s="599"/>
      <c r="Q6" s="599"/>
      <c r="R6" s="305"/>
      <c r="S6" s="306"/>
      <c r="T6" s="599"/>
      <c r="U6" s="309"/>
    </row>
    <row r="7" spans="1:21" ht="20.100000000000001" customHeight="1">
      <c r="A7" s="310">
        <v>0</v>
      </c>
      <c r="B7" s="311">
        <v>2023</v>
      </c>
      <c r="C7" s="468">
        <f>DATA!D8*DATA!D26*3</f>
        <v>2760</v>
      </c>
      <c r="D7" s="313">
        <f>C7*4/24</f>
        <v>460</v>
      </c>
      <c r="E7" s="313">
        <f>C7-D7</f>
        <v>2300</v>
      </c>
      <c r="F7" s="314">
        <f ca="1">DATA!D10/1000000</f>
        <v>25.220440050560001</v>
      </c>
      <c r="G7" s="315">
        <f ca="1">DATA!$D$11/1000000</f>
        <v>0.50440880101120011</v>
      </c>
      <c r="H7" s="315">
        <f>C7*DATA!$D$5/1000000</f>
        <v>2.9921851266469721</v>
      </c>
      <c r="I7" s="315">
        <f>(C7*DATA!$D$5*DATA!$D$7)/1000000</f>
        <v>6.7324165349556875E-2</v>
      </c>
      <c r="J7" s="313">
        <f ca="1">SUM(F7:I7)</f>
        <v>28.784358143567729</v>
      </c>
      <c r="K7" s="316">
        <f>DATA!D9/1000000</f>
        <v>22.286999999999999</v>
      </c>
      <c r="L7" s="313">
        <f>((D7*DATA!$D$23)/1000000)+((E7*DATA!$D$24)/1000000)</f>
        <v>3.9873720000000001</v>
      </c>
      <c r="M7" s="313">
        <f>K7+L7</f>
        <v>26.274372</v>
      </c>
      <c r="N7" s="313">
        <f ca="1">M7-J7</f>
        <v>-2.5099861435677298</v>
      </c>
      <c r="O7" s="311">
        <v>1</v>
      </c>
      <c r="P7" s="313">
        <f ca="1">O7*N7</f>
        <v>-2.5099861435677298</v>
      </c>
      <c r="Q7" s="313">
        <f ca="1">P7</f>
        <v>-2.5099861435677298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11040</v>
      </c>
      <c r="D8" s="313">
        <f>C8*4/24</f>
        <v>1840</v>
      </c>
      <c r="E8" s="313">
        <f t="shared" ref="E8:E32" si="0">C8-D8</f>
        <v>9200</v>
      </c>
      <c r="F8" s="311"/>
      <c r="G8" s="315">
        <f ca="1">DATA!$D$11/1000000</f>
        <v>0.50440880101120011</v>
      </c>
      <c r="H8" s="315">
        <f>C8*DATA!$D$5/1000000</f>
        <v>11.968740506587888</v>
      </c>
      <c r="I8" s="315">
        <f>(C8*DATA!$D$5*DATA!$D$7)/1000000</f>
        <v>0.2692966613982275</v>
      </c>
      <c r="J8" s="313">
        <f t="shared" ref="J8:J32" ca="1" si="1">SUM(F8:I8)</f>
        <v>12.742445968997316</v>
      </c>
      <c r="K8" s="318"/>
      <c r="L8" s="313">
        <f>((D8*DATA!$D$23)/1000000)+((E8*DATA!$D$24)/1000000)</f>
        <v>15.949488000000001</v>
      </c>
      <c r="M8" s="313">
        <f t="shared" ref="M8:M32" si="2">K8+L8</f>
        <v>15.949488000000001</v>
      </c>
      <c r="N8" s="313">
        <f ca="1">M8-J8</f>
        <v>3.2070420310026844</v>
      </c>
      <c r="O8" s="312">
        <f>1/(1+'[93]Asumsi I'!$C$3)^(KKF!A8)</f>
        <v>0.89285714285714279</v>
      </c>
      <c r="P8" s="313">
        <f ca="1">O8*N8</f>
        <v>2.8634303848238249</v>
      </c>
      <c r="Q8" s="313">
        <f ca="1">Q7+P8</f>
        <v>0.35344424125609519</v>
      </c>
      <c r="S8" s="301" t="str">
        <f t="shared" ref="S8:S32" ca="1" si="3">IF(Q8&lt;0,"a","")</f>
        <v/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11040</v>
      </c>
      <c r="D9" s="313">
        <f t="shared" ref="D9:D32" si="5">C9*4/24</f>
        <v>1840</v>
      </c>
      <c r="E9" s="313">
        <f t="shared" si="0"/>
        <v>9200</v>
      </c>
      <c r="F9" s="311"/>
      <c r="G9" s="315">
        <f ca="1">DATA!$D$11/1000000</f>
        <v>0.50440880101120011</v>
      </c>
      <c r="H9" s="315">
        <f>C9*DATA!$D$5/1000000</f>
        <v>11.968740506587888</v>
      </c>
      <c r="I9" s="315">
        <f>(C9*DATA!$D$5*DATA!$D$7)/1000000</f>
        <v>0.2692966613982275</v>
      </c>
      <c r="J9" s="313">
        <f t="shared" ca="1" si="1"/>
        <v>12.742445968997316</v>
      </c>
      <c r="K9" s="313"/>
      <c r="L9" s="313">
        <f>((D9*DATA!$D$23)/1000000)+((E9*DATA!$D$24)/1000000)</f>
        <v>15.949488000000001</v>
      </c>
      <c r="M9" s="313">
        <f t="shared" si="2"/>
        <v>15.949488000000001</v>
      </c>
      <c r="N9" s="313">
        <f t="shared" ref="N9:N32" ca="1" si="6">M9-J9</f>
        <v>3.2070420310026844</v>
      </c>
      <c r="O9" s="319">
        <f>1/(1+'[93]Asumsi I'!$C$3)^(KKF!A9)</f>
        <v>0.79719387755102034</v>
      </c>
      <c r="P9" s="313">
        <f t="shared" ref="P9:P32" ca="1" si="7">O9*N9</f>
        <v>2.5566342721641293</v>
      </c>
      <c r="Q9" s="313">
        <f ca="1">Q8+P9</f>
        <v>2.9100785134202245</v>
      </c>
      <c r="S9" s="301" t="str">
        <f t="shared" ca="1" si="3"/>
        <v/>
      </c>
      <c r="T9" s="317">
        <f ca="1">IF(Q7&gt;=0,"",IF(Q9&lt;0,"",IF(Q9=0,A9,(A9-(Q9/N9)))))</f>
        <v>1.092597326356092</v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11040</v>
      </c>
      <c r="D10" s="313">
        <f t="shared" si="5"/>
        <v>1840</v>
      </c>
      <c r="E10" s="313">
        <f t="shared" si="0"/>
        <v>9200</v>
      </c>
      <c r="F10" s="311"/>
      <c r="G10" s="315">
        <f ca="1">DATA!$D$11/1000000</f>
        <v>0.50440880101120011</v>
      </c>
      <c r="H10" s="315">
        <f>C10*DATA!$D$5/1000000</f>
        <v>11.968740506587888</v>
      </c>
      <c r="I10" s="315">
        <f>(C10*DATA!$D$5*DATA!$D$7)/1000000</f>
        <v>0.2692966613982275</v>
      </c>
      <c r="J10" s="313">
        <f t="shared" ca="1" si="1"/>
        <v>12.742445968997316</v>
      </c>
      <c r="K10" s="311"/>
      <c r="L10" s="313">
        <f>((D10*DATA!$D$23)/1000000)+((E10*DATA!$D$24)/1000000)</f>
        <v>15.949488000000001</v>
      </c>
      <c r="M10" s="313">
        <f t="shared" si="2"/>
        <v>15.949488000000001</v>
      </c>
      <c r="N10" s="313">
        <f t="shared" ca="1" si="6"/>
        <v>3.2070420310026844</v>
      </c>
      <c r="O10" s="312">
        <f>1/(1+'[93]Asumsi I'!$C$3)^(KKF!A10)</f>
        <v>0.71178024781341087</v>
      </c>
      <c r="P10" s="313">
        <f t="shared" ca="1" si="7"/>
        <v>2.2827091715751151</v>
      </c>
      <c r="Q10" s="313">
        <f t="shared" ref="Q10:Q30" ca="1" si="9">Q9+P10</f>
        <v>5.1927876849953396</v>
      </c>
      <c r="S10" s="301" t="str">
        <f t="shared" ca="1" si="3"/>
        <v/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11040</v>
      </c>
      <c r="D11" s="313">
        <f t="shared" si="5"/>
        <v>1840</v>
      </c>
      <c r="E11" s="313">
        <f t="shared" si="0"/>
        <v>9200</v>
      </c>
      <c r="F11" s="311"/>
      <c r="G11" s="315">
        <f ca="1">DATA!$D$11/1000000</f>
        <v>0.50440880101120011</v>
      </c>
      <c r="H11" s="315">
        <f>C11*DATA!$D$5/1000000</f>
        <v>11.968740506587888</v>
      </c>
      <c r="I11" s="315">
        <f>(C11*DATA!$D$5*DATA!$D$7)/1000000</f>
        <v>0.2692966613982275</v>
      </c>
      <c r="J11" s="313">
        <f t="shared" ca="1" si="1"/>
        <v>12.742445968997316</v>
      </c>
      <c r="K11" s="311"/>
      <c r="L11" s="313">
        <f>((D11*DATA!$D$23)/1000000)+((E11*DATA!$D$24)/1000000)</f>
        <v>15.949488000000001</v>
      </c>
      <c r="M11" s="313">
        <f t="shared" si="2"/>
        <v>15.949488000000001</v>
      </c>
      <c r="N11" s="313">
        <f t="shared" ca="1" si="6"/>
        <v>3.2070420310026844</v>
      </c>
      <c r="O11" s="312">
        <f>1/(1+'[93]Asumsi I'!$C$3)^(KKF!A11)</f>
        <v>0.63551807840483121</v>
      </c>
      <c r="P11" s="313">
        <f t="shared" ca="1" si="7"/>
        <v>2.038133188906353</v>
      </c>
      <c r="Q11" s="313">
        <f t="shared" ca="1" si="9"/>
        <v>7.2309208739016926</v>
      </c>
      <c r="S11" s="301" t="str">
        <f t="shared" ca="1" si="3"/>
        <v/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11040</v>
      </c>
      <c r="D12" s="313">
        <f t="shared" si="5"/>
        <v>1840</v>
      </c>
      <c r="E12" s="313">
        <f t="shared" si="0"/>
        <v>9200</v>
      </c>
      <c r="F12" s="311"/>
      <c r="G12" s="315">
        <f ca="1">DATA!$D$11/1000000</f>
        <v>0.50440880101120011</v>
      </c>
      <c r="H12" s="315">
        <f>C12*DATA!$D$5/1000000</f>
        <v>11.968740506587888</v>
      </c>
      <c r="I12" s="315">
        <f>(C12*DATA!$D$5*DATA!$D$7)/1000000</f>
        <v>0.2692966613982275</v>
      </c>
      <c r="J12" s="313">
        <f t="shared" ca="1" si="1"/>
        <v>12.742445968997316</v>
      </c>
      <c r="K12" s="311"/>
      <c r="L12" s="313">
        <f>((D12*DATA!$D$23)/1000000)+((E12*DATA!$D$24)/1000000)</f>
        <v>15.949488000000001</v>
      </c>
      <c r="M12" s="313">
        <f t="shared" si="2"/>
        <v>15.949488000000001</v>
      </c>
      <c r="N12" s="313">
        <f t="shared" ca="1" si="6"/>
        <v>3.2070420310026844</v>
      </c>
      <c r="O12" s="312">
        <f>1/(1+'[93]Asumsi I'!$C$3)^(KKF!A12)</f>
        <v>0.56742685571859919</v>
      </c>
      <c r="P12" s="313">
        <f t="shared" ca="1" si="7"/>
        <v>1.8197617758092435</v>
      </c>
      <c r="Q12" s="313">
        <f t="shared" ca="1" si="9"/>
        <v>9.0506826497109358</v>
      </c>
      <c r="S12" s="301" t="str">
        <f t="shared" ca="1" si="3"/>
        <v/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11040</v>
      </c>
      <c r="D13" s="313">
        <f t="shared" si="5"/>
        <v>1840</v>
      </c>
      <c r="E13" s="313">
        <f t="shared" si="0"/>
        <v>9200</v>
      </c>
      <c r="F13" s="311"/>
      <c r="G13" s="315">
        <f ca="1">DATA!$D$11/1000000</f>
        <v>0.50440880101120011</v>
      </c>
      <c r="H13" s="315">
        <f>C13*DATA!$D$5/1000000</f>
        <v>11.968740506587888</v>
      </c>
      <c r="I13" s="315">
        <f>(C13*DATA!$D$5*DATA!$D$7)/1000000</f>
        <v>0.2692966613982275</v>
      </c>
      <c r="J13" s="313">
        <f t="shared" ca="1" si="1"/>
        <v>12.742445968997316</v>
      </c>
      <c r="K13" s="311"/>
      <c r="L13" s="313">
        <f>((D13*DATA!$D$23)/1000000)+((E13*DATA!$D$24)/1000000)</f>
        <v>15.949488000000001</v>
      </c>
      <c r="M13" s="313">
        <f t="shared" si="2"/>
        <v>15.949488000000001</v>
      </c>
      <c r="N13" s="313">
        <f t="shared" ca="1" si="6"/>
        <v>3.2070420310026844</v>
      </c>
      <c r="O13" s="312">
        <f>1/(1+'[93]Asumsi I'!$C$3)^(KKF!A13)</f>
        <v>0.50663112117732068</v>
      </c>
      <c r="P13" s="313">
        <f t="shared" ca="1" si="7"/>
        <v>1.6247872998296815</v>
      </c>
      <c r="Q13" s="313">
        <f t="shared" ca="1" si="9"/>
        <v>10.675469949540616</v>
      </c>
      <c r="S13" s="301" t="str">
        <f t="shared" ca="1" si="3"/>
        <v/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11040</v>
      </c>
      <c r="D14" s="313">
        <f t="shared" si="5"/>
        <v>1840</v>
      </c>
      <c r="E14" s="313">
        <f t="shared" si="0"/>
        <v>9200</v>
      </c>
      <c r="F14" s="311"/>
      <c r="G14" s="315">
        <f ca="1">DATA!$D$11/1000000</f>
        <v>0.50440880101120011</v>
      </c>
      <c r="H14" s="315">
        <f>C14*DATA!$D$5/1000000</f>
        <v>11.968740506587888</v>
      </c>
      <c r="I14" s="315">
        <f>(C14*DATA!$D$5*DATA!$D$7)/1000000</f>
        <v>0.2692966613982275</v>
      </c>
      <c r="J14" s="313">
        <f t="shared" ca="1" si="1"/>
        <v>12.742445968997316</v>
      </c>
      <c r="K14" s="311"/>
      <c r="L14" s="313">
        <f>((D14*DATA!$D$23)/1000000)+((E14*DATA!$D$24)/1000000)</f>
        <v>15.949488000000001</v>
      </c>
      <c r="M14" s="313">
        <f t="shared" si="2"/>
        <v>15.949488000000001</v>
      </c>
      <c r="N14" s="313">
        <f t="shared" ca="1" si="6"/>
        <v>3.2070420310026844</v>
      </c>
      <c r="O14" s="312">
        <f>1/(1+'[93]Asumsi I'!$C$3)^(KKF!A14)</f>
        <v>0.45234921533689343</v>
      </c>
      <c r="P14" s="313">
        <f t="shared" ca="1" si="7"/>
        <v>1.4507029462765013</v>
      </c>
      <c r="Q14" s="313">
        <f t="shared" ca="1" si="9"/>
        <v>12.126172895817117</v>
      </c>
      <c r="S14" s="301" t="str">
        <f t="shared" ca="1" si="3"/>
        <v/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11040</v>
      </c>
      <c r="D15" s="313">
        <f t="shared" si="5"/>
        <v>1840</v>
      </c>
      <c r="E15" s="313">
        <f t="shared" si="0"/>
        <v>9200</v>
      </c>
      <c r="F15" s="311"/>
      <c r="G15" s="315">
        <f ca="1">DATA!$D$11/1000000</f>
        <v>0.50440880101120011</v>
      </c>
      <c r="H15" s="315">
        <f>C15*DATA!$D$5/1000000</f>
        <v>11.968740506587888</v>
      </c>
      <c r="I15" s="315">
        <f>(C15*DATA!$D$5*DATA!$D$7)/1000000</f>
        <v>0.2692966613982275</v>
      </c>
      <c r="J15" s="313">
        <f t="shared" ca="1" si="1"/>
        <v>12.742445968997316</v>
      </c>
      <c r="K15" s="311"/>
      <c r="L15" s="313">
        <f>((D15*DATA!$D$23)/1000000)+((E15*DATA!$D$24)/1000000)</f>
        <v>15.949488000000001</v>
      </c>
      <c r="M15" s="313">
        <f t="shared" si="2"/>
        <v>15.949488000000001</v>
      </c>
      <c r="N15" s="313">
        <f t="shared" ca="1" si="6"/>
        <v>3.2070420310026844</v>
      </c>
      <c r="O15" s="312">
        <f>1/(1+'[93]Asumsi I'!$C$3)^(KKF!A15)</f>
        <v>0.4038832279793691</v>
      </c>
      <c r="P15" s="313">
        <f t="shared" ca="1" si="7"/>
        <v>1.2952704877468761</v>
      </c>
      <c r="Q15" s="313">
        <f t="shared" ca="1" si="9"/>
        <v>13.421443383563993</v>
      </c>
      <c r="S15" s="301" t="str">
        <f t="shared" ca="1" si="3"/>
        <v/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11040</v>
      </c>
      <c r="D16" s="313">
        <f t="shared" si="5"/>
        <v>1840</v>
      </c>
      <c r="E16" s="313">
        <f t="shared" si="0"/>
        <v>9200</v>
      </c>
      <c r="F16" s="311"/>
      <c r="G16" s="315">
        <f ca="1">DATA!$D$11/1000000</f>
        <v>0.50440880101120011</v>
      </c>
      <c r="H16" s="315">
        <f>C16*DATA!$D$5/1000000</f>
        <v>11.968740506587888</v>
      </c>
      <c r="I16" s="315">
        <f>(C16*DATA!$D$5*DATA!$D$7)/1000000</f>
        <v>0.2692966613982275</v>
      </c>
      <c r="J16" s="313">
        <f t="shared" ca="1" si="1"/>
        <v>12.742445968997316</v>
      </c>
      <c r="K16" s="311"/>
      <c r="L16" s="313">
        <f>((D16*DATA!$D$23)/1000000)+((E16*DATA!$D$24)/1000000)</f>
        <v>15.949488000000001</v>
      </c>
      <c r="M16" s="313">
        <f t="shared" si="2"/>
        <v>15.949488000000001</v>
      </c>
      <c r="N16" s="313">
        <f t="shared" ca="1" si="6"/>
        <v>3.2070420310026844</v>
      </c>
      <c r="O16" s="312">
        <f>1/(1+'[93]Asumsi I'!$C$3)^(KKF!A16)</f>
        <v>0.36061002498157957</v>
      </c>
      <c r="P16" s="313">
        <f t="shared" ca="1" si="7"/>
        <v>1.1564915069168538</v>
      </c>
      <c r="Q16" s="313">
        <f t="shared" ca="1" si="9"/>
        <v>14.577934890480847</v>
      </c>
      <c r="S16" s="301" t="str">
        <f t="shared" ca="1" si="3"/>
        <v/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11040</v>
      </c>
      <c r="D17" s="313">
        <f t="shared" si="5"/>
        <v>1840</v>
      </c>
      <c r="E17" s="313">
        <f t="shared" si="0"/>
        <v>9200</v>
      </c>
      <c r="F17" s="311"/>
      <c r="G17" s="315">
        <f ca="1">DATA!$D$11/1000000</f>
        <v>0.50440880101120011</v>
      </c>
      <c r="H17" s="315">
        <f>C17*DATA!$D$5/1000000</f>
        <v>11.968740506587888</v>
      </c>
      <c r="I17" s="315">
        <f>(C17*DATA!$D$5*DATA!$D$7)/1000000</f>
        <v>0.2692966613982275</v>
      </c>
      <c r="J17" s="313">
        <f t="shared" ca="1" si="1"/>
        <v>12.742445968997316</v>
      </c>
      <c r="K17" s="311"/>
      <c r="L17" s="313">
        <f>((D17*DATA!$D$23)/1000000)+((E17*DATA!$D$24)/1000000)</f>
        <v>15.949488000000001</v>
      </c>
      <c r="M17" s="313">
        <f t="shared" si="2"/>
        <v>15.949488000000001</v>
      </c>
      <c r="N17" s="313">
        <f t="shared" ca="1" si="6"/>
        <v>3.2070420310026844</v>
      </c>
      <c r="O17" s="312">
        <f>1/(1+'[93]Asumsi I'!$C$3)^(KKF!A17)</f>
        <v>0.32197323659069599</v>
      </c>
      <c r="P17" s="313">
        <f t="shared" ca="1" si="7"/>
        <v>1.0325817026043336</v>
      </c>
      <c r="Q17" s="313">
        <f t="shared" ca="1" si="9"/>
        <v>15.610516593085181</v>
      </c>
      <c r="S17" s="301" t="str">
        <f t="shared" ca="1" si="3"/>
        <v/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11040</v>
      </c>
      <c r="D18" s="313">
        <f t="shared" si="5"/>
        <v>1840</v>
      </c>
      <c r="E18" s="313">
        <f t="shared" si="0"/>
        <v>9200</v>
      </c>
      <c r="F18" s="311"/>
      <c r="G18" s="315">
        <f ca="1">DATA!$D$11/1000000</f>
        <v>0.50440880101120011</v>
      </c>
      <c r="H18" s="315">
        <f>C18*DATA!$D$5/1000000</f>
        <v>11.968740506587888</v>
      </c>
      <c r="I18" s="315">
        <f>(C18*DATA!$D$5*DATA!$D$7)/1000000</f>
        <v>0.2692966613982275</v>
      </c>
      <c r="J18" s="313">
        <f t="shared" ca="1" si="1"/>
        <v>12.742445968997316</v>
      </c>
      <c r="K18" s="311"/>
      <c r="L18" s="313">
        <f>((D18*DATA!$D$23)/1000000)+((E18*DATA!$D$24)/1000000)</f>
        <v>15.949488000000001</v>
      </c>
      <c r="M18" s="313">
        <f t="shared" si="2"/>
        <v>15.949488000000001</v>
      </c>
      <c r="N18" s="313">
        <f t="shared" ca="1" si="6"/>
        <v>3.2070420310026844</v>
      </c>
      <c r="O18" s="312">
        <f>1/(1+'[93]Asumsi I'!$C$3)^(KKF!A18)</f>
        <v>0.28747610409883567</v>
      </c>
      <c r="P18" s="313">
        <f t="shared" ca="1" si="7"/>
        <v>0.9219479487538691</v>
      </c>
      <c r="Q18" s="313">
        <f t="shared" ca="1" si="9"/>
        <v>16.532464541839051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11040</v>
      </c>
      <c r="D19" s="313">
        <f t="shared" si="5"/>
        <v>1840</v>
      </c>
      <c r="E19" s="313">
        <f t="shared" si="0"/>
        <v>9200</v>
      </c>
      <c r="F19" s="311"/>
      <c r="G19" s="315">
        <f ca="1">DATA!$D$11/1000000</f>
        <v>0.50440880101120011</v>
      </c>
      <c r="H19" s="315">
        <f>C19*DATA!$D$5/1000000</f>
        <v>11.968740506587888</v>
      </c>
      <c r="I19" s="315">
        <f>(C19*DATA!$D$5*DATA!$D$7)/1000000</f>
        <v>0.2692966613982275</v>
      </c>
      <c r="J19" s="313">
        <f t="shared" ca="1" si="1"/>
        <v>12.742445968997316</v>
      </c>
      <c r="K19" s="311"/>
      <c r="L19" s="313">
        <f>((D19*DATA!$D$23)/1000000)+((E19*DATA!$D$24)/1000000)</f>
        <v>15.949488000000001</v>
      </c>
      <c r="M19" s="313">
        <f t="shared" si="2"/>
        <v>15.949488000000001</v>
      </c>
      <c r="N19" s="313">
        <f t="shared" ca="1" si="6"/>
        <v>3.2070420310026844</v>
      </c>
      <c r="O19" s="312">
        <f>1/(1+'[93]Asumsi I'!$C$3)^(KKF!A19)</f>
        <v>0.25667509294538904</v>
      </c>
      <c r="P19" s="313">
        <f t="shared" ca="1" si="7"/>
        <v>0.82316781138738326</v>
      </c>
      <c r="Q19" s="313">
        <f t="shared" ca="1" si="9"/>
        <v>17.355632353226433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11040</v>
      </c>
      <c r="D20" s="313">
        <f t="shared" si="5"/>
        <v>1840</v>
      </c>
      <c r="E20" s="313">
        <f t="shared" si="0"/>
        <v>9200</v>
      </c>
      <c r="F20" s="311"/>
      <c r="G20" s="315">
        <f ca="1">DATA!$D$11/1000000</f>
        <v>0.50440880101120011</v>
      </c>
      <c r="H20" s="315">
        <f>C20*DATA!$D$5/1000000</f>
        <v>11.968740506587888</v>
      </c>
      <c r="I20" s="315">
        <f>(C20*DATA!$D$5*DATA!$D$7)/1000000</f>
        <v>0.2692966613982275</v>
      </c>
      <c r="J20" s="313">
        <f t="shared" ca="1" si="1"/>
        <v>12.742445968997316</v>
      </c>
      <c r="K20" s="311"/>
      <c r="L20" s="313">
        <f>((D20*DATA!$D$23)/1000000)+((E20*DATA!$D$24)/1000000)</f>
        <v>15.949488000000001</v>
      </c>
      <c r="M20" s="313">
        <f t="shared" si="2"/>
        <v>15.949488000000001</v>
      </c>
      <c r="N20" s="313">
        <f t="shared" ca="1" si="6"/>
        <v>3.2070420310026844</v>
      </c>
      <c r="O20" s="312">
        <f>1/(1+'[93]Asumsi I'!$C$3)^(KKF!A20)</f>
        <v>0.22917419012981158</v>
      </c>
      <c r="P20" s="313">
        <f t="shared" ca="1" si="7"/>
        <v>0.7349712601673063</v>
      </c>
      <c r="Q20" s="313">
        <f t="shared" ca="1" si="9"/>
        <v>18.090603613393739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11040</v>
      </c>
      <c r="D21" s="313">
        <f t="shared" si="5"/>
        <v>1840</v>
      </c>
      <c r="E21" s="313">
        <f t="shared" si="0"/>
        <v>9200</v>
      </c>
      <c r="F21" s="311"/>
      <c r="G21" s="315">
        <f ca="1">DATA!$D$11/1000000</f>
        <v>0.50440880101120011</v>
      </c>
      <c r="H21" s="315">
        <f>C21*DATA!$D$5/1000000</f>
        <v>11.968740506587888</v>
      </c>
      <c r="I21" s="315">
        <f>(C21*DATA!$D$5*DATA!$D$7)/1000000</f>
        <v>0.2692966613982275</v>
      </c>
      <c r="J21" s="313">
        <f t="shared" ca="1" si="1"/>
        <v>12.742445968997316</v>
      </c>
      <c r="K21" s="311"/>
      <c r="L21" s="313">
        <f>((D21*DATA!$D$23)/1000000)+((E21*DATA!$D$24)/1000000)</f>
        <v>15.949488000000001</v>
      </c>
      <c r="M21" s="313">
        <f t="shared" si="2"/>
        <v>15.949488000000001</v>
      </c>
      <c r="N21" s="313">
        <f t="shared" ca="1" si="6"/>
        <v>3.2070420310026844</v>
      </c>
      <c r="O21" s="312">
        <f>1/(1+'[93]Asumsi I'!$C$3)^(KKF!A21)</f>
        <v>0.20461981261590317</v>
      </c>
      <c r="P21" s="313">
        <f t="shared" ca="1" si="7"/>
        <v>0.65622433943509484</v>
      </c>
      <c r="Q21" s="313">
        <f t="shared" ca="1" si="9"/>
        <v>18.746827952828834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11040</v>
      </c>
      <c r="D22" s="313">
        <f t="shared" si="5"/>
        <v>1840</v>
      </c>
      <c r="E22" s="313">
        <f t="shared" si="0"/>
        <v>9200</v>
      </c>
      <c r="F22" s="311"/>
      <c r="G22" s="315">
        <f ca="1">DATA!$D$11/1000000</f>
        <v>0.50440880101120011</v>
      </c>
      <c r="H22" s="315">
        <f>C22*DATA!$D$5/1000000</f>
        <v>11.968740506587888</v>
      </c>
      <c r="I22" s="315">
        <f>(C22*DATA!$D$5*DATA!$D$7)/1000000</f>
        <v>0.2692966613982275</v>
      </c>
      <c r="J22" s="313">
        <f t="shared" ca="1" si="1"/>
        <v>12.742445968997316</v>
      </c>
      <c r="K22" s="311"/>
      <c r="L22" s="313">
        <f>((D22*DATA!$D$23)/1000000)+((E22*DATA!$D$24)/1000000)</f>
        <v>15.949488000000001</v>
      </c>
      <c r="M22" s="313">
        <f t="shared" si="2"/>
        <v>15.949488000000001</v>
      </c>
      <c r="N22" s="313">
        <f t="shared" ca="1" si="6"/>
        <v>3.2070420310026844</v>
      </c>
      <c r="O22" s="312">
        <f>1/(1+'[93]Asumsi I'!$C$3)^(KKF!A22)</f>
        <v>0.18269626126419927</v>
      </c>
      <c r="P22" s="313">
        <f t="shared" ca="1" si="7"/>
        <v>0.58591458878133473</v>
      </c>
      <c r="Q22" s="313">
        <f t="shared" ca="1" si="9"/>
        <v>19.33274254161017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11040</v>
      </c>
      <c r="D23" s="313">
        <f t="shared" si="5"/>
        <v>1840</v>
      </c>
      <c r="E23" s="313">
        <f t="shared" si="0"/>
        <v>9200</v>
      </c>
      <c r="F23" s="311"/>
      <c r="G23" s="315">
        <f ca="1">DATA!$D$11/1000000</f>
        <v>0.50440880101120011</v>
      </c>
      <c r="H23" s="315">
        <f>C23*DATA!$D$5/1000000</f>
        <v>11.968740506587888</v>
      </c>
      <c r="I23" s="315">
        <f>(C23*DATA!$D$5*DATA!$D$7)/1000000</f>
        <v>0.2692966613982275</v>
      </c>
      <c r="J23" s="313">
        <f t="shared" ca="1" si="1"/>
        <v>12.742445968997316</v>
      </c>
      <c r="K23" s="311"/>
      <c r="L23" s="313">
        <f>((D23*DATA!$D$23)/1000000)+((E23*DATA!$D$24)/1000000)</f>
        <v>15.949488000000001</v>
      </c>
      <c r="M23" s="313">
        <f t="shared" si="2"/>
        <v>15.949488000000001</v>
      </c>
      <c r="N23" s="313">
        <f t="shared" ca="1" si="6"/>
        <v>3.2070420310026844</v>
      </c>
      <c r="O23" s="312">
        <f>1/(1+'[93]Asumsi I'!$C$3)^(KKF!A23)</f>
        <v>0.16312166184303503</v>
      </c>
      <c r="P23" s="313">
        <f t="shared" ca="1" si="7"/>
        <v>0.52313802569762013</v>
      </c>
      <c r="Q23" s="313">
        <f t="shared" ca="1" si="9"/>
        <v>19.855880567307789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11040</v>
      </c>
      <c r="D24" s="313">
        <f t="shared" si="5"/>
        <v>1840</v>
      </c>
      <c r="E24" s="313">
        <f t="shared" si="0"/>
        <v>9200</v>
      </c>
      <c r="F24" s="311"/>
      <c r="G24" s="315">
        <f ca="1">DATA!$D$11/1000000</f>
        <v>0.50440880101120011</v>
      </c>
      <c r="H24" s="315">
        <f>C24*DATA!$D$5/1000000</f>
        <v>11.968740506587888</v>
      </c>
      <c r="I24" s="315">
        <f>(C24*DATA!$D$5*DATA!$D$7)/1000000</f>
        <v>0.2692966613982275</v>
      </c>
      <c r="J24" s="313">
        <f t="shared" ca="1" si="1"/>
        <v>12.742445968997316</v>
      </c>
      <c r="K24" s="311"/>
      <c r="L24" s="313">
        <f>((D24*DATA!$D$23)/1000000)+((E24*DATA!$D$24)/1000000)</f>
        <v>15.949488000000001</v>
      </c>
      <c r="M24" s="313">
        <f t="shared" si="2"/>
        <v>15.949488000000001</v>
      </c>
      <c r="N24" s="313">
        <f t="shared" ca="1" si="6"/>
        <v>3.2070420310026844</v>
      </c>
      <c r="O24" s="312">
        <f>1/(1+'[93]Asumsi I'!$C$3)^(KKF!A24)</f>
        <v>0.14564434093128129</v>
      </c>
      <c r="P24" s="313">
        <f t="shared" ca="1" si="7"/>
        <v>0.46708752294430372</v>
      </c>
      <c r="Q24" s="313">
        <f t="shared" ca="1" si="9"/>
        <v>20.322968090252093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11040</v>
      </c>
      <c r="D25" s="313">
        <f t="shared" si="5"/>
        <v>1840</v>
      </c>
      <c r="E25" s="313">
        <f t="shared" si="0"/>
        <v>9200</v>
      </c>
      <c r="F25" s="311"/>
      <c r="G25" s="315">
        <f ca="1">DATA!$D$11/1000000</f>
        <v>0.50440880101120011</v>
      </c>
      <c r="H25" s="315">
        <f>C25*DATA!$D$5/1000000</f>
        <v>11.968740506587888</v>
      </c>
      <c r="I25" s="315">
        <f>(C25*DATA!$D$5*DATA!$D$7)/1000000</f>
        <v>0.2692966613982275</v>
      </c>
      <c r="J25" s="313">
        <f t="shared" ca="1" si="1"/>
        <v>12.742445968997316</v>
      </c>
      <c r="K25" s="311"/>
      <c r="L25" s="313">
        <f>((D25*DATA!$D$23)/1000000)+((E25*DATA!$D$24)/1000000)</f>
        <v>15.949488000000001</v>
      </c>
      <c r="M25" s="313">
        <f t="shared" si="2"/>
        <v>15.949488000000001</v>
      </c>
      <c r="N25" s="313">
        <f t="shared" ca="1" si="6"/>
        <v>3.2070420310026844</v>
      </c>
      <c r="O25" s="312">
        <f>1/(1+'[93]Asumsi I'!$C$3)^(KKF!A25)</f>
        <v>0.13003959011721541</v>
      </c>
      <c r="P25" s="313">
        <f t="shared" ca="1" si="7"/>
        <v>0.41704243120027112</v>
      </c>
      <c r="Q25" s="313">
        <f t="shared" ca="1" si="9"/>
        <v>20.740010521452366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11040</v>
      </c>
      <c r="D26" s="313">
        <f t="shared" si="5"/>
        <v>1840</v>
      </c>
      <c r="E26" s="313">
        <f t="shared" si="0"/>
        <v>9200</v>
      </c>
      <c r="F26" s="311"/>
      <c r="G26" s="315">
        <f ca="1">DATA!$D$11/1000000</f>
        <v>0.50440880101120011</v>
      </c>
      <c r="H26" s="315">
        <f>C26*DATA!$D$5/1000000</f>
        <v>11.968740506587888</v>
      </c>
      <c r="I26" s="315">
        <f>(C26*DATA!$D$5*DATA!$D$7)/1000000</f>
        <v>0.2692966613982275</v>
      </c>
      <c r="J26" s="313">
        <f t="shared" ca="1" si="1"/>
        <v>12.742445968997316</v>
      </c>
      <c r="K26" s="311"/>
      <c r="L26" s="313">
        <f>((D26*DATA!$D$23)/1000000)+((E26*DATA!$D$24)/1000000)</f>
        <v>15.949488000000001</v>
      </c>
      <c r="M26" s="313">
        <f t="shared" si="2"/>
        <v>15.949488000000001</v>
      </c>
      <c r="N26" s="313">
        <f t="shared" ca="1" si="6"/>
        <v>3.2070420310026844</v>
      </c>
      <c r="O26" s="312">
        <f>1/(1+'[93]Asumsi I'!$C$3)^(KKF!A26)</f>
        <v>0.1161067768903709</v>
      </c>
      <c r="P26" s="313">
        <f t="shared" ca="1" si="7"/>
        <v>0.37235931357167062</v>
      </c>
      <c r="Q26" s="313">
        <f t="shared" ca="1" si="9"/>
        <v>21.112369835024037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11040</v>
      </c>
      <c r="D27" s="313">
        <f t="shared" si="5"/>
        <v>1840</v>
      </c>
      <c r="E27" s="313">
        <f t="shared" si="0"/>
        <v>9200</v>
      </c>
      <c r="F27" s="311"/>
      <c r="G27" s="315">
        <f ca="1">DATA!$D$11/1000000</f>
        <v>0.50440880101120011</v>
      </c>
      <c r="H27" s="315">
        <f>C27*DATA!$D$5/1000000</f>
        <v>11.968740506587888</v>
      </c>
      <c r="I27" s="315">
        <f>(C27*DATA!$D$5*DATA!$D$7)/1000000</f>
        <v>0.2692966613982275</v>
      </c>
      <c r="J27" s="313">
        <f t="shared" ca="1" si="1"/>
        <v>12.742445968997316</v>
      </c>
      <c r="K27" s="311"/>
      <c r="L27" s="313">
        <f>((D27*DATA!$D$23)/1000000)+((E27*DATA!$D$24)/1000000)</f>
        <v>15.949488000000001</v>
      </c>
      <c r="M27" s="313">
        <f t="shared" si="2"/>
        <v>15.949488000000001</v>
      </c>
      <c r="N27" s="313">
        <f t="shared" ca="1" si="6"/>
        <v>3.2070420310026844</v>
      </c>
      <c r="O27" s="312">
        <f>1/(1+'[93]Asumsi I'!$C$3)^(KKF!A27)</f>
        <v>0.1036667650806883</v>
      </c>
      <c r="P27" s="313">
        <f t="shared" ca="1" si="7"/>
        <v>0.33246367283184874</v>
      </c>
      <c r="Q27" s="313">
        <f t="shared" ca="1" si="9"/>
        <v>21.444833507855886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11040</v>
      </c>
      <c r="D28" s="313">
        <f t="shared" si="5"/>
        <v>1840</v>
      </c>
      <c r="E28" s="313">
        <f t="shared" si="0"/>
        <v>9200</v>
      </c>
      <c r="F28" s="311"/>
      <c r="G28" s="315">
        <f ca="1">DATA!$D$11/1000000</f>
        <v>0.50440880101120011</v>
      </c>
      <c r="H28" s="315">
        <f>C28*DATA!$D$5/1000000</f>
        <v>11.968740506587888</v>
      </c>
      <c r="I28" s="315">
        <f>(C28*DATA!$D$5*DATA!$D$7)/1000000</f>
        <v>0.2692966613982275</v>
      </c>
      <c r="J28" s="313">
        <f t="shared" ca="1" si="1"/>
        <v>12.742445968997316</v>
      </c>
      <c r="K28" s="311"/>
      <c r="L28" s="313">
        <f>((D28*DATA!$D$23)/1000000)+((E28*DATA!$D$24)/1000000)</f>
        <v>15.949488000000001</v>
      </c>
      <c r="M28" s="313">
        <f t="shared" si="2"/>
        <v>15.949488000000001</v>
      </c>
      <c r="N28" s="313">
        <f t="shared" ca="1" si="6"/>
        <v>3.2070420310026844</v>
      </c>
      <c r="O28" s="312">
        <f>1/(1+'[93]Asumsi I'!$C$3)^(KKF!A28)</f>
        <v>9.2559611679185971E-2</v>
      </c>
      <c r="P28" s="313">
        <f t="shared" ca="1" si="7"/>
        <v>0.29684256502843637</v>
      </c>
      <c r="Q28" s="313">
        <f t="shared" ca="1" si="9"/>
        <v>21.741676072884324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11040</v>
      </c>
      <c r="D29" s="313">
        <f t="shared" si="5"/>
        <v>1840</v>
      </c>
      <c r="E29" s="313">
        <f t="shared" si="0"/>
        <v>9200</v>
      </c>
      <c r="F29" s="311"/>
      <c r="G29" s="315">
        <f ca="1">DATA!$D$11/1000000</f>
        <v>0.50440880101120011</v>
      </c>
      <c r="H29" s="315">
        <f>C29*DATA!$D$5/1000000</f>
        <v>11.968740506587888</v>
      </c>
      <c r="I29" s="315">
        <f>(C29*DATA!$D$5*DATA!$D$7)/1000000</f>
        <v>0.2692966613982275</v>
      </c>
      <c r="J29" s="313">
        <f t="shared" ca="1" si="1"/>
        <v>12.742445968997316</v>
      </c>
      <c r="K29" s="311"/>
      <c r="L29" s="313">
        <f>((D29*DATA!$D$23)/1000000)+((E29*DATA!$D$24)/1000000)</f>
        <v>15.949488000000001</v>
      </c>
      <c r="M29" s="313">
        <f t="shared" si="2"/>
        <v>15.949488000000001</v>
      </c>
      <c r="N29" s="313">
        <f t="shared" ca="1" si="6"/>
        <v>3.2070420310026844</v>
      </c>
      <c r="O29" s="312">
        <f>1/(1+'[93]Asumsi I'!$C$3)^(KKF!A29)</f>
        <v>8.2642510427844609E-2</v>
      </c>
      <c r="P29" s="313">
        <f t="shared" ca="1" si="7"/>
        <v>0.26503800448967529</v>
      </c>
      <c r="Q29" s="313">
        <f t="shared" ca="1" si="9"/>
        <v>22.006714077373999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11040</v>
      </c>
      <c r="D30" s="313">
        <f t="shared" si="5"/>
        <v>1840</v>
      </c>
      <c r="E30" s="313">
        <f t="shared" si="0"/>
        <v>9200</v>
      </c>
      <c r="F30" s="311"/>
      <c r="G30" s="315">
        <f ca="1">DATA!$D$11/1000000</f>
        <v>0.50440880101120011</v>
      </c>
      <c r="H30" s="315">
        <f>C30*DATA!$D$5/1000000</f>
        <v>11.968740506587888</v>
      </c>
      <c r="I30" s="315">
        <f>(C30*DATA!$D$5*DATA!$D$7)/1000000</f>
        <v>0.2692966613982275</v>
      </c>
      <c r="J30" s="313">
        <f t="shared" ca="1" si="1"/>
        <v>12.742445968997316</v>
      </c>
      <c r="K30" s="311"/>
      <c r="L30" s="313">
        <f>((D30*DATA!$D$23)/1000000)+((E30*DATA!$D$24)/1000000)</f>
        <v>15.949488000000001</v>
      </c>
      <c r="M30" s="313">
        <f t="shared" si="2"/>
        <v>15.949488000000001</v>
      </c>
      <c r="N30" s="313">
        <f t="shared" ca="1" si="6"/>
        <v>3.2070420310026844</v>
      </c>
      <c r="O30" s="312">
        <f>1/(1+'[93]Asumsi I'!$C$3)^(KKF!A30)</f>
        <v>7.3787955739146982E-2</v>
      </c>
      <c r="P30" s="313">
        <f t="shared" ca="1" si="7"/>
        <v>0.23664107543721011</v>
      </c>
      <c r="Q30" s="313">
        <f t="shared" ca="1" si="9"/>
        <v>22.243355152811208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11040</v>
      </c>
      <c r="D31" s="313">
        <f t="shared" si="5"/>
        <v>1840</v>
      </c>
      <c r="E31" s="313">
        <f t="shared" si="0"/>
        <v>9200</v>
      </c>
      <c r="F31" s="311"/>
      <c r="G31" s="315">
        <f ca="1">DATA!$D$11/1000000</f>
        <v>0.50440880101120011</v>
      </c>
      <c r="H31" s="315">
        <f>C31*DATA!$D$5/1000000</f>
        <v>11.968740506587888</v>
      </c>
      <c r="I31" s="315">
        <f>(C31*DATA!$D$5*DATA!$D$7)/1000000</f>
        <v>0.2692966613982275</v>
      </c>
      <c r="J31" s="313">
        <f t="shared" ca="1" si="1"/>
        <v>12.742445968997316</v>
      </c>
      <c r="K31" s="311"/>
      <c r="L31" s="313">
        <f>((D31*DATA!$D$23)/1000000)+((E31*DATA!$D$24)/1000000)</f>
        <v>15.949488000000001</v>
      </c>
      <c r="M31" s="313">
        <f t="shared" si="2"/>
        <v>15.949488000000001</v>
      </c>
      <c r="N31" s="313">
        <f t="shared" ca="1" si="6"/>
        <v>3.2070420310026844</v>
      </c>
      <c r="O31" s="312">
        <f>1/(1+'[93]Asumsi I'!$C$3)^(KKF!A31)</f>
        <v>6.5882103338524081E-2</v>
      </c>
      <c r="P31" s="313">
        <f t="shared" ca="1" si="7"/>
        <v>0.21128667449750901</v>
      </c>
      <c r="Q31" s="313">
        <f ca="1">Q30+P31</f>
        <v>22.454641827308716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11040</v>
      </c>
      <c r="D32" s="313">
        <f t="shared" si="5"/>
        <v>1840</v>
      </c>
      <c r="E32" s="313">
        <f t="shared" si="0"/>
        <v>9200</v>
      </c>
      <c r="F32" s="311"/>
      <c r="G32" s="315">
        <f ca="1">DATA!$D$11/1000000</f>
        <v>0.50440880101120011</v>
      </c>
      <c r="H32" s="315">
        <f>C32*DATA!$D$5/1000000</f>
        <v>11.968740506587888</v>
      </c>
      <c r="I32" s="315">
        <f>(C32*DATA!$D$5*DATA!$D$7)/1000000</f>
        <v>0.2692966613982275</v>
      </c>
      <c r="J32" s="313">
        <f t="shared" ca="1" si="1"/>
        <v>12.742445968997316</v>
      </c>
      <c r="K32" s="311"/>
      <c r="L32" s="313">
        <f>((D32*DATA!$D$23)/1000000)+((E32*DATA!$D$24)/1000000)</f>
        <v>15.949488000000001</v>
      </c>
      <c r="M32" s="313">
        <f t="shared" si="2"/>
        <v>15.949488000000001</v>
      </c>
      <c r="N32" s="313">
        <f t="shared" ca="1" si="6"/>
        <v>3.2070420310026844</v>
      </c>
      <c r="O32" s="312">
        <f>1/(1+'[93]Asumsi I'!$C$3)^(KKF!A32)</f>
        <v>5.8823306552253637E-2</v>
      </c>
      <c r="P32" s="313">
        <f t="shared" ca="1" si="7"/>
        <v>0.18864881651563301</v>
      </c>
      <c r="Q32" s="313">
        <f ca="1">Q31+P32</f>
        <v>22.643290643824351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01" t="s">
        <v>1374</v>
      </c>
      <c r="G33" s="601"/>
      <c r="H33" s="601"/>
      <c r="I33" s="321"/>
      <c r="J33" s="322">
        <f ca="1">SUM(J7:J32)</f>
        <v>347.34550736850076</v>
      </c>
      <c r="K33" s="601" t="s">
        <v>1375</v>
      </c>
      <c r="L33" s="601"/>
      <c r="M33" s="322">
        <f>SUM(M7:M32)</f>
        <v>425.01157199999977</v>
      </c>
      <c r="N33" s="320"/>
      <c r="O33" s="320"/>
      <c r="P33" s="323"/>
      <c r="Q33" s="323"/>
      <c r="S33" s="301">
        <f ca="1">COUNTIF(S7:S32,"a")</f>
        <v>1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8.9753604303615173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>
        <f ca="1">AVERAGE(T7:T32)</f>
        <v>1.092597326356092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1.223598874849136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20.217223789128877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1.2777130405749935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7"/>
  <sheetViews>
    <sheetView showGridLines="0" zoomScale="85" zoomScaleNormal="85" zoomScaleSheetLayoutView="70" workbookViewId="0">
      <pane ySplit="13" topLeftCell="A61" activePane="bottomLeft" state="frozen"/>
      <selection activeCell="H1093" sqref="H1093"/>
      <selection pane="bottomLeft" activeCell="G65" sqref="G65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24" t="s">
        <v>1036</v>
      </c>
      <c r="P3" s="624"/>
      <c r="Q3" s="343"/>
      <c r="T3" s="341"/>
      <c r="U3" s="342" t="s">
        <v>1041</v>
      </c>
      <c r="V3" s="341"/>
    </row>
    <row r="4" spans="1:22" ht="15.75" customHeight="1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08" t="str">
        <f>DATA!D14</f>
        <v>DR NURGIANTO</v>
      </c>
      <c r="H6" s="608"/>
      <c r="I6" s="608"/>
      <c r="J6" s="608"/>
      <c r="K6" s="608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1631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7" t="s">
        <v>0</v>
      </c>
      <c r="C11" s="629" t="s">
        <v>1</v>
      </c>
      <c r="D11" s="618" t="s">
        <v>42</v>
      </c>
      <c r="E11" s="618" t="s">
        <v>43</v>
      </c>
      <c r="F11" s="618" t="s">
        <v>2</v>
      </c>
      <c r="G11" s="632" t="s">
        <v>41</v>
      </c>
      <c r="H11" s="618" t="s">
        <v>3</v>
      </c>
      <c r="I11" s="618"/>
      <c r="J11" s="618"/>
      <c r="K11" s="619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28"/>
      <c r="C12" s="630"/>
      <c r="D12" s="622"/>
      <c r="E12" s="622"/>
      <c r="F12" s="622"/>
      <c r="G12" s="633"/>
      <c r="H12" s="620" t="s">
        <v>46</v>
      </c>
      <c r="I12" s="620" t="s">
        <v>5</v>
      </c>
      <c r="J12" s="622" t="s">
        <v>47</v>
      </c>
      <c r="K12" s="623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28"/>
      <c r="C13" s="631"/>
      <c r="D13" s="622"/>
      <c r="E13" s="622"/>
      <c r="F13" s="622"/>
      <c r="G13" s="634"/>
      <c r="H13" s="621"/>
      <c r="I13" s="621"/>
      <c r="J13" s="622"/>
      <c r="K13" s="623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1612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18" ca="1" si="4">IF(OR(D15="MDU",D15="MDU-KD"),(IF($O$3="RAB NON MDU","PLN KD",G15*F15)),0)</f>
        <v>0</v>
      </c>
      <c r="I15" s="356">
        <f t="shared" ref="I15:I18" ca="1" si="5">IF(D15="HDW",G15*F15,0)</f>
        <v>0</v>
      </c>
      <c r="J15" s="356">
        <f t="shared" ref="J15:J18" ca="1" si="6">IF(D15="JASA",G15*F15,0)</f>
        <v>0</v>
      </c>
      <c r="K15" s="357">
        <f t="shared" ref="K15:K18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93">
        <v>1</v>
      </c>
      <c r="C16" s="109" t="s">
        <v>101</v>
      </c>
      <c r="D16" s="353" t="str">
        <f ca="1">IF(ISERROR(OFFSET('HARGA SATUAN'!$D$6,MATCH(RAB!C16,'HARGA SATUAN'!$C$7:$C$1492,0),0)),"",OFFSET('HARGA SATUAN'!$D$6,MATCH(RAB!C16,'HARGA SATUAN'!$C$7:$C$1492,0),0))</f>
        <v>HDW</v>
      </c>
      <c r="E16" s="354" t="str">
        <f ca="1">IF(B16="+","Unit",IF(ISERROR(OFFSET('HARGA SATUAN'!$E$6,MATCH(RAB!C16,'HARGA SATUAN'!$C$7:$C$1492,0),0)),"",OFFSET('HARGA SATUAN'!$E$6,MATCH(RAB!C16,'HARGA SATUAN'!$C$7:$C$1492,0),0)))</f>
        <v>Btg</v>
      </c>
      <c r="F16" s="361">
        <v>2</v>
      </c>
      <c r="G16" s="355">
        <f ca="1">IF(ISERROR(OFFSET('HARGA SATUAN'!$I$6,MATCH(RAB!C16,'HARGA SATUAN'!$C$7:$C$1492,0),0)),0,OFFSET('HARGA SATUAN'!$I$6,MATCH(RAB!C16,'HARGA SATUAN'!$C$7:$C$1492,0),0))</f>
        <v>3382600</v>
      </c>
      <c r="H16" s="356">
        <f t="shared" ca="1" si="4"/>
        <v>0</v>
      </c>
      <c r="I16" s="356">
        <f t="shared" ca="1" si="5"/>
        <v>6765200</v>
      </c>
      <c r="J16" s="356">
        <f t="shared" ca="1" si="6"/>
        <v>0</v>
      </c>
      <c r="K16" s="357">
        <f t="shared" ca="1" si="7"/>
        <v>6765200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3">
        <v>2</v>
      </c>
      <c r="C17" s="109" t="s">
        <v>6</v>
      </c>
      <c r="D17" s="353" t="str">
        <f ca="1">IF(ISERROR(OFFSET('HARGA SATUAN'!$D$6,MATCH(RAB!C17,'HARGA SATUAN'!$C$7:$C$1492,0),0)),"",OFFSET('HARGA SATUAN'!$D$6,MATCH(RAB!C17,'HARGA SATUAN'!$C$7:$C$1492,0),0))</f>
        <v>JASA</v>
      </c>
      <c r="E17" s="354" t="str">
        <f ca="1">IF(B17="+","Unit",IF(ISERROR(OFFSET('HARGA SATUAN'!$E$6,MATCH(RAB!C17,'HARGA SATUAN'!$C$7:$C$1492,0),0)),"",OFFSET('HARGA SATUAN'!$E$6,MATCH(RAB!C17,'HARGA SATUAN'!$C$7:$C$1492,0),0)))</f>
        <v>Btg</v>
      </c>
      <c r="F17" s="361">
        <v>2</v>
      </c>
      <c r="G17" s="355">
        <f ca="1">IF(ISERROR(OFFSET('HARGA SATUAN'!$I$6,MATCH(RAB!C17,'HARGA SATUAN'!$C$7:$C$1492,0),0)),0,OFFSET('HARGA SATUAN'!$I$6,MATCH(RAB!C17,'HARGA SATUAN'!$C$7:$C$1492,0),0))</f>
        <v>10066.666666666668</v>
      </c>
      <c r="H17" s="356">
        <f t="shared" ca="1" si="4"/>
        <v>0</v>
      </c>
      <c r="I17" s="356">
        <f t="shared" ca="1" si="5"/>
        <v>0</v>
      </c>
      <c r="J17" s="356">
        <f t="shared" ca="1" si="6"/>
        <v>20133.333333333336</v>
      </c>
      <c r="K17" s="357">
        <f t="shared" ca="1" si="7"/>
        <v>20133.333333333336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3"/>
      <c r="C18" s="109"/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4"/>
        <v>0</v>
      </c>
      <c r="I18" s="356">
        <f t="shared" ca="1" si="5"/>
        <v>0</v>
      </c>
      <c r="J18" s="356">
        <f t="shared" ca="1" si="6"/>
        <v>0</v>
      </c>
      <c r="K18" s="357">
        <f t="shared" ca="1" si="7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 t="e">
        <f>IF(AND(C19=0,#REF!=0,#REF!=0),"BLANKS",1)</f>
        <v>#REF!</v>
      </c>
      <c r="B19" s="481" t="s">
        <v>505</v>
      </c>
      <c r="C19" s="482" t="s">
        <v>1616</v>
      </c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ref="H19:H27" ca="1" si="8">IF(OR(D19="MDU",D19="MDU-KD"),(IF($O$3="RAB NON MDU","PLN KD",G19*F19)),0)</f>
        <v>0</v>
      </c>
      <c r="I19" s="356">
        <f t="shared" ref="I19:I27" ca="1" si="9">IF(D19="HDW",G19*F19,0)</f>
        <v>0</v>
      </c>
      <c r="J19" s="356">
        <f t="shared" ref="J19:J27" ca="1" si="10">IF(D19="JASA",G19*F19,0)</f>
        <v>0</v>
      </c>
      <c r="K19" s="357">
        <f t="shared" ref="K19:K27" ca="1" si="11">SUM(H19:J19)</f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91"/>
      <c r="C20" s="109"/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8"/>
        <v>0</v>
      </c>
      <c r="I20" s="356">
        <f t="shared" ca="1" si="9"/>
        <v>0</v>
      </c>
      <c r="J20" s="356">
        <f t="shared" ca="1" si="10"/>
        <v>0</v>
      </c>
      <c r="K20" s="357">
        <f t="shared" ca="1" si="11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504" t="s">
        <v>1035</v>
      </c>
      <c r="C21" s="505" t="s">
        <v>1625</v>
      </c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>Unit</v>
      </c>
      <c r="F21" s="506">
        <v>1</v>
      </c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8"/>
        <v>0</v>
      </c>
      <c r="I21" s="356">
        <f t="shared" ca="1" si="9"/>
        <v>0</v>
      </c>
      <c r="J21" s="356">
        <f t="shared" ca="1" si="10"/>
        <v>0</v>
      </c>
      <c r="K21" s="357">
        <f t="shared" ca="1" si="11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504">
        <v>1</v>
      </c>
      <c r="C22" s="505" t="s">
        <v>159</v>
      </c>
      <c r="D22" s="353" t="str">
        <f ca="1">IF(ISERROR(OFFSET('HARGA SATUAN'!$D$6,MATCH(RAB!C22,'HARGA SATUAN'!$C$7:$C$1492,0),0)),"",OFFSET('HARGA SATUAN'!$D$6,MATCH(RAB!C22,'HARGA SATUAN'!$C$7:$C$1492,0),0))</f>
        <v>HDW</v>
      </c>
      <c r="E22" s="354" t="str">
        <f ca="1">IF(B22="+","Unit",IF(ISERROR(OFFSET('HARGA SATUAN'!$E$6,MATCH(RAB!C22,'HARGA SATUAN'!$C$7:$C$1492,0),0)),"",OFFSET('HARGA SATUAN'!$E$6,MATCH(RAB!C22,'HARGA SATUAN'!$C$7:$C$1492,0),0)))</f>
        <v>Bh</v>
      </c>
      <c r="F22" s="506">
        <f>F21*1</f>
        <v>1</v>
      </c>
      <c r="G22" s="355">
        <f ca="1">IF(ISERROR(OFFSET('HARGA SATUAN'!$I$6,MATCH(RAB!C22,'HARGA SATUAN'!$C$7:$C$1492,0),0)),0,OFFSET('HARGA SATUAN'!$I$6,MATCH(RAB!C22,'HARGA SATUAN'!$C$7:$C$1492,0),0))</f>
        <v>45500</v>
      </c>
      <c r="H22" s="356">
        <f t="shared" ca="1" si="8"/>
        <v>0</v>
      </c>
      <c r="I22" s="356">
        <f t="shared" ca="1" si="9"/>
        <v>45500</v>
      </c>
      <c r="J22" s="356">
        <f t="shared" ca="1" si="10"/>
        <v>0</v>
      </c>
      <c r="K22" s="357">
        <f t="shared" ca="1" si="11"/>
        <v>45500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504">
        <v>2</v>
      </c>
      <c r="C23" s="505" t="s">
        <v>264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506">
        <f>F21*1</f>
        <v>1</v>
      </c>
      <c r="G23" s="355">
        <f ca="1">IF(ISERROR(OFFSET('HARGA SATUAN'!$I$6,MATCH(RAB!C23,'HARGA SATUAN'!$C$7:$C$1492,0),0)),0,OFFSET('HARGA SATUAN'!$I$6,MATCH(RAB!C23,'HARGA SATUAN'!$C$7:$C$1492,0),0))</f>
        <v>28000</v>
      </c>
      <c r="H23" s="356">
        <f t="shared" ca="1" si="8"/>
        <v>0</v>
      </c>
      <c r="I23" s="356">
        <f t="shared" ca="1" si="9"/>
        <v>28000</v>
      </c>
      <c r="J23" s="356">
        <f t="shared" ca="1" si="10"/>
        <v>0</v>
      </c>
      <c r="K23" s="357">
        <f t="shared" ca="1" si="11"/>
        <v>28000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504">
        <v>3</v>
      </c>
      <c r="C24" s="505" t="s">
        <v>38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Mtr</v>
      </c>
      <c r="F24" s="489">
        <f>F21*0.8</f>
        <v>0.8</v>
      </c>
      <c r="G24" s="355">
        <f ca="1">IF(ISERROR(OFFSET('HARGA SATUAN'!$I$6,MATCH(RAB!C24,'HARGA SATUAN'!$C$7:$C$1492,0),0)),0,OFFSET('HARGA SATUAN'!$I$6,MATCH(RAB!C24,'HARGA SATUAN'!$C$7:$C$1492,0),0))</f>
        <v>8550</v>
      </c>
      <c r="H24" s="356">
        <f t="shared" ca="1" si="8"/>
        <v>0</v>
      </c>
      <c r="I24" s="356">
        <f t="shared" ca="1" si="9"/>
        <v>6840</v>
      </c>
      <c r="J24" s="356">
        <f t="shared" ca="1" si="10"/>
        <v>0</v>
      </c>
      <c r="K24" s="357">
        <f t="shared" ca="1" si="11"/>
        <v>6840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504">
        <v>4</v>
      </c>
      <c r="C25" s="505" t="s">
        <v>26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89">
        <f>F21*1</f>
        <v>1</v>
      </c>
      <c r="G25" s="355">
        <f ca="1">IF(ISERROR(OFFSET('HARGA SATUAN'!$I$6,MATCH(RAB!C25,'HARGA SATUAN'!$C$7:$C$1492,0),0)),0,OFFSET('HARGA SATUAN'!$I$6,MATCH(RAB!C25,'HARGA SATUAN'!$C$7:$C$1492,0),0))</f>
        <v>2500</v>
      </c>
      <c r="H25" s="356">
        <f t="shared" ca="1" si="8"/>
        <v>0</v>
      </c>
      <c r="I25" s="356">
        <f t="shared" ca="1" si="9"/>
        <v>2500</v>
      </c>
      <c r="J25" s="356">
        <f t="shared" ca="1" si="10"/>
        <v>0</v>
      </c>
      <c r="K25" s="357">
        <f t="shared" ca="1" si="11"/>
        <v>2500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504">
        <v>5</v>
      </c>
      <c r="C26" s="505" t="s">
        <v>623</v>
      </c>
      <c r="D26" s="353" t="str">
        <f ca="1">IF(ISERROR(OFFSET('HARGA SATUAN'!$D$6,MATCH(RAB!C26,'HARGA SATUAN'!$C$7:$C$1492,0),0)),"",OFFSET('HARGA SATUAN'!$D$6,MATCH(RAB!C26,'HARGA SATUAN'!$C$7:$C$1492,0),0))</f>
        <v>JASA</v>
      </c>
      <c r="E26" s="354" t="str">
        <f ca="1">IF(B26="+","Unit",IF(ISERROR(OFFSET('HARGA SATUAN'!$E$6,MATCH(RAB!C26,'HARGA SATUAN'!$C$7:$C$1492,0),0)),"",OFFSET('HARGA SATUAN'!$E$6,MATCH(RAB!C26,'HARGA SATUAN'!$C$7:$C$1492,0),0)))</f>
        <v>Unit</v>
      </c>
      <c r="F26" s="489">
        <f>F21*1</f>
        <v>1</v>
      </c>
      <c r="G26" s="355">
        <f ca="1">IF(ISERROR(OFFSET('HARGA SATUAN'!$I$6,MATCH(RAB!C26,'HARGA SATUAN'!$C$7:$C$1492,0),0)),0,OFFSET('HARGA SATUAN'!$I$6,MATCH(RAB!C26,'HARGA SATUAN'!$C$7:$C$1492,0),0))</f>
        <v>33200</v>
      </c>
      <c r="H26" s="356">
        <f t="shared" ca="1" si="8"/>
        <v>0</v>
      </c>
      <c r="I26" s="356">
        <f t="shared" ca="1" si="9"/>
        <v>0</v>
      </c>
      <c r="J26" s="356">
        <f t="shared" ca="1" si="10"/>
        <v>33200</v>
      </c>
      <c r="K26" s="357">
        <f t="shared" ca="1" si="11"/>
        <v>33200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1"/>
      <c r="C27" s="109"/>
      <c r="D27" s="353" t="str">
        <f ca="1">IF(ISERROR(OFFSET('HARGA SATUAN'!$D$6,MATCH(RAB!C27,'HARGA SATUAN'!$C$7:$C$1492,0),0)),"",OFFSET('HARGA SATUAN'!$D$6,MATCH(RAB!C27,'HARGA SATUAN'!$C$7:$C$1492,0),0))</f>
        <v/>
      </c>
      <c r="E27" s="354" t="str">
        <f ca="1">IF(B27="+","Unit",IF(ISERROR(OFFSET('HARGA SATUAN'!$E$6,MATCH(RAB!C27,'HARGA SATUAN'!$C$7:$C$1492,0),0)),"",OFFSET('HARGA SATUAN'!$E$6,MATCH(RAB!C27,'HARGA SATUAN'!$C$7:$C$1492,0),0)))</f>
        <v/>
      </c>
      <c r="F27" s="361"/>
      <c r="G27" s="355">
        <f ca="1">IF(ISERROR(OFFSET('HARGA SATUAN'!$I$6,MATCH(RAB!C27,'HARGA SATUAN'!$C$7:$C$1492,0),0)),0,OFFSET('HARGA SATUAN'!$I$6,MATCH(RAB!C27,'HARGA SATUAN'!$C$7:$C$1492,0),0))</f>
        <v>0</v>
      </c>
      <c r="H27" s="356">
        <f t="shared" ca="1" si="8"/>
        <v>0</v>
      </c>
      <c r="I27" s="356">
        <f t="shared" ca="1" si="9"/>
        <v>0</v>
      </c>
      <c r="J27" s="356">
        <f t="shared" ca="1" si="10"/>
        <v>0</v>
      </c>
      <c r="K27" s="357">
        <f t="shared" ca="1" si="11"/>
        <v>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4" t="s">
        <v>1035</v>
      </c>
      <c r="C28" s="495" t="s">
        <v>1617</v>
      </c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>Unit</v>
      </c>
      <c r="F28" s="489">
        <v>2</v>
      </c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ref="H28:H45" ca="1" si="12">IF(OR(D28="MDU",D28="MDU-KD"),(IF($O$3="RAB NON MDU","PLN KD",G28*F28)),0)</f>
        <v>0</v>
      </c>
      <c r="I28" s="356">
        <f t="shared" ref="I28:I45" ca="1" si="13">IF(D28="HDW",G28*F28,0)</f>
        <v>0</v>
      </c>
      <c r="J28" s="356">
        <f t="shared" ref="J28:J45" ca="1" si="14">IF(D28="JASA",G28*F28,0)</f>
        <v>0</v>
      </c>
      <c r="K28" s="357">
        <f t="shared" ref="K28:K45" ca="1" si="15">SUM(H28:J28)</f>
        <v>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4">
        <v>1</v>
      </c>
      <c r="C29" s="495" t="s">
        <v>595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489">
        <f>F28*1</f>
        <v>2</v>
      </c>
      <c r="G29" s="355">
        <f ca="1">IF(ISERROR(OFFSET('HARGA SATUAN'!$I$6,MATCH(RAB!C29,'HARGA SATUAN'!$C$7:$C$1492,0),0)),0,OFFSET('HARGA SATUAN'!$I$6,MATCH(RAB!C29,'HARGA SATUAN'!$C$7:$C$1492,0),0))</f>
        <v>78500</v>
      </c>
      <c r="H29" s="356">
        <f t="shared" ca="1" si="12"/>
        <v>0</v>
      </c>
      <c r="I29" s="356">
        <f t="shared" ca="1" si="13"/>
        <v>157000</v>
      </c>
      <c r="J29" s="356">
        <f t="shared" ca="1" si="14"/>
        <v>0</v>
      </c>
      <c r="K29" s="357">
        <f t="shared" ca="1" si="15"/>
        <v>157000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4">
        <v>2</v>
      </c>
      <c r="C30" s="495" t="s">
        <v>229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89">
        <f>F28*1</f>
        <v>2</v>
      </c>
      <c r="G30" s="355">
        <f ca="1">IF(ISERROR(OFFSET('HARGA SATUAN'!$I$6,MATCH(RAB!C30,'HARGA SATUAN'!$C$7:$C$1492,0),0)),0,OFFSET('HARGA SATUAN'!$I$6,MATCH(RAB!C30,'HARGA SATUAN'!$C$7:$C$1492,0),0))</f>
        <v>4212</v>
      </c>
      <c r="H30" s="356">
        <f t="shared" ca="1" si="12"/>
        <v>0</v>
      </c>
      <c r="I30" s="356">
        <f t="shared" ca="1" si="13"/>
        <v>8424</v>
      </c>
      <c r="J30" s="356">
        <f t="shared" ca="1" si="14"/>
        <v>0</v>
      </c>
      <c r="K30" s="357">
        <f t="shared" ca="1" si="15"/>
        <v>8424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4">
        <v>3</v>
      </c>
      <c r="C31" s="495" t="s">
        <v>266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Mtr</v>
      </c>
      <c r="F31" s="489">
        <f>F28*1</f>
        <v>2</v>
      </c>
      <c r="G31" s="355">
        <f ca="1">IF(ISERROR(OFFSET('HARGA SATUAN'!$I$6,MATCH(RAB!C31,'HARGA SATUAN'!$C$7:$C$1492,0),0)),0,OFFSET('HARGA SATUAN'!$I$6,MATCH(RAB!C31,'HARGA SATUAN'!$C$7:$C$1492,0),0))</f>
        <v>23310</v>
      </c>
      <c r="H31" s="356">
        <f t="shared" ca="1" si="12"/>
        <v>0</v>
      </c>
      <c r="I31" s="356">
        <f t="shared" ca="1" si="13"/>
        <v>46620</v>
      </c>
      <c r="J31" s="356">
        <f t="shared" ca="1" si="14"/>
        <v>0</v>
      </c>
      <c r="K31" s="357">
        <f t="shared" ca="1" si="15"/>
        <v>46620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4">
        <v>4</v>
      </c>
      <c r="C32" s="495" t="s">
        <v>35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89">
        <f>F28*1</f>
        <v>2</v>
      </c>
      <c r="G32" s="355">
        <f ca="1">IF(ISERROR(OFFSET('HARGA SATUAN'!$I$6,MATCH(RAB!C32,'HARGA SATUAN'!$C$7:$C$1492,0),0)),0,OFFSET('HARGA SATUAN'!$I$6,MATCH(RAB!C32,'HARGA SATUAN'!$C$7:$C$1492,0),0))</f>
        <v>2300</v>
      </c>
      <c r="H32" s="356">
        <f t="shared" ca="1" si="12"/>
        <v>0</v>
      </c>
      <c r="I32" s="356">
        <f t="shared" ca="1" si="13"/>
        <v>4600</v>
      </c>
      <c r="J32" s="356">
        <f t="shared" ca="1" si="14"/>
        <v>0</v>
      </c>
      <c r="K32" s="357">
        <f t="shared" ca="1" si="15"/>
        <v>4600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4">
        <v>5</v>
      </c>
      <c r="C33" s="495" t="s">
        <v>630</v>
      </c>
      <c r="D33" s="353" t="str">
        <f ca="1">IF(ISERROR(OFFSET('HARGA SATUAN'!$D$6,MATCH(RAB!C33,'HARGA SATUAN'!$C$7:$C$1492,0),0)),"",OFFSET('HARGA SATUAN'!$D$6,MATCH(RAB!C33,'HARGA SATUAN'!$C$7:$C$1492,0),0))</f>
        <v>JASA</v>
      </c>
      <c r="E33" s="354" t="str">
        <f ca="1">IF(B33="+","Unit",IF(ISERROR(OFFSET('HARGA SATUAN'!$E$6,MATCH(RAB!C33,'HARGA SATUAN'!$C$7:$C$1492,0),0)),"",OFFSET('HARGA SATUAN'!$E$6,MATCH(RAB!C33,'HARGA SATUAN'!$C$7:$C$1492,0),0)))</f>
        <v>Unit</v>
      </c>
      <c r="F33" s="489">
        <f>F28*1</f>
        <v>2</v>
      </c>
      <c r="G33" s="355">
        <f ca="1">IF(ISERROR(OFFSET('HARGA SATUAN'!$I$6,MATCH(RAB!C33,'HARGA SATUAN'!$C$7:$C$1492,0),0)),0,OFFSET('HARGA SATUAN'!$I$6,MATCH(RAB!C33,'HARGA SATUAN'!$C$7:$C$1492,0),0))</f>
        <v>35700</v>
      </c>
      <c r="H33" s="356">
        <f t="shared" ca="1" si="12"/>
        <v>0</v>
      </c>
      <c r="I33" s="356">
        <f t="shared" ca="1" si="13"/>
        <v>0</v>
      </c>
      <c r="J33" s="356">
        <f t="shared" ca="1" si="14"/>
        <v>71400</v>
      </c>
      <c r="K33" s="357">
        <f t="shared" ca="1" si="15"/>
        <v>71400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4"/>
      <c r="C34" s="495"/>
      <c r="D34" s="353" t="str">
        <f ca="1">IF(ISERROR(OFFSET('HARGA SATUAN'!$D$6,MATCH(RAB!C34,'HARGA SATUAN'!$C$7:$C$1492,0),0)),"",OFFSET('HARGA SATUAN'!$D$6,MATCH(RAB!C34,'HARGA SATUAN'!$C$7:$C$1492,0),0))</f>
        <v/>
      </c>
      <c r="E34" s="354" t="str">
        <f ca="1">IF(B34="+","Unit",IF(ISERROR(OFFSET('HARGA SATUAN'!$E$6,MATCH(RAB!C34,'HARGA SATUAN'!$C$7:$C$1492,0),0)),"",OFFSET('HARGA SATUAN'!$E$6,MATCH(RAB!C34,'HARGA SATUAN'!$C$7:$C$1492,0),0)))</f>
        <v/>
      </c>
      <c r="F34" s="489"/>
      <c r="G34" s="355">
        <f ca="1">IF(ISERROR(OFFSET('HARGA SATUAN'!$I$6,MATCH(RAB!C34,'HARGA SATUAN'!$C$7:$C$1492,0),0)),0,OFFSET('HARGA SATUAN'!$I$6,MATCH(RAB!C34,'HARGA SATUAN'!$C$7:$C$1492,0),0))</f>
        <v>0</v>
      </c>
      <c r="H34" s="356">
        <f t="shared" ca="1" si="12"/>
        <v>0</v>
      </c>
      <c r="I34" s="356">
        <f t="shared" ca="1" si="13"/>
        <v>0</v>
      </c>
      <c r="J34" s="356">
        <f t="shared" ca="1" si="14"/>
        <v>0</v>
      </c>
      <c r="K34" s="357">
        <f t="shared" ca="1" si="15"/>
        <v>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94" t="s">
        <v>1035</v>
      </c>
      <c r="C35" s="495" t="s">
        <v>1618</v>
      </c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>Unit</v>
      </c>
      <c r="F35" s="489">
        <v>1</v>
      </c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12"/>
        <v>0</v>
      </c>
      <c r="I35" s="356">
        <f t="shared" ca="1" si="13"/>
        <v>0</v>
      </c>
      <c r="J35" s="356">
        <f t="shared" ca="1" si="14"/>
        <v>0</v>
      </c>
      <c r="K35" s="357">
        <f t="shared" ca="1" si="15"/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4">
        <v>1</v>
      </c>
      <c r="C36" s="495" t="s">
        <v>598</v>
      </c>
      <c r="D36" s="353" t="str">
        <f ca="1">IF(ISERROR(OFFSET('HARGA SATUAN'!$D$6,MATCH(RAB!C36,'HARGA SATUAN'!$C$7:$C$1492,0),0)),"",OFFSET('HARGA SATUAN'!$D$6,MATCH(RAB!C36,'HARGA SATUAN'!$C$7:$C$1492,0),0))</f>
        <v>HDW</v>
      </c>
      <c r="E36" s="354" t="str">
        <f ca="1">IF(B36="+","Unit",IF(ISERROR(OFFSET('HARGA SATUAN'!$E$6,MATCH(RAB!C36,'HARGA SATUAN'!$C$7:$C$1492,0),0)),"",OFFSET('HARGA SATUAN'!$E$6,MATCH(RAB!C36,'HARGA SATUAN'!$C$7:$C$1492,0),0)))</f>
        <v>Bh</v>
      </c>
      <c r="F36" s="489">
        <f>F35*1</f>
        <v>1</v>
      </c>
      <c r="G36" s="355">
        <f ca="1">IF(ISERROR(OFFSET('HARGA SATUAN'!$I$6,MATCH(RAB!C36,'HARGA SATUAN'!$C$7:$C$1492,0),0)),0,OFFSET('HARGA SATUAN'!$I$6,MATCH(RAB!C36,'HARGA SATUAN'!$C$7:$C$1492,0),0))</f>
        <v>3965</v>
      </c>
      <c r="H36" s="356">
        <f t="shared" ca="1" si="12"/>
        <v>0</v>
      </c>
      <c r="I36" s="356">
        <f t="shared" ca="1" si="13"/>
        <v>3965</v>
      </c>
      <c r="J36" s="356">
        <f t="shared" ca="1" si="14"/>
        <v>0</v>
      </c>
      <c r="K36" s="357">
        <f t="shared" ca="1" si="15"/>
        <v>3965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4">
        <v>2</v>
      </c>
      <c r="C37" s="495" t="s">
        <v>474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489">
        <f>F35*1</f>
        <v>1</v>
      </c>
      <c r="G37" s="355">
        <f ca="1">IF(ISERROR(OFFSET('HARGA SATUAN'!$I$6,MATCH(RAB!C37,'HARGA SATUAN'!$C$7:$C$1492,0),0)),0,OFFSET('HARGA SATUAN'!$I$6,MATCH(RAB!C37,'HARGA SATUAN'!$C$7:$C$1492,0),0))</f>
        <v>3711.24</v>
      </c>
      <c r="H37" s="356">
        <f t="shared" ca="1" si="12"/>
        <v>0</v>
      </c>
      <c r="I37" s="356">
        <f t="shared" ca="1" si="13"/>
        <v>3711.24</v>
      </c>
      <c r="J37" s="356">
        <f t="shared" ca="1" si="14"/>
        <v>0</v>
      </c>
      <c r="K37" s="357">
        <f t="shared" ca="1" si="15"/>
        <v>3711.24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4">
        <v>3</v>
      </c>
      <c r="C38" s="495" t="s">
        <v>266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Mtr</v>
      </c>
      <c r="F38" s="489">
        <f>F35*1</f>
        <v>1</v>
      </c>
      <c r="G38" s="355">
        <f ca="1">IF(ISERROR(OFFSET('HARGA SATUAN'!$I$6,MATCH(RAB!C38,'HARGA SATUAN'!$C$7:$C$1492,0),0)),0,OFFSET('HARGA SATUAN'!$I$6,MATCH(RAB!C38,'HARGA SATUAN'!$C$7:$C$1492,0),0))</f>
        <v>23310</v>
      </c>
      <c r="H38" s="356">
        <f t="shared" ca="1" si="12"/>
        <v>0</v>
      </c>
      <c r="I38" s="356">
        <f t="shared" ca="1" si="13"/>
        <v>23310</v>
      </c>
      <c r="J38" s="356">
        <f t="shared" ca="1" si="14"/>
        <v>0</v>
      </c>
      <c r="K38" s="357">
        <f t="shared" ca="1" si="15"/>
        <v>23310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4">
        <v>4</v>
      </c>
      <c r="C39" s="495" t="s">
        <v>35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Bh</v>
      </c>
      <c r="F39" s="489">
        <f>F35*1</f>
        <v>1</v>
      </c>
      <c r="G39" s="355">
        <f ca="1">IF(ISERROR(OFFSET('HARGA SATUAN'!$I$6,MATCH(RAB!C39,'HARGA SATUAN'!$C$7:$C$1492,0),0)),0,OFFSET('HARGA SATUAN'!$I$6,MATCH(RAB!C39,'HARGA SATUAN'!$C$7:$C$1492,0),0))</f>
        <v>2300</v>
      </c>
      <c r="H39" s="356">
        <f t="shared" ca="1" si="12"/>
        <v>0</v>
      </c>
      <c r="I39" s="356">
        <f t="shared" ca="1" si="13"/>
        <v>2300</v>
      </c>
      <c r="J39" s="356">
        <f t="shared" ca="1" si="14"/>
        <v>0</v>
      </c>
      <c r="K39" s="357">
        <f t="shared" ca="1" si="15"/>
        <v>2300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4">
        <v>5</v>
      </c>
      <c r="C40" s="495" t="s">
        <v>632</v>
      </c>
      <c r="D40" s="353" t="str">
        <f ca="1">IF(ISERROR(OFFSET('HARGA SATUAN'!$D$6,MATCH(RAB!C40,'HARGA SATUAN'!$C$7:$C$1492,0),0)),"",OFFSET('HARGA SATUAN'!$D$6,MATCH(RAB!C40,'HARGA SATUAN'!$C$7:$C$1492,0),0))</f>
        <v>JASA</v>
      </c>
      <c r="E40" s="354" t="str">
        <f ca="1">IF(B40="+","Unit",IF(ISERROR(OFFSET('HARGA SATUAN'!$E$6,MATCH(RAB!C40,'HARGA SATUAN'!$C$7:$C$1492,0),0)),"",OFFSET('HARGA SATUAN'!$E$6,MATCH(RAB!C40,'HARGA SATUAN'!$C$7:$C$1492,0),0)))</f>
        <v>Unit</v>
      </c>
      <c r="F40" s="489">
        <f>F35*1</f>
        <v>1</v>
      </c>
      <c r="G40" s="355">
        <f ca="1">IF(ISERROR(OFFSET('HARGA SATUAN'!$I$6,MATCH(RAB!C40,'HARGA SATUAN'!$C$7:$C$1492,0),0)),0,OFFSET('HARGA SATUAN'!$I$6,MATCH(RAB!C40,'HARGA SATUAN'!$C$7:$C$1492,0),0))</f>
        <v>22700</v>
      </c>
      <c r="H40" s="356">
        <f t="shared" ca="1" si="12"/>
        <v>0</v>
      </c>
      <c r="I40" s="356">
        <f t="shared" ca="1" si="13"/>
        <v>0</v>
      </c>
      <c r="J40" s="356">
        <f t="shared" ca="1" si="14"/>
        <v>22700</v>
      </c>
      <c r="K40" s="357">
        <f t="shared" ca="1" si="15"/>
        <v>22700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4"/>
      <c r="C41" s="495"/>
      <c r="D41" s="353" t="str">
        <f ca="1">IF(ISERROR(OFFSET('HARGA SATUAN'!$D$6,MATCH(RAB!C41,'HARGA SATUAN'!$C$7:$C$1492,0),0)),"",OFFSET('HARGA SATUAN'!$D$6,MATCH(RAB!C41,'HARGA SATUAN'!$C$7:$C$1492,0),0))</f>
        <v/>
      </c>
      <c r="E41" s="354" t="str">
        <f ca="1">IF(B41="+","Unit",IF(ISERROR(OFFSET('HARGA SATUAN'!$E$6,MATCH(RAB!C41,'HARGA SATUAN'!$C$7:$C$1492,0),0)),"",OFFSET('HARGA SATUAN'!$E$6,MATCH(RAB!C41,'HARGA SATUAN'!$C$7:$C$1492,0),0)))</f>
        <v/>
      </c>
      <c r="F41" s="489"/>
      <c r="G41" s="355">
        <f ca="1">IF(ISERROR(OFFSET('HARGA SATUAN'!$I$6,MATCH(RAB!C41,'HARGA SATUAN'!$C$7:$C$1492,0),0)),0,OFFSET('HARGA SATUAN'!$I$6,MATCH(RAB!C41,'HARGA SATUAN'!$C$7:$C$1492,0),0))</f>
        <v>0</v>
      </c>
      <c r="H41" s="356">
        <f t="shared" ca="1" si="12"/>
        <v>0</v>
      </c>
      <c r="I41" s="356">
        <f t="shared" ca="1" si="13"/>
        <v>0</v>
      </c>
      <c r="J41" s="356">
        <f t="shared" ca="1" si="14"/>
        <v>0</v>
      </c>
      <c r="K41" s="357">
        <f t="shared" ca="1" si="15"/>
        <v>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4"/>
      <c r="C42" s="496" t="s">
        <v>1619</v>
      </c>
      <c r="D42" s="353" t="str">
        <f ca="1">IF(ISERROR(OFFSET('HARGA SATUAN'!$D$6,MATCH(RAB!C42,'HARGA SATUAN'!$C$7:$C$1492,0),0)),"",OFFSET('HARGA SATUAN'!$D$6,MATCH(RAB!C42,'HARGA SATUAN'!$C$7:$C$1492,0),0))</f>
        <v/>
      </c>
      <c r="E42" s="354" t="str">
        <f ca="1">IF(B42="+","Unit",IF(ISERROR(OFFSET('HARGA SATUAN'!$E$6,MATCH(RAB!C42,'HARGA SATUAN'!$C$7:$C$1492,0),0)),"",OFFSET('HARGA SATUAN'!$E$6,MATCH(RAB!C42,'HARGA SATUAN'!$C$7:$C$1492,0),0)))</f>
        <v/>
      </c>
      <c r="F42" s="489"/>
      <c r="G42" s="355">
        <f ca="1">IF(ISERROR(OFFSET('HARGA SATUAN'!$I$6,MATCH(RAB!C42,'HARGA SATUAN'!$C$7:$C$1492,0),0)),0,OFFSET('HARGA SATUAN'!$I$6,MATCH(RAB!C42,'HARGA SATUAN'!$C$7:$C$1492,0),0))</f>
        <v>0</v>
      </c>
      <c r="H42" s="356">
        <f t="shared" ca="1" si="12"/>
        <v>0</v>
      </c>
      <c r="I42" s="356">
        <f t="shared" ca="1" si="13"/>
        <v>0</v>
      </c>
      <c r="J42" s="356">
        <f t="shared" ca="1" si="14"/>
        <v>0</v>
      </c>
      <c r="K42" s="357">
        <f t="shared" ca="1" si="15"/>
        <v>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4"/>
      <c r="C43" s="109" t="s">
        <v>1459</v>
      </c>
      <c r="D43" s="353" t="str">
        <f ca="1">IF(ISERROR(OFFSET('HARGA SATUAN'!$D$6,MATCH(RAB!C43,'HARGA SATUAN'!$C$7:$C$1492,0),0)),"",OFFSET('HARGA SATUAN'!$D$6,MATCH(RAB!C43,'HARGA SATUAN'!$C$7:$C$1492,0),0))</f>
        <v>MDU-KD</v>
      </c>
      <c r="E43" s="354" t="str">
        <f ca="1">IF(B43="+","Unit",IF(ISERROR(OFFSET('HARGA SATUAN'!$E$6,MATCH(RAB!C43,'HARGA SATUAN'!$C$7:$C$1492,0),0)),"",OFFSET('HARGA SATUAN'!$E$6,MATCH(RAB!C43,'HARGA SATUAN'!$C$7:$C$1492,0),0)))</f>
        <v>Mtr</v>
      </c>
      <c r="F43" s="489">
        <v>100</v>
      </c>
      <c r="G43" s="355">
        <f ca="1">IF(ISERROR(OFFSET('HARGA SATUAN'!$I$6,MATCH(RAB!C43,'HARGA SATUAN'!$C$7:$C$1492,0),0)),0,OFFSET('HARGA SATUAN'!$I$6,MATCH(RAB!C43,'HARGA SATUAN'!$C$7:$C$1492,0),0))</f>
        <v>54500</v>
      </c>
      <c r="H43" s="356">
        <f t="shared" ca="1" si="12"/>
        <v>5450000</v>
      </c>
      <c r="I43" s="356">
        <f t="shared" ca="1" si="13"/>
        <v>0</v>
      </c>
      <c r="J43" s="356">
        <f t="shared" ca="1" si="14"/>
        <v>0</v>
      </c>
      <c r="K43" s="357">
        <f t="shared" ca="1" si="15"/>
        <v>5450000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4"/>
      <c r="C44" s="109" t="s">
        <v>346</v>
      </c>
      <c r="D44" s="353" t="str">
        <f ca="1">IF(ISERROR(OFFSET('HARGA SATUAN'!$D$6,MATCH(RAB!C44,'HARGA SATUAN'!$C$7:$C$1492,0),0)),"",OFFSET('HARGA SATUAN'!$D$6,MATCH(RAB!C44,'HARGA SATUAN'!$C$7:$C$1492,0),0))</f>
        <v>JASA</v>
      </c>
      <c r="E44" s="354" t="str">
        <f ca="1">IF(B44="+","Unit",IF(ISERROR(OFFSET('HARGA SATUAN'!$E$6,MATCH(RAB!C44,'HARGA SATUAN'!$C$7:$C$1492,0),0)),"",OFFSET('HARGA SATUAN'!$E$6,MATCH(RAB!C44,'HARGA SATUAN'!$C$7:$C$1492,0),0)))</f>
        <v>Per 50 m</v>
      </c>
      <c r="F44" s="489">
        <f>F43/50</f>
        <v>2</v>
      </c>
      <c r="G44" s="355">
        <f ca="1">IF(ISERROR(OFFSET('HARGA SATUAN'!$I$6,MATCH(RAB!C44,'HARGA SATUAN'!$C$7:$C$1492,0),0)),0,OFFSET('HARGA SATUAN'!$I$6,MATCH(RAB!C44,'HARGA SATUAN'!$C$7:$C$1492,0),0))</f>
        <v>223500</v>
      </c>
      <c r="H44" s="356">
        <f t="shared" ca="1" si="12"/>
        <v>0</v>
      </c>
      <c r="I44" s="356">
        <f t="shared" ca="1" si="13"/>
        <v>0</v>
      </c>
      <c r="J44" s="356">
        <f t="shared" ca="1" si="14"/>
        <v>447000</v>
      </c>
      <c r="K44" s="357">
        <f t="shared" ca="1" si="15"/>
        <v>447000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1"/>
      <c r="C45" s="109"/>
      <c r="D45" s="353" t="str">
        <f ca="1">IF(ISERROR(OFFSET('HARGA SATUAN'!$D$6,MATCH(RAB!C45,'HARGA SATUAN'!$C$7:$C$1492,0),0)),"",OFFSET('HARGA SATUAN'!$D$6,MATCH(RAB!C45,'HARGA SATUAN'!$C$7:$C$1492,0),0))</f>
        <v/>
      </c>
      <c r="E45" s="354" t="str">
        <f ca="1">IF(B45="+","Unit",IF(ISERROR(OFFSET('HARGA SATUAN'!$E$6,MATCH(RAB!C45,'HARGA SATUAN'!$C$7:$C$1492,0),0)),"",OFFSET('HARGA SATUAN'!$E$6,MATCH(RAB!C45,'HARGA SATUAN'!$C$7:$C$1492,0),0)))</f>
        <v/>
      </c>
      <c r="F45" s="361"/>
      <c r="G45" s="355">
        <f ca="1">IF(ISERROR(OFFSET('HARGA SATUAN'!$I$6,MATCH(RAB!C45,'HARGA SATUAN'!$C$7:$C$1492,0),0)),0,OFFSET('HARGA SATUAN'!$I$6,MATCH(RAB!C45,'HARGA SATUAN'!$C$7:$C$1492,0),0))</f>
        <v>0</v>
      </c>
      <c r="H45" s="356">
        <f t="shared" ca="1" si="12"/>
        <v>0</v>
      </c>
      <c r="I45" s="356">
        <f t="shared" ca="1" si="13"/>
        <v>0</v>
      </c>
      <c r="J45" s="356">
        <f t="shared" ca="1" si="14"/>
        <v>0</v>
      </c>
      <c r="K45" s="357">
        <f t="shared" ca="1" si="15"/>
        <v>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1"/>
      <c r="C46" s="503" t="s">
        <v>1623</v>
      </c>
      <c r="D46" s="353" t="str">
        <f ca="1">IF(ISERROR(OFFSET('HARGA SATUAN'!$D$6,MATCH(RAB!C46,'HARGA SATUAN'!$C$7:$C$1492,0),0)),"",OFFSET('HARGA SATUAN'!$D$6,MATCH(RAB!C46,'HARGA SATUAN'!$C$7:$C$1492,0),0))</f>
        <v/>
      </c>
      <c r="E46" s="354" t="str">
        <f ca="1">IF(B46="+","Unit",IF(ISERROR(OFFSET('HARGA SATUAN'!$E$6,MATCH(RAB!C46,'HARGA SATUAN'!$C$7:$C$1492,0),0)),"",OFFSET('HARGA SATUAN'!$E$6,MATCH(RAB!C46,'HARGA SATUAN'!$C$7:$C$1492,0),0)))</f>
        <v/>
      </c>
      <c r="F46" s="361"/>
      <c r="G46" s="355">
        <f ca="1">IF(ISERROR(OFFSET('HARGA SATUAN'!$I$6,MATCH(RAB!C46,'HARGA SATUAN'!$C$7:$C$1492,0),0)),0,OFFSET('HARGA SATUAN'!$I$6,MATCH(RAB!C46,'HARGA SATUAN'!$C$7:$C$1492,0),0))</f>
        <v>0</v>
      </c>
      <c r="H46" s="356">
        <f t="shared" ref="H46:H67" ca="1" si="16">IF(OR(D46="MDU",D46="MDU-KD"),(IF($O$3="RAB NON MDU","PLN KD",G46*F46)),0)</f>
        <v>0</v>
      </c>
      <c r="I46" s="356">
        <f t="shared" ref="I46:I67" ca="1" si="17">IF(D46="HDW",G46*F46,0)</f>
        <v>0</v>
      </c>
      <c r="J46" s="356">
        <f t="shared" ref="J46:J67" ca="1" si="18">IF(D46="JASA",G46*F46,0)</f>
        <v>0</v>
      </c>
      <c r="K46" s="357">
        <f t="shared" ref="K46:K67" ca="1" si="19">SUM(H46:J46)</f>
        <v>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4" t="s">
        <v>1035</v>
      </c>
      <c r="C47" s="495" t="s">
        <v>1620</v>
      </c>
      <c r="D47" s="353" t="str">
        <f ca="1">IF(ISERROR(OFFSET('HARGA SATUAN'!$D$6,MATCH(RAB!C47,'HARGA SATUAN'!$C$7:$C$1492,0),0)),"",OFFSET('HARGA SATUAN'!$D$6,MATCH(RAB!C47,'HARGA SATUAN'!$C$7:$C$1492,0),0))</f>
        <v/>
      </c>
      <c r="E47" s="354" t="str">
        <f ca="1">IF(B47="+","Unit",IF(ISERROR(OFFSET('HARGA SATUAN'!$E$6,MATCH(RAB!C47,'HARGA SATUAN'!$C$7:$C$1492,0),0)),"",OFFSET('HARGA SATUAN'!$E$6,MATCH(RAB!C47,'HARGA SATUAN'!$C$7:$C$1492,0),0)))</f>
        <v>Unit</v>
      </c>
      <c r="F47" s="489">
        <v>1</v>
      </c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ca="1" si="16"/>
        <v>0</v>
      </c>
      <c r="I47" s="356">
        <f t="shared" ca="1" si="17"/>
        <v>0</v>
      </c>
      <c r="J47" s="356">
        <f t="shared" ca="1" si="18"/>
        <v>0</v>
      </c>
      <c r="K47" s="357">
        <f t="shared" ca="1" si="19"/>
        <v>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94">
        <v>1</v>
      </c>
      <c r="C48" s="495" t="s">
        <v>28</v>
      </c>
      <c r="D48" s="353" t="str">
        <f ca="1">IF(ISERROR(OFFSET('HARGA SATUAN'!$D$6,MATCH(RAB!C48,'HARGA SATUAN'!$C$7:$C$1492,0),0)),"",OFFSET('HARGA SATUAN'!$D$6,MATCH(RAB!C48,'HARGA SATUAN'!$C$7:$C$1492,0),0))</f>
        <v>HDW</v>
      </c>
      <c r="E48" s="354" t="str">
        <f ca="1">IF(B48="+","Unit",IF(ISERROR(OFFSET('HARGA SATUAN'!$E$6,MATCH(RAB!C48,'HARGA SATUAN'!$C$7:$C$1492,0),0)),"",OFFSET('HARGA SATUAN'!$E$6,MATCH(RAB!C48,'HARGA SATUAN'!$C$7:$C$1492,0),0)))</f>
        <v>Bh</v>
      </c>
      <c r="F48" s="489">
        <f>F47*1</f>
        <v>1</v>
      </c>
      <c r="G48" s="355">
        <f ca="1">IF(ISERROR(OFFSET('HARGA SATUAN'!$I$6,MATCH(RAB!C48,'HARGA SATUAN'!$C$7:$C$1492,0),0)),0,OFFSET('HARGA SATUAN'!$I$6,MATCH(RAB!C48,'HARGA SATUAN'!$C$7:$C$1492,0),0))</f>
        <v>26500</v>
      </c>
      <c r="H48" s="356">
        <f t="shared" ca="1" si="16"/>
        <v>0</v>
      </c>
      <c r="I48" s="356">
        <f t="shared" ca="1" si="17"/>
        <v>26500</v>
      </c>
      <c r="J48" s="356">
        <f t="shared" ca="1" si="18"/>
        <v>0</v>
      </c>
      <c r="K48" s="357">
        <f t="shared" ca="1" si="19"/>
        <v>26500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4">
        <v>2</v>
      </c>
      <c r="C49" s="495" t="s">
        <v>203</v>
      </c>
      <c r="D49" s="353" t="str">
        <f ca="1">IF(ISERROR(OFFSET('HARGA SATUAN'!$D$6,MATCH(RAB!C49,'HARGA SATUAN'!$C$7:$C$1492,0),0)),"",OFFSET('HARGA SATUAN'!$D$6,MATCH(RAB!C49,'HARGA SATUAN'!$C$7:$C$1492,0),0))</f>
        <v>HDW</v>
      </c>
      <c r="E49" s="354" t="str">
        <f ca="1">IF(B49="+","Unit",IF(ISERROR(OFFSET('HARGA SATUAN'!$E$6,MATCH(RAB!C49,'HARGA SATUAN'!$C$7:$C$1492,0),0)),"",OFFSET('HARGA SATUAN'!$E$6,MATCH(RAB!C49,'HARGA SATUAN'!$C$7:$C$1492,0),0)))</f>
        <v>Bh</v>
      </c>
      <c r="F49" s="489">
        <f>F47*1</f>
        <v>1</v>
      </c>
      <c r="G49" s="355">
        <f ca="1">IF(ISERROR(OFFSET('HARGA SATUAN'!$I$6,MATCH(RAB!C49,'HARGA SATUAN'!$C$7:$C$1492,0),0)),0,OFFSET('HARGA SATUAN'!$I$6,MATCH(RAB!C49,'HARGA SATUAN'!$C$7:$C$1492,0),0))</f>
        <v>12500</v>
      </c>
      <c r="H49" s="356">
        <f t="shared" ca="1" si="16"/>
        <v>0</v>
      </c>
      <c r="I49" s="356">
        <f t="shared" ca="1" si="17"/>
        <v>12500</v>
      </c>
      <c r="J49" s="356">
        <f t="shared" ca="1" si="18"/>
        <v>0</v>
      </c>
      <c r="K49" s="357">
        <f t="shared" ca="1" si="19"/>
        <v>12500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94">
        <v>3</v>
      </c>
      <c r="C50" s="495" t="s">
        <v>206</v>
      </c>
      <c r="D50" s="353" t="str">
        <f ca="1">IF(ISERROR(OFFSET('HARGA SATUAN'!$D$6,MATCH(RAB!C50,'HARGA SATUAN'!$C$7:$C$1492,0),0)),"",OFFSET('HARGA SATUAN'!$D$6,MATCH(RAB!C50,'HARGA SATUAN'!$C$7:$C$1492,0),0))</f>
        <v>HDW</v>
      </c>
      <c r="E50" s="354" t="str">
        <f ca="1">IF(B50="+","Unit",IF(ISERROR(OFFSET('HARGA SATUAN'!$E$6,MATCH(RAB!C50,'HARGA SATUAN'!$C$7:$C$1492,0),0)),"",OFFSET('HARGA SATUAN'!$E$6,MATCH(RAB!C50,'HARGA SATUAN'!$C$7:$C$1492,0),0)))</f>
        <v>Mtr</v>
      </c>
      <c r="F50" s="489">
        <f>F47*12</f>
        <v>12</v>
      </c>
      <c r="G50" s="355">
        <f ca="1">IF(ISERROR(OFFSET('HARGA SATUAN'!$I$6,MATCH(RAB!C50,'HARGA SATUAN'!$C$7:$C$1492,0),0)),0,OFFSET('HARGA SATUAN'!$I$6,MATCH(RAB!C50,'HARGA SATUAN'!$C$7:$C$1492,0),0))</f>
        <v>39204</v>
      </c>
      <c r="H50" s="356">
        <f t="shared" ca="1" si="16"/>
        <v>0</v>
      </c>
      <c r="I50" s="356">
        <f t="shared" ca="1" si="17"/>
        <v>470448</v>
      </c>
      <c r="J50" s="356">
        <f t="shared" ca="1" si="18"/>
        <v>0</v>
      </c>
      <c r="K50" s="357">
        <f t="shared" ca="1" si="19"/>
        <v>470448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94">
        <v>4</v>
      </c>
      <c r="C51" s="495" t="s">
        <v>287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Bh</v>
      </c>
      <c r="F51" s="489">
        <f>F47*2</f>
        <v>2</v>
      </c>
      <c r="G51" s="355">
        <f ca="1">IF(ISERROR(OFFSET('HARGA SATUAN'!$I$6,MATCH(RAB!C51,'HARGA SATUAN'!$C$7:$C$1492,0),0)),0,OFFSET('HARGA SATUAN'!$I$6,MATCH(RAB!C51,'HARGA SATUAN'!$C$7:$C$1492,0),0))</f>
        <v>40000</v>
      </c>
      <c r="H51" s="356">
        <f t="shared" ca="1" si="16"/>
        <v>0</v>
      </c>
      <c r="I51" s="356">
        <f t="shared" ca="1" si="17"/>
        <v>80000</v>
      </c>
      <c r="J51" s="356">
        <f t="shared" ca="1" si="18"/>
        <v>0</v>
      </c>
      <c r="K51" s="357">
        <f t="shared" ca="1" si="19"/>
        <v>80000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94">
        <v>5</v>
      </c>
      <c r="C52" s="495" t="s">
        <v>26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Bh</v>
      </c>
      <c r="F52" s="489">
        <f>F47*1</f>
        <v>1</v>
      </c>
      <c r="G52" s="355">
        <f ca="1">IF(ISERROR(OFFSET('HARGA SATUAN'!$I$6,MATCH(RAB!C52,'HARGA SATUAN'!$C$7:$C$1492,0),0)),0,OFFSET('HARGA SATUAN'!$I$6,MATCH(RAB!C52,'HARGA SATUAN'!$C$7:$C$1492,0),0))</f>
        <v>2500</v>
      </c>
      <c r="H52" s="356">
        <f t="shared" ca="1" si="16"/>
        <v>0</v>
      </c>
      <c r="I52" s="356">
        <f t="shared" ca="1" si="17"/>
        <v>2500</v>
      </c>
      <c r="J52" s="356">
        <f t="shared" ca="1" si="18"/>
        <v>0</v>
      </c>
      <c r="K52" s="357">
        <f t="shared" ca="1" si="19"/>
        <v>2500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94">
        <v>6</v>
      </c>
      <c r="C53" s="495" t="s">
        <v>760</v>
      </c>
      <c r="D53" s="353" t="str">
        <f ca="1">IF(ISERROR(OFFSET('HARGA SATUAN'!$D$6,MATCH(RAB!C53,'HARGA SATUAN'!$C$7:$C$1492,0),0)),"",OFFSET('HARGA SATUAN'!$D$6,MATCH(RAB!C53,'HARGA SATUAN'!$C$7:$C$1492,0),0))</f>
        <v>JASA</v>
      </c>
      <c r="E53" s="354" t="str">
        <f ca="1">IF(B53="+","Unit",IF(ISERROR(OFFSET('HARGA SATUAN'!$E$6,MATCH(RAB!C53,'HARGA SATUAN'!$C$7:$C$1492,0),0)),"",OFFSET('HARGA SATUAN'!$E$6,MATCH(RAB!C53,'HARGA SATUAN'!$C$7:$C$1492,0),0)))</f>
        <v>Unit</v>
      </c>
      <c r="F53" s="489">
        <f>F47*1</f>
        <v>1</v>
      </c>
      <c r="G53" s="355">
        <f ca="1">IF(ISERROR(OFFSET('HARGA SATUAN'!$I$6,MATCH(RAB!C53,'HARGA SATUAN'!$C$7:$C$1492,0),0)),0,OFFSET('HARGA SATUAN'!$I$6,MATCH(RAB!C53,'HARGA SATUAN'!$C$7:$C$1492,0),0))</f>
        <v>36600</v>
      </c>
      <c r="H53" s="356">
        <f t="shared" ca="1" si="16"/>
        <v>0</v>
      </c>
      <c r="I53" s="356">
        <f t="shared" ca="1" si="17"/>
        <v>0</v>
      </c>
      <c r="J53" s="356">
        <f t="shared" ca="1" si="18"/>
        <v>36600</v>
      </c>
      <c r="K53" s="357">
        <f t="shared" ca="1" si="19"/>
        <v>36600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94"/>
      <c r="C54" s="495"/>
      <c r="D54" s="353" t="str">
        <f ca="1">IF(ISERROR(OFFSET('HARGA SATUAN'!$D$6,MATCH(RAB!C54,'HARGA SATUAN'!$C$7:$C$1492,0),0)),"",OFFSET('HARGA SATUAN'!$D$6,MATCH(RAB!C54,'HARGA SATUAN'!$C$7:$C$1492,0),0))</f>
        <v/>
      </c>
      <c r="E54" s="354" t="str">
        <f ca="1">IF(B54="+","Unit",IF(ISERROR(OFFSET('HARGA SATUAN'!$E$6,MATCH(RAB!C54,'HARGA SATUAN'!$C$7:$C$1492,0),0)),"",OFFSET('HARGA SATUAN'!$E$6,MATCH(RAB!C54,'HARGA SATUAN'!$C$7:$C$1492,0),0)))</f>
        <v/>
      </c>
      <c r="F54" s="489"/>
      <c r="G54" s="355">
        <f ca="1">IF(ISERROR(OFFSET('HARGA SATUAN'!$I$6,MATCH(RAB!C54,'HARGA SATUAN'!$C$7:$C$1492,0),0)),0,OFFSET('HARGA SATUAN'!$I$6,MATCH(RAB!C54,'HARGA SATUAN'!$C$7:$C$1492,0),0))</f>
        <v>0</v>
      </c>
      <c r="H54" s="356">
        <f t="shared" ca="1" si="16"/>
        <v>0</v>
      </c>
      <c r="I54" s="356">
        <f t="shared" ca="1" si="17"/>
        <v>0</v>
      </c>
      <c r="J54" s="356">
        <f t="shared" ca="1" si="18"/>
        <v>0</v>
      </c>
      <c r="K54" s="357">
        <f t="shared" ca="1" si="19"/>
        <v>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94" t="s">
        <v>1035</v>
      </c>
      <c r="C55" s="495" t="s">
        <v>1621</v>
      </c>
      <c r="D55" s="353" t="str">
        <f ca="1">IF(ISERROR(OFFSET('HARGA SATUAN'!$D$6,MATCH(RAB!C55,'HARGA SATUAN'!$C$7:$C$1492,0),0)),"",OFFSET('HARGA SATUAN'!$D$6,MATCH(RAB!C55,'HARGA SATUAN'!$C$7:$C$1492,0),0))</f>
        <v/>
      </c>
      <c r="E55" s="354" t="str">
        <f ca="1">IF(B55="+","Unit",IF(ISERROR(OFFSET('HARGA SATUAN'!$E$6,MATCH(RAB!C55,'HARGA SATUAN'!$C$7:$C$1492,0),0)),"",OFFSET('HARGA SATUAN'!$E$6,MATCH(RAB!C55,'HARGA SATUAN'!$C$7:$C$1492,0),0)))</f>
        <v>Unit</v>
      </c>
      <c r="F55" s="489">
        <f>F47</f>
        <v>1</v>
      </c>
      <c r="G55" s="355">
        <f ca="1">IF(ISERROR(OFFSET('HARGA SATUAN'!$I$6,MATCH(RAB!C55,'HARGA SATUAN'!$C$7:$C$1492,0),0)),0,OFFSET('HARGA SATUAN'!$I$6,MATCH(RAB!C55,'HARGA SATUAN'!$C$7:$C$1492,0),0))</f>
        <v>0</v>
      </c>
      <c r="H55" s="356">
        <f t="shared" ca="1" si="16"/>
        <v>0</v>
      </c>
      <c r="I55" s="356">
        <f t="shared" ca="1" si="17"/>
        <v>0</v>
      </c>
      <c r="J55" s="356">
        <f t="shared" ca="1" si="18"/>
        <v>0</v>
      </c>
      <c r="K55" s="357">
        <f t="shared" ca="1" si="19"/>
        <v>0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500">
        <v>1</v>
      </c>
      <c r="C56" s="501" t="s">
        <v>597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Bh</v>
      </c>
      <c r="F56" s="489">
        <f>F55*1</f>
        <v>1</v>
      </c>
      <c r="G56" s="355">
        <f ca="1">IF(ISERROR(OFFSET('HARGA SATUAN'!$I$6,MATCH(RAB!C56,'HARGA SATUAN'!$C$7:$C$1492,0),0)),0,OFFSET('HARGA SATUAN'!$I$6,MATCH(RAB!C56,'HARGA SATUAN'!$C$7:$C$1492,0),0))</f>
        <v>120900</v>
      </c>
      <c r="H56" s="356">
        <f t="shared" ca="1" si="16"/>
        <v>0</v>
      </c>
      <c r="I56" s="356">
        <f t="shared" ca="1" si="17"/>
        <v>120900</v>
      </c>
      <c r="J56" s="356">
        <f t="shared" ca="1" si="18"/>
        <v>0</v>
      </c>
      <c r="K56" s="357">
        <f t="shared" ca="1" si="19"/>
        <v>120900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97">
        <v>2</v>
      </c>
      <c r="C57" s="498" t="s">
        <v>261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Bh</v>
      </c>
      <c r="F57" s="489">
        <f>F55*1</f>
        <v>1</v>
      </c>
      <c r="G57" s="355">
        <f ca="1">IF(ISERROR(OFFSET('HARGA SATUAN'!$I$6,MATCH(RAB!C57,'HARGA SATUAN'!$C$7:$C$1492,0),0)),0,OFFSET('HARGA SATUAN'!$I$6,MATCH(RAB!C57,'HARGA SATUAN'!$C$7:$C$1492,0),0))</f>
        <v>135800</v>
      </c>
      <c r="H57" s="356">
        <f t="shared" ca="1" si="16"/>
        <v>0</v>
      </c>
      <c r="I57" s="356">
        <f t="shared" ca="1" si="17"/>
        <v>135800</v>
      </c>
      <c r="J57" s="356">
        <f t="shared" ca="1" si="18"/>
        <v>0</v>
      </c>
      <c r="K57" s="357">
        <f t="shared" ca="1" si="19"/>
        <v>135800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97">
        <v>3</v>
      </c>
      <c r="C58" s="499" t="s">
        <v>214</v>
      </c>
      <c r="D58" s="353" t="str">
        <f ca="1">IF(ISERROR(OFFSET('HARGA SATUAN'!$D$6,MATCH(RAB!C58,'HARGA SATUAN'!$C$7:$C$1492,0),0)),"",OFFSET('HARGA SATUAN'!$D$6,MATCH(RAB!C58,'HARGA SATUAN'!$C$7:$C$1492,0),0))</f>
        <v>HDW</v>
      </c>
      <c r="E58" s="354" t="str">
        <f ca="1">IF(B58="+","Unit",IF(ISERROR(OFFSET('HARGA SATUAN'!$E$6,MATCH(RAB!C58,'HARGA SATUAN'!$C$7:$C$1492,0),0)),"",OFFSET('HARGA SATUAN'!$E$6,MATCH(RAB!C58,'HARGA SATUAN'!$C$7:$C$1492,0),0)))</f>
        <v>Bh</v>
      </c>
      <c r="F58" s="502">
        <f>F55*1</f>
        <v>1</v>
      </c>
      <c r="G58" s="355">
        <f ca="1">IF(ISERROR(OFFSET('HARGA SATUAN'!$I$6,MATCH(RAB!C58,'HARGA SATUAN'!$C$7:$C$1492,0),0)),0,OFFSET('HARGA SATUAN'!$I$6,MATCH(RAB!C58,'HARGA SATUAN'!$C$7:$C$1492,0),0))</f>
        <v>4500</v>
      </c>
      <c r="H58" s="356">
        <f t="shared" ca="1" si="16"/>
        <v>0</v>
      </c>
      <c r="I58" s="356">
        <f t="shared" ca="1" si="17"/>
        <v>4500</v>
      </c>
      <c r="J58" s="356">
        <f t="shared" ca="1" si="18"/>
        <v>0</v>
      </c>
      <c r="K58" s="357">
        <f t="shared" ca="1" si="19"/>
        <v>4500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94">
        <v>4</v>
      </c>
      <c r="C59" s="495" t="s">
        <v>768</v>
      </c>
      <c r="D59" s="353" t="str">
        <f ca="1">IF(ISERROR(OFFSET('HARGA SATUAN'!$D$6,MATCH(RAB!C59,'HARGA SATUAN'!$C$7:$C$1492,0),0)),"",OFFSET('HARGA SATUAN'!$D$6,MATCH(RAB!C59,'HARGA SATUAN'!$C$7:$C$1492,0),0))</f>
        <v>JASA</v>
      </c>
      <c r="E59" s="354" t="str">
        <f ca="1">IF(B59="+","Unit",IF(ISERROR(OFFSET('HARGA SATUAN'!$E$6,MATCH(RAB!C59,'HARGA SATUAN'!$C$7:$C$1492,0),0)),"",OFFSET('HARGA SATUAN'!$E$6,MATCH(RAB!C59,'HARGA SATUAN'!$C$7:$C$1492,0),0)))</f>
        <v>Unit</v>
      </c>
      <c r="F59" s="489">
        <f>F55*1</f>
        <v>1</v>
      </c>
      <c r="G59" s="355">
        <f ca="1">IF(ISERROR(OFFSET('HARGA SATUAN'!$I$6,MATCH(RAB!C59,'HARGA SATUAN'!$C$7:$C$1492,0),0)),0,OFFSET('HARGA SATUAN'!$I$6,MATCH(RAB!C59,'HARGA SATUAN'!$C$7:$C$1492,0),0))</f>
        <v>55500</v>
      </c>
      <c r="H59" s="356">
        <f t="shared" ca="1" si="16"/>
        <v>0</v>
      </c>
      <c r="I59" s="356">
        <f t="shared" ca="1" si="17"/>
        <v>0</v>
      </c>
      <c r="J59" s="356">
        <f t="shared" ca="1" si="18"/>
        <v>55500</v>
      </c>
      <c r="K59" s="357">
        <f t="shared" ca="1" si="19"/>
        <v>55500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491"/>
      <c r="C60" s="109"/>
      <c r="D60" s="353" t="str">
        <f ca="1">IF(ISERROR(OFFSET('HARGA SATUAN'!$D$6,MATCH(RAB!C60,'HARGA SATUAN'!$C$7:$C$1492,0),0)),"",OFFSET('HARGA SATUAN'!$D$6,MATCH(RAB!C60,'HARGA SATUAN'!$C$7:$C$1492,0),0))</f>
        <v/>
      </c>
      <c r="E60" s="354" t="str">
        <f ca="1">IF(B60="+","Unit",IF(ISERROR(OFFSET('HARGA SATUAN'!$E$6,MATCH(RAB!C60,'HARGA SATUAN'!$C$7:$C$1492,0),0)),"",OFFSET('HARGA SATUAN'!$E$6,MATCH(RAB!C60,'HARGA SATUAN'!$C$7:$C$1492,0),0)))</f>
        <v/>
      </c>
      <c r="F60" s="361"/>
      <c r="G60" s="355">
        <f ca="1">IF(ISERROR(OFFSET('HARGA SATUAN'!$I$6,MATCH(RAB!C60,'HARGA SATUAN'!$C$7:$C$1492,0),0)),0,OFFSET('HARGA SATUAN'!$I$6,MATCH(RAB!C60,'HARGA SATUAN'!$C$7:$C$1492,0),0))</f>
        <v>0</v>
      </c>
      <c r="H60" s="356">
        <f t="shared" ca="1" si="16"/>
        <v>0</v>
      </c>
      <c r="I60" s="356">
        <f t="shared" ca="1" si="17"/>
        <v>0</v>
      </c>
      <c r="J60" s="356">
        <f t="shared" ca="1" si="18"/>
        <v>0</v>
      </c>
      <c r="K60" s="357">
        <f t="shared" ca="1" si="19"/>
        <v>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94" t="s">
        <v>1035</v>
      </c>
      <c r="C61" s="495" t="s">
        <v>1622</v>
      </c>
      <c r="D61" s="353" t="str">
        <f ca="1">IF(ISERROR(OFFSET('HARGA SATUAN'!$D$6,MATCH(RAB!C61,'HARGA SATUAN'!$C$7:$C$1492,0),0)),"",OFFSET('HARGA SATUAN'!$D$6,MATCH(RAB!C61,'HARGA SATUAN'!$C$7:$C$1492,0),0))</f>
        <v/>
      </c>
      <c r="E61" s="354" t="str">
        <f ca="1">IF(B61="+","Unit",IF(ISERROR(OFFSET('HARGA SATUAN'!$E$6,MATCH(RAB!C61,'HARGA SATUAN'!$C$7:$C$1492,0),0)),"",OFFSET('HARGA SATUAN'!$E$6,MATCH(RAB!C61,'HARGA SATUAN'!$C$7:$C$1492,0),0)))</f>
        <v>Unit</v>
      </c>
      <c r="F61" s="489">
        <f>F55</f>
        <v>1</v>
      </c>
      <c r="G61" s="355">
        <f ca="1">IF(ISERROR(OFFSET('HARGA SATUAN'!$I$6,MATCH(RAB!C61,'HARGA SATUAN'!$C$7:$C$1492,0),0)),0,OFFSET('HARGA SATUAN'!$I$6,MATCH(RAB!C61,'HARGA SATUAN'!$C$7:$C$1492,0),0))</f>
        <v>0</v>
      </c>
      <c r="H61" s="356">
        <f t="shared" ca="1" si="16"/>
        <v>0</v>
      </c>
      <c r="I61" s="356">
        <f t="shared" ca="1" si="17"/>
        <v>0</v>
      </c>
      <c r="J61" s="356">
        <f t="shared" ca="1" si="18"/>
        <v>0</v>
      </c>
      <c r="K61" s="357">
        <f t="shared" ca="1" si="19"/>
        <v>0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94">
        <v>1</v>
      </c>
      <c r="C62" s="495" t="s">
        <v>30</v>
      </c>
      <c r="D62" s="353" t="str">
        <f ca="1">IF(ISERROR(OFFSET('HARGA SATUAN'!$D$6,MATCH(RAB!C62,'HARGA SATUAN'!$C$7:$C$1492,0),0)),"",OFFSET('HARGA SATUAN'!$D$6,MATCH(RAB!C62,'HARGA SATUAN'!$C$7:$C$1492,0),0))</f>
        <v>HDW</v>
      </c>
      <c r="E62" s="354" t="str">
        <f ca="1">IF(B62="+","Unit",IF(ISERROR(OFFSET('HARGA SATUAN'!$E$6,MATCH(RAB!C62,'HARGA SATUAN'!$C$7:$C$1492,0),0)),"",OFFSET('HARGA SATUAN'!$E$6,MATCH(RAB!C62,'HARGA SATUAN'!$C$7:$C$1492,0),0)))</f>
        <v>Bh</v>
      </c>
      <c r="F62" s="489">
        <f>F61*1</f>
        <v>1</v>
      </c>
      <c r="G62" s="355">
        <f ca="1">IF(ISERROR(OFFSET('HARGA SATUAN'!$I$6,MATCH(RAB!C62,'HARGA SATUAN'!$C$7:$C$1492,0),0)),0,OFFSET('HARGA SATUAN'!$I$6,MATCH(RAB!C62,'HARGA SATUAN'!$C$7:$C$1492,0),0))</f>
        <v>47459</v>
      </c>
      <c r="H62" s="356">
        <f t="shared" ca="1" si="16"/>
        <v>0</v>
      </c>
      <c r="I62" s="356">
        <f t="shared" ca="1" si="17"/>
        <v>47459</v>
      </c>
      <c r="J62" s="356">
        <f t="shared" ca="1" si="18"/>
        <v>0</v>
      </c>
      <c r="K62" s="357">
        <f t="shared" ca="1" si="19"/>
        <v>47459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94">
        <v>2</v>
      </c>
      <c r="C63" s="495" t="s">
        <v>32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Mtr</v>
      </c>
      <c r="F63" s="489">
        <f>F61*1</f>
        <v>1</v>
      </c>
      <c r="G63" s="355">
        <f ca="1">IF(ISERROR(OFFSET('HARGA SATUAN'!$I$6,MATCH(RAB!C63,'HARGA SATUAN'!$C$7:$C$1492,0),0)),0,OFFSET('HARGA SATUAN'!$I$6,MATCH(RAB!C63,'HARGA SATUAN'!$C$7:$C$1492,0),0))</f>
        <v>30000</v>
      </c>
      <c r="H63" s="356">
        <f t="shared" ca="1" si="16"/>
        <v>0</v>
      </c>
      <c r="I63" s="356">
        <f t="shared" ca="1" si="17"/>
        <v>30000</v>
      </c>
      <c r="J63" s="356">
        <f t="shared" ca="1" si="18"/>
        <v>0</v>
      </c>
      <c r="K63" s="357">
        <f t="shared" ca="1" si="19"/>
        <v>30000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94">
        <v>3</v>
      </c>
      <c r="C64" s="495" t="s">
        <v>33</v>
      </c>
      <c r="D64" s="353" t="str">
        <f ca="1">IF(ISERROR(OFFSET('HARGA SATUAN'!$D$6,MATCH(RAB!C64,'HARGA SATUAN'!$C$7:$C$1492,0),0)),"",OFFSET('HARGA SATUAN'!$D$6,MATCH(RAB!C64,'HARGA SATUAN'!$C$7:$C$1492,0),0))</f>
        <v>HDW</v>
      </c>
      <c r="E64" s="354" t="str">
        <f ca="1">IF(B64="+","Unit",IF(ISERROR(OFFSET('HARGA SATUAN'!$E$6,MATCH(RAB!C64,'HARGA SATUAN'!$C$7:$C$1492,0),0)),"",OFFSET('HARGA SATUAN'!$E$6,MATCH(RAB!C64,'HARGA SATUAN'!$C$7:$C$1492,0),0)))</f>
        <v>Bh</v>
      </c>
      <c r="F64" s="489">
        <f>F61*1</f>
        <v>1</v>
      </c>
      <c r="G64" s="355">
        <f ca="1">IF(ISERROR(OFFSET('HARGA SATUAN'!$I$6,MATCH(RAB!C64,'HARGA SATUAN'!$C$7:$C$1492,0),0)),0,OFFSET('HARGA SATUAN'!$I$6,MATCH(RAB!C64,'HARGA SATUAN'!$C$7:$C$1492,0),0))</f>
        <v>9500</v>
      </c>
      <c r="H64" s="356">
        <f t="shared" ca="1" si="16"/>
        <v>0</v>
      </c>
      <c r="I64" s="356">
        <f t="shared" ca="1" si="17"/>
        <v>9500</v>
      </c>
      <c r="J64" s="356">
        <f t="shared" ca="1" si="18"/>
        <v>0</v>
      </c>
      <c r="K64" s="357">
        <f t="shared" ca="1" si="19"/>
        <v>9500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494">
        <v>4</v>
      </c>
      <c r="C65" s="495" t="s">
        <v>738</v>
      </c>
      <c r="D65" s="353" t="str">
        <f ca="1">IF(ISERROR(OFFSET('HARGA SATUAN'!$D$6,MATCH(RAB!C65,'HARGA SATUAN'!$C$7:$C$1492,0),0)),"",OFFSET('HARGA SATUAN'!$D$6,MATCH(RAB!C65,'HARGA SATUAN'!$C$7:$C$1492,0),0))</f>
        <v>JASA</v>
      </c>
      <c r="E65" s="354" t="str">
        <f ca="1">IF(B65="+","Unit",IF(ISERROR(OFFSET('HARGA SATUAN'!$E$6,MATCH(RAB!C65,'HARGA SATUAN'!$C$7:$C$1492,0),0)),"",OFFSET('HARGA SATUAN'!$E$6,MATCH(RAB!C65,'HARGA SATUAN'!$C$7:$C$1492,0),0)))</f>
        <v>Unit</v>
      </c>
      <c r="F65" s="489">
        <f>F61*1</f>
        <v>1</v>
      </c>
      <c r="G65" s="355">
        <f ca="1">IF(ISERROR(OFFSET('HARGA SATUAN'!$I$6,MATCH(RAB!C65,'HARGA SATUAN'!$C$7:$C$1492,0),0)),0,OFFSET('HARGA SATUAN'!$I$6,MATCH(RAB!C65,'HARGA SATUAN'!$C$7:$C$1492,0),0))</f>
        <v>21200</v>
      </c>
      <c r="H65" s="356">
        <f t="shared" ca="1" si="16"/>
        <v>0</v>
      </c>
      <c r="I65" s="356">
        <f t="shared" ca="1" si="17"/>
        <v>0</v>
      </c>
      <c r="J65" s="356">
        <f t="shared" ca="1" si="18"/>
        <v>21200</v>
      </c>
      <c r="K65" s="357">
        <f t="shared" ca="1" si="19"/>
        <v>21200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491"/>
      <c r="C66" s="109"/>
      <c r="D66" s="353" t="str">
        <f ca="1">IF(ISERROR(OFFSET('HARGA SATUAN'!$D$6,MATCH(RAB!C66,'HARGA SATUAN'!$C$7:$C$1492,0),0)),"",OFFSET('HARGA SATUAN'!$D$6,MATCH(RAB!C66,'HARGA SATUAN'!$C$7:$C$1492,0),0))</f>
        <v/>
      </c>
      <c r="E66" s="354" t="str">
        <f ca="1">IF(B66="+","Unit",IF(ISERROR(OFFSET('HARGA SATUAN'!$E$6,MATCH(RAB!C66,'HARGA SATUAN'!$C$7:$C$1492,0),0)),"",OFFSET('HARGA SATUAN'!$E$6,MATCH(RAB!C66,'HARGA SATUAN'!$C$7:$C$1492,0),0)))</f>
        <v/>
      </c>
      <c r="F66" s="361"/>
      <c r="G66" s="355">
        <f ca="1">IF(ISERROR(OFFSET('HARGA SATUAN'!$I$6,MATCH(RAB!C66,'HARGA SATUAN'!$C$7:$C$1492,0),0)),0,OFFSET('HARGA SATUAN'!$I$6,MATCH(RAB!C66,'HARGA SATUAN'!$C$7:$C$1492,0),0))</f>
        <v>0</v>
      </c>
      <c r="H66" s="356">
        <f t="shared" ca="1" si="16"/>
        <v>0</v>
      </c>
      <c r="I66" s="356">
        <f t="shared" ca="1" si="17"/>
        <v>0</v>
      </c>
      <c r="J66" s="356">
        <f t="shared" ca="1" si="18"/>
        <v>0</v>
      </c>
      <c r="K66" s="357">
        <f t="shared" ca="1" si="19"/>
        <v>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484" t="s">
        <v>524</v>
      </c>
      <c r="C67" s="485" t="s">
        <v>1613</v>
      </c>
      <c r="D67" s="353" t="str">
        <f ca="1">IF(ISERROR(OFFSET('HARGA SATUAN'!$D$6,MATCH(RAB!C67,'HARGA SATUAN'!$C$7:$C$1492,0),0)),"",OFFSET('HARGA SATUAN'!$D$6,MATCH(RAB!C67,'HARGA SATUAN'!$C$7:$C$1492,0),0))</f>
        <v/>
      </c>
      <c r="E67" s="354" t="str">
        <f ca="1">IF(B67="+","Unit",IF(ISERROR(OFFSET('HARGA SATUAN'!$E$6,MATCH(RAB!C67,'HARGA SATUAN'!$C$7:$C$1492,0),0)),"",OFFSET('HARGA SATUAN'!$E$6,MATCH(RAB!C67,'HARGA SATUAN'!$C$7:$C$1492,0),0)))</f>
        <v/>
      </c>
      <c r="F67" s="361"/>
      <c r="G67" s="355">
        <f ca="1">IF(ISERROR(OFFSET('HARGA SATUAN'!$I$6,MATCH(RAB!C67,'HARGA SATUAN'!$C$7:$C$1492,0),0)),0,OFFSET('HARGA SATUAN'!$I$6,MATCH(RAB!C67,'HARGA SATUAN'!$C$7:$C$1492,0),0))</f>
        <v>0</v>
      </c>
      <c r="H67" s="356">
        <f t="shared" ca="1" si="16"/>
        <v>0</v>
      </c>
      <c r="I67" s="356">
        <f t="shared" ca="1" si="17"/>
        <v>0</v>
      </c>
      <c r="J67" s="356">
        <f t="shared" ca="1" si="18"/>
        <v>0</v>
      </c>
      <c r="K67" s="357">
        <f t="shared" ca="1" si="19"/>
        <v>0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484"/>
      <c r="C68" s="485"/>
      <c r="D68" s="353" t="str">
        <f ca="1">IF(ISERROR(OFFSET('HARGA SATUAN'!$D$6,MATCH(RAB!C68,'HARGA SATUAN'!$C$7:$C$1492,0),0)),"",OFFSET('HARGA SATUAN'!$D$6,MATCH(RAB!C68,'HARGA SATUAN'!$C$7:$C$1492,0),0))</f>
        <v/>
      </c>
      <c r="E68" s="354" t="str">
        <f ca="1">IF(B68="+","Unit",IF(ISERROR(OFFSET('HARGA SATUAN'!$E$6,MATCH(RAB!C68,'HARGA SATUAN'!$C$7:$C$1492,0),0)),"",OFFSET('HARGA SATUAN'!$E$6,MATCH(RAB!C68,'HARGA SATUAN'!$C$7:$C$1492,0),0)))</f>
        <v/>
      </c>
      <c r="F68" s="361"/>
      <c r="G68" s="355">
        <f ca="1">IF(ISERROR(OFFSET('HARGA SATUAN'!$I$6,MATCH(RAB!C68,'HARGA SATUAN'!$C$7:$C$1492,0),0)),0,OFFSET('HARGA SATUAN'!$I$6,MATCH(RAB!C68,'HARGA SATUAN'!$C$7:$C$1492,0),0))</f>
        <v>0</v>
      </c>
      <c r="H68" s="356">
        <f t="shared" ref="H68:H78" ca="1" si="20">IF(OR(D68="MDU",D68="MDU-KD"),(IF($O$3="RAB NON MDU","PLN KD",G68*F68)),0)</f>
        <v>0</v>
      </c>
      <c r="I68" s="356">
        <f t="shared" ref="I68:I78" ca="1" si="21">IF(D68="HDW",G68*F68,0)</f>
        <v>0</v>
      </c>
      <c r="J68" s="356">
        <f t="shared" ref="J68:J78" ca="1" si="22">IF(D68="JASA",G68*F68,0)</f>
        <v>0</v>
      </c>
      <c r="K68" s="357">
        <f t="shared" ref="K68:K78" ca="1" si="23">SUM(H68:J68)</f>
        <v>0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0" customFormat="1">
      <c r="A69" s="333"/>
      <c r="B69" s="481" t="s">
        <v>526</v>
      </c>
      <c r="C69" s="482" t="s">
        <v>1614</v>
      </c>
      <c r="D69" s="353" t="str">
        <f ca="1">IF(ISERROR(OFFSET('HARGA SATUAN'!$D$6,MATCH(RAB!C69,'HARGA SATUAN'!$C$7:$C$1492,0),0)),"",OFFSET('HARGA SATUAN'!$D$6,MATCH(RAB!C69,'HARGA SATUAN'!$C$7:$C$1492,0),0))</f>
        <v/>
      </c>
      <c r="E69" s="354" t="str">
        <f ca="1">IF(B69="+","Unit",IF(ISERROR(OFFSET('HARGA SATUAN'!$E$6,MATCH(RAB!C69,'HARGA SATUAN'!$C$7:$C$1492,0),0)),"",OFFSET('HARGA SATUAN'!$E$6,MATCH(RAB!C69,'HARGA SATUAN'!$C$7:$C$1492,0),0)))</f>
        <v/>
      </c>
      <c r="F69" s="361"/>
      <c r="G69" s="355">
        <f ca="1">IF(ISERROR(OFFSET('HARGA SATUAN'!$I$6,MATCH(RAB!C69,'HARGA SATUAN'!$C$7:$C$1492,0),0)),0,OFFSET('HARGA SATUAN'!$I$6,MATCH(RAB!C69,'HARGA SATUAN'!$C$7:$C$1492,0),0))</f>
        <v>0</v>
      </c>
      <c r="H69" s="356">
        <f t="shared" ca="1" si="20"/>
        <v>0</v>
      </c>
      <c r="I69" s="356">
        <f t="shared" ca="1" si="21"/>
        <v>0</v>
      </c>
      <c r="J69" s="356">
        <f t="shared" ca="1" si="22"/>
        <v>0</v>
      </c>
      <c r="K69" s="357">
        <f t="shared" ca="1" si="23"/>
        <v>0</v>
      </c>
      <c r="L69" s="339"/>
      <c r="M69" s="339"/>
      <c r="N69" s="362"/>
      <c r="O69" s="341"/>
      <c r="P69" s="386"/>
      <c r="Q69" s="341"/>
    </row>
    <row r="70" spans="1:22" s="360" customFormat="1">
      <c r="A70" s="333"/>
      <c r="B70" s="481"/>
      <c r="C70" s="482"/>
      <c r="D70" s="353" t="str">
        <f ca="1">IF(ISERROR(OFFSET('HARGA SATUAN'!$D$6,MATCH(RAB!C70,'HARGA SATUAN'!$C$7:$C$1492,0),0)),"",OFFSET('HARGA SATUAN'!$D$6,MATCH(RAB!C70,'HARGA SATUAN'!$C$7:$C$1492,0),0))</f>
        <v/>
      </c>
      <c r="E70" s="354" t="str">
        <f ca="1">IF(B70="+","Unit",IF(ISERROR(OFFSET('HARGA SATUAN'!$E$6,MATCH(RAB!C70,'HARGA SATUAN'!$C$7:$C$1492,0),0)),"",OFFSET('HARGA SATUAN'!$E$6,MATCH(RAB!C70,'HARGA SATUAN'!$C$7:$C$1492,0),0)))</f>
        <v/>
      </c>
      <c r="F70" s="361"/>
      <c r="G70" s="355">
        <f ca="1">IF(ISERROR(OFFSET('HARGA SATUAN'!$I$6,MATCH(RAB!C70,'HARGA SATUAN'!$C$7:$C$1492,0),0)),0,OFFSET('HARGA SATUAN'!$I$6,MATCH(RAB!C70,'HARGA SATUAN'!$C$7:$C$1492,0),0))</f>
        <v>0</v>
      </c>
      <c r="H70" s="356">
        <f t="shared" ca="1" si="20"/>
        <v>0</v>
      </c>
      <c r="I70" s="356">
        <f t="shared" ca="1" si="21"/>
        <v>0</v>
      </c>
      <c r="J70" s="356">
        <f t="shared" ca="1" si="22"/>
        <v>0</v>
      </c>
      <c r="K70" s="357">
        <f t="shared" ca="1" si="23"/>
        <v>0</v>
      </c>
      <c r="L70" s="339"/>
      <c r="M70" s="339"/>
      <c r="N70" s="362"/>
      <c r="O70" s="341"/>
      <c r="P70" s="386"/>
      <c r="Q70" s="341"/>
    </row>
    <row r="71" spans="1:22" s="360" customFormat="1">
      <c r="A71" s="333"/>
      <c r="B71" s="481"/>
      <c r="C71" s="482" t="s">
        <v>1628</v>
      </c>
      <c r="D71" s="353"/>
      <c r="E71" s="354"/>
      <c r="F71" s="361"/>
      <c r="G71" s="355"/>
      <c r="H71" s="356"/>
      <c r="I71" s="356"/>
      <c r="J71" s="356"/>
      <c r="K71" s="357"/>
      <c r="L71" s="339"/>
      <c r="M71" s="339"/>
      <c r="N71" s="362"/>
      <c r="O71" s="341"/>
      <c r="P71" s="386"/>
      <c r="Q71" s="341"/>
    </row>
    <row r="72" spans="1:22" s="360" customFormat="1">
      <c r="A72" s="333"/>
      <c r="B72" s="490" t="s">
        <v>1035</v>
      </c>
      <c r="C72" s="492" t="s">
        <v>1627</v>
      </c>
      <c r="D72" s="353" t="str">
        <f ca="1">IF(ISERROR(OFFSET('HARGA SATUAN'!$D$6,MATCH(RAB!C72,'HARGA SATUAN'!$C$7:$C$1492,0),0)),"",OFFSET('HARGA SATUAN'!$D$6,MATCH(RAB!C72,'HARGA SATUAN'!$C$7:$C$1492,0),0))</f>
        <v/>
      </c>
      <c r="E72" s="354" t="str">
        <f ca="1">IF(B72="+","Unit",IF(ISERROR(OFFSET('HARGA SATUAN'!$E$6,MATCH(RAB!C72,'HARGA SATUAN'!$C$7:$C$1492,0),0)),"",OFFSET('HARGA SATUAN'!$E$6,MATCH(RAB!C72,'HARGA SATUAN'!$C$7:$C$1492,0),0)))</f>
        <v>Unit</v>
      </c>
      <c r="F72" s="506">
        <v>1</v>
      </c>
      <c r="G72" s="355">
        <f ca="1">IF(ISERROR(OFFSET('HARGA SATUAN'!$I$6,MATCH(RAB!C72,'HARGA SATUAN'!$C$7:$C$1492,0),0)),0,OFFSET('HARGA SATUAN'!$I$6,MATCH(RAB!C72,'HARGA SATUAN'!$C$7:$C$1492,0),0))</f>
        <v>0</v>
      </c>
      <c r="H72" s="356">
        <f t="shared" ca="1" si="20"/>
        <v>0</v>
      </c>
      <c r="I72" s="356">
        <f t="shared" ca="1" si="21"/>
        <v>0</v>
      </c>
      <c r="J72" s="356">
        <f t="shared" ca="1" si="22"/>
        <v>0</v>
      </c>
      <c r="K72" s="357">
        <f t="shared" ca="1" si="23"/>
        <v>0</v>
      </c>
      <c r="L72" s="339"/>
      <c r="M72" s="339"/>
      <c r="N72" s="362"/>
      <c r="O72" s="341"/>
      <c r="P72" s="386"/>
      <c r="Q72" s="341"/>
    </row>
    <row r="73" spans="1:22" s="360" customFormat="1">
      <c r="A73" s="333"/>
      <c r="B73" s="504">
        <v>1</v>
      </c>
      <c r="C73" s="109" t="s">
        <v>483</v>
      </c>
      <c r="D73" s="353" t="str">
        <f ca="1">IF(ISERROR(OFFSET('HARGA SATUAN'!$D$6,MATCH(RAB!C73,'HARGA SATUAN'!$C$7:$C$1492,0),0)),"",OFFSET('HARGA SATUAN'!$D$6,MATCH(RAB!C73,'HARGA SATUAN'!$C$7:$C$1492,0),0))</f>
        <v>HDW</v>
      </c>
      <c r="E73" s="354" t="str">
        <f ca="1">IF(B73="+","Unit",IF(ISERROR(OFFSET('HARGA SATUAN'!$E$6,MATCH(RAB!C73,'HARGA SATUAN'!$C$7:$C$1492,0),0)),"",OFFSET('HARGA SATUAN'!$E$6,MATCH(RAB!C73,'HARGA SATUAN'!$C$7:$C$1492,0),0)))</f>
        <v>Bh</v>
      </c>
      <c r="F73" s="506">
        <f>F72*1</f>
        <v>1</v>
      </c>
      <c r="G73" s="355">
        <f ca="1">IF(ISERROR(OFFSET('HARGA SATUAN'!$I$6,MATCH(RAB!C73,'HARGA SATUAN'!$C$7:$C$1492,0),0)),0,OFFSET('HARGA SATUAN'!$I$6,MATCH(RAB!C73,'HARGA SATUAN'!$C$7:$C$1492,0),0))</f>
        <v>1719200</v>
      </c>
      <c r="H73" s="356">
        <f t="shared" ca="1" si="20"/>
        <v>0</v>
      </c>
      <c r="I73" s="356">
        <f t="shared" ca="1" si="21"/>
        <v>1719200</v>
      </c>
      <c r="J73" s="356">
        <f t="shared" ca="1" si="22"/>
        <v>0</v>
      </c>
      <c r="K73" s="357">
        <f t="shared" ca="1" si="23"/>
        <v>1719200</v>
      </c>
      <c r="L73" s="339"/>
      <c r="M73" s="339"/>
      <c r="N73" s="362"/>
      <c r="O73" s="341"/>
      <c r="P73" s="386"/>
      <c r="Q73" s="341"/>
    </row>
    <row r="74" spans="1:22" s="360" customFormat="1">
      <c r="A74" s="333"/>
      <c r="B74" s="504">
        <v>2</v>
      </c>
      <c r="C74" s="507" t="s">
        <v>512</v>
      </c>
      <c r="D74" s="353" t="str">
        <f ca="1">IF(ISERROR(OFFSET('HARGA SATUAN'!$D$6,MATCH(RAB!C74,'HARGA SATUAN'!$C$7:$C$1492,0),0)),"",OFFSET('HARGA SATUAN'!$D$6,MATCH(RAB!C74,'HARGA SATUAN'!$C$7:$C$1492,0),0))</f>
        <v>MDU-KD</v>
      </c>
      <c r="E74" s="354" t="str">
        <f ca="1">IF(B74="+","Unit",IF(ISERROR(OFFSET('HARGA SATUAN'!$E$6,MATCH(RAB!C74,'HARGA SATUAN'!$C$7:$C$1492,0),0)),"",OFFSET('HARGA SATUAN'!$E$6,MATCH(RAB!C74,'HARGA SATUAN'!$C$7:$C$1492,0),0)))</f>
        <v>Unit</v>
      </c>
      <c r="F74" s="506">
        <f>F72*1</f>
        <v>1</v>
      </c>
      <c r="G74" s="355">
        <f ca="1">IF(ISERROR(OFFSET('HARGA SATUAN'!$I$6,MATCH(RAB!C74,'HARGA SATUAN'!$C$7:$C$1492,0),0)),0,OFFSET('HARGA SATUAN'!$I$6,MATCH(RAB!C74,'HARGA SATUAN'!$C$7:$C$1492,0),0))</f>
        <v>3564900</v>
      </c>
      <c r="H74" s="356">
        <f t="shared" ca="1" si="20"/>
        <v>3564900</v>
      </c>
      <c r="I74" s="356">
        <f t="shared" ca="1" si="21"/>
        <v>0</v>
      </c>
      <c r="J74" s="356">
        <f t="shared" ca="1" si="22"/>
        <v>0</v>
      </c>
      <c r="K74" s="357">
        <f t="shared" ca="1" si="23"/>
        <v>3564900</v>
      </c>
      <c r="L74" s="339"/>
      <c r="M74" s="339"/>
      <c r="N74" s="362"/>
      <c r="O74" s="341"/>
      <c r="P74" s="386"/>
      <c r="Q74" s="341"/>
    </row>
    <row r="75" spans="1:22" s="360" customFormat="1">
      <c r="A75" s="333"/>
      <c r="B75" s="504">
        <v>3</v>
      </c>
      <c r="C75" s="507" t="s">
        <v>1142</v>
      </c>
      <c r="D75" s="353" t="str">
        <f ca="1">IF(ISERROR(OFFSET('HARGA SATUAN'!$D$6,MATCH(RAB!C75,'HARGA SATUAN'!$C$7:$C$1492,0),0)),"",OFFSET('HARGA SATUAN'!$D$6,MATCH(RAB!C75,'HARGA SATUAN'!$C$7:$C$1492,0),0))</f>
        <v>HDW</v>
      </c>
      <c r="E75" s="354" t="str">
        <f ca="1">IF(B75="+","Unit",IF(ISERROR(OFFSET('HARGA SATUAN'!$E$6,MATCH(RAB!C75,'HARGA SATUAN'!$C$7:$C$1492,0),0)),"",OFFSET('HARGA SATUAN'!$E$6,MATCH(RAB!C75,'HARGA SATUAN'!$C$7:$C$1492,0),0)))</f>
        <v>Unit</v>
      </c>
      <c r="F75" s="506">
        <f>F72*1</f>
        <v>1</v>
      </c>
      <c r="G75" s="355">
        <f ca="1">IF(ISERROR(OFFSET('HARGA SATUAN'!$I$6,MATCH(RAB!C75,'HARGA SATUAN'!$C$7:$C$1492,0),0)),0,OFFSET('HARGA SATUAN'!$I$6,MATCH(RAB!C75,'HARGA SATUAN'!$C$7:$C$1492,0),0))</f>
        <v>1113900</v>
      </c>
      <c r="H75" s="356">
        <f t="shared" ca="1" si="20"/>
        <v>0</v>
      </c>
      <c r="I75" s="356">
        <f t="shared" ca="1" si="21"/>
        <v>1113900</v>
      </c>
      <c r="J75" s="356">
        <f t="shared" ca="1" si="22"/>
        <v>0</v>
      </c>
      <c r="K75" s="357">
        <f t="shared" ca="1" si="23"/>
        <v>1113900</v>
      </c>
      <c r="L75" s="339"/>
      <c r="M75" s="339"/>
      <c r="N75" s="362"/>
      <c r="O75" s="341"/>
      <c r="P75" s="386"/>
      <c r="Q75" s="341"/>
    </row>
    <row r="76" spans="1:22" s="360" customFormat="1">
      <c r="A76" s="333"/>
      <c r="B76" s="504">
        <v>4</v>
      </c>
      <c r="C76" s="507" t="s">
        <v>77</v>
      </c>
      <c r="D76" s="353" t="str">
        <f ca="1">IF(ISERROR(OFFSET('HARGA SATUAN'!$D$6,MATCH(RAB!C76,'HARGA SATUAN'!$C$7:$C$1492,0),0)),"",OFFSET('HARGA SATUAN'!$D$6,MATCH(RAB!C76,'HARGA SATUAN'!$C$7:$C$1492,0),0))</f>
        <v>MDU-KD</v>
      </c>
      <c r="E76" s="354" t="str">
        <f ca="1">IF(B76="+","Unit",IF(ISERROR(OFFSET('HARGA SATUAN'!$E$6,MATCH(RAB!C76,'HARGA SATUAN'!$C$7:$C$1492,0),0)),"",OFFSET('HARGA SATUAN'!$E$6,MATCH(RAB!C76,'HARGA SATUAN'!$C$7:$C$1492,0),0)))</f>
        <v>Mtr</v>
      </c>
      <c r="F76" s="506">
        <f>F72*35</f>
        <v>35</v>
      </c>
      <c r="G76" s="355">
        <f ca="1">IF(ISERROR(OFFSET('HARGA SATUAN'!$I$6,MATCH(RAB!C76,'HARGA SATUAN'!$C$7:$C$1492,0),0)),0,OFFSET('HARGA SATUAN'!$I$6,MATCH(RAB!C76,'HARGA SATUAN'!$C$7:$C$1492,0),0))</f>
        <v>13500</v>
      </c>
      <c r="H76" s="356">
        <f t="shared" ca="1" si="20"/>
        <v>472500</v>
      </c>
      <c r="I76" s="356">
        <f t="shared" ca="1" si="21"/>
        <v>0</v>
      </c>
      <c r="J76" s="356">
        <f t="shared" ca="1" si="22"/>
        <v>0</v>
      </c>
      <c r="K76" s="357">
        <f t="shared" ca="1" si="23"/>
        <v>472500</v>
      </c>
      <c r="L76" s="339"/>
      <c r="M76" s="339"/>
      <c r="N76" s="362"/>
      <c r="O76" s="341"/>
      <c r="P76" s="386"/>
      <c r="Q76" s="341"/>
    </row>
    <row r="77" spans="1:22" s="360" customFormat="1">
      <c r="A77" s="333"/>
      <c r="B77" s="504">
        <v>5</v>
      </c>
      <c r="C77" s="507" t="s">
        <v>799</v>
      </c>
      <c r="D77" s="353" t="str">
        <f ca="1">IF(ISERROR(OFFSET('HARGA SATUAN'!$D$6,MATCH(RAB!C77,'HARGA SATUAN'!$C$7:$C$1492,0),0)),"",OFFSET('HARGA SATUAN'!$D$6,MATCH(RAB!C77,'HARGA SATUAN'!$C$7:$C$1492,0),0))</f>
        <v>JASA</v>
      </c>
      <c r="E77" s="354" t="str">
        <f ca="1">IF(B77="+","Unit",IF(ISERROR(OFFSET('HARGA SATUAN'!$E$6,MATCH(RAB!C77,'HARGA SATUAN'!$C$7:$C$1492,0),0)),"",OFFSET('HARGA SATUAN'!$E$6,MATCH(RAB!C77,'HARGA SATUAN'!$C$7:$C$1492,0),0)))</f>
        <v>Unit</v>
      </c>
      <c r="F77" s="506">
        <f>F72*1</f>
        <v>1</v>
      </c>
      <c r="G77" s="355">
        <f ca="1">IF(ISERROR(OFFSET('HARGA SATUAN'!$I$6,MATCH(RAB!C77,'HARGA SATUAN'!$C$7:$C$1492,0),0)),0,OFFSET('HARGA SATUAN'!$I$6,MATCH(RAB!C77,'HARGA SATUAN'!$C$7:$C$1492,0),0))</f>
        <v>106400</v>
      </c>
      <c r="H77" s="356">
        <f t="shared" ca="1" si="20"/>
        <v>0</v>
      </c>
      <c r="I77" s="356">
        <f t="shared" ca="1" si="21"/>
        <v>0</v>
      </c>
      <c r="J77" s="356">
        <f t="shared" ca="1" si="22"/>
        <v>106400</v>
      </c>
      <c r="K77" s="357">
        <f t="shared" ca="1" si="23"/>
        <v>106400</v>
      </c>
      <c r="L77" s="339"/>
      <c r="M77" s="339"/>
      <c r="N77" s="362"/>
      <c r="O77" s="341"/>
      <c r="P77" s="386"/>
      <c r="Q77" s="341"/>
    </row>
    <row r="78" spans="1:22" s="360" customFormat="1">
      <c r="A78" s="333"/>
      <c r="B78" s="481"/>
      <c r="C78" s="482"/>
      <c r="D78" s="353" t="str">
        <f ca="1">IF(ISERROR(OFFSET('HARGA SATUAN'!$D$6,MATCH(RAB!C78,'HARGA SATUAN'!$C$7:$C$1492,0),0)),"",OFFSET('HARGA SATUAN'!$D$6,MATCH(RAB!C78,'HARGA SATUAN'!$C$7:$C$1492,0),0))</f>
        <v/>
      </c>
      <c r="E78" s="354" t="str">
        <f ca="1">IF(B78="+","Unit",IF(ISERROR(OFFSET('HARGA SATUAN'!$E$6,MATCH(RAB!C78,'HARGA SATUAN'!$C$7:$C$1492,0),0)),"",OFFSET('HARGA SATUAN'!$E$6,MATCH(RAB!C78,'HARGA SATUAN'!$C$7:$C$1492,0),0)))</f>
        <v/>
      </c>
      <c r="F78" s="361"/>
      <c r="G78" s="355">
        <f ca="1">IF(ISERROR(OFFSET('HARGA SATUAN'!$I$6,MATCH(RAB!C78,'HARGA SATUAN'!$C$7:$C$1492,0),0)),0,OFFSET('HARGA SATUAN'!$I$6,MATCH(RAB!C78,'HARGA SATUAN'!$C$7:$C$1492,0),0))</f>
        <v>0</v>
      </c>
      <c r="H78" s="356">
        <f t="shared" ca="1" si="20"/>
        <v>0</v>
      </c>
      <c r="I78" s="356">
        <f t="shared" ca="1" si="21"/>
        <v>0</v>
      </c>
      <c r="J78" s="356">
        <f t="shared" ca="1" si="22"/>
        <v>0</v>
      </c>
      <c r="K78" s="357">
        <f t="shared" ca="1" si="23"/>
        <v>0</v>
      </c>
      <c r="L78" s="339"/>
      <c r="M78" s="339"/>
      <c r="N78" s="362"/>
      <c r="O78" s="341"/>
      <c r="P78" s="386"/>
      <c r="Q78" s="341"/>
    </row>
    <row r="79" spans="1:22">
      <c r="B79" s="487" t="s">
        <v>1035</v>
      </c>
      <c r="C79" s="488" t="s">
        <v>1615</v>
      </c>
      <c r="D79" s="353" t="str">
        <f ca="1">IF(ISERROR(OFFSET('HARGA SATUAN'!$D$6,MATCH(RAB!C79,'HARGA SATUAN'!$C$7:$C$1492,0),0)),"",OFFSET('HARGA SATUAN'!$D$6,MATCH(RAB!C79,'HARGA SATUAN'!$C$7:$C$1492,0),0))</f>
        <v/>
      </c>
      <c r="E79" s="354" t="str">
        <f ca="1">IF(B79="+","Unit",IF(ISERROR(OFFSET('HARGA SATUAN'!$E$6,MATCH(RAB!C79,'HARGA SATUAN'!$C$7:$C$1492,0),0)),"",OFFSET('HARGA SATUAN'!$E$6,MATCH(RAB!C79,'HARGA SATUAN'!$C$7:$C$1492,0),0)))</f>
        <v>Unit</v>
      </c>
      <c r="F79" s="489">
        <v>1</v>
      </c>
      <c r="G79" s="355">
        <f ca="1">IF(ISERROR(OFFSET('HARGA SATUAN'!$I$6,MATCH(RAB!C79,'HARGA SATUAN'!$C$7:$C$1492,0),0)),0,OFFSET('HARGA SATUAN'!$I$6,MATCH(RAB!C79,'HARGA SATUAN'!$C$7:$C$1492,0),0))</f>
        <v>0</v>
      </c>
      <c r="H79" s="356">
        <f t="shared" ref="H79:H84" ca="1" si="24">IF(OR(D79="MDU",D79="MDU-KD"),(IF($O$3="RAB NON MDU","PLN KD",G79*F79)),0)</f>
        <v>0</v>
      </c>
      <c r="I79" s="356">
        <f t="shared" ref="I79:I84" ca="1" si="25">IF(D79="HDW",G79*F79,0)</f>
        <v>0</v>
      </c>
      <c r="J79" s="356">
        <f t="shared" ref="J79:J84" ca="1" si="26">IF(D79="JASA",G79*F79,0)</f>
        <v>0</v>
      </c>
      <c r="K79" s="357">
        <f t="shared" ref="K79:K84" ca="1" si="27">SUM(H79:J79)</f>
        <v>0</v>
      </c>
    </row>
    <row r="80" spans="1:22">
      <c r="B80" s="487">
        <v>1</v>
      </c>
      <c r="C80" s="488" t="s">
        <v>29</v>
      </c>
      <c r="D80" s="353" t="str">
        <f ca="1">IF(ISERROR(OFFSET('HARGA SATUAN'!$D$6,MATCH(RAB!C80,'HARGA SATUAN'!$C$7:$C$1492,0),0)),"",OFFSET('HARGA SATUAN'!$D$6,MATCH(RAB!C80,'HARGA SATUAN'!$C$7:$C$1492,0),0))</f>
        <v>HDW</v>
      </c>
      <c r="E80" s="354" t="str">
        <f ca="1">IF(B80="+","Unit",IF(ISERROR(OFFSET('HARGA SATUAN'!$E$6,MATCH(RAB!C80,'HARGA SATUAN'!$C$7:$C$1492,0),0)),"",OFFSET('HARGA SATUAN'!$E$6,MATCH(RAB!C80,'HARGA SATUAN'!$C$7:$C$1492,0),0)))</f>
        <v>Bh</v>
      </c>
      <c r="F80" s="489">
        <f>F79*1</f>
        <v>1</v>
      </c>
      <c r="G80" s="355">
        <f ca="1">IF(ISERROR(OFFSET('HARGA SATUAN'!$I$6,MATCH(RAB!C80,'HARGA SATUAN'!$C$7:$C$1492,0),0)),0,OFFSET('HARGA SATUAN'!$I$6,MATCH(RAB!C80,'HARGA SATUAN'!$C$7:$C$1492,0),0))</f>
        <v>185200</v>
      </c>
      <c r="H80" s="356">
        <f t="shared" ca="1" si="24"/>
        <v>0</v>
      </c>
      <c r="I80" s="356">
        <f t="shared" ca="1" si="25"/>
        <v>185200</v>
      </c>
      <c r="J80" s="356">
        <f t="shared" ca="1" si="26"/>
        <v>0</v>
      </c>
      <c r="K80" s="357">
        <f t="shared" ca="1" si="27"/>
        <v>185200</v>
      </c>
    </row>
    <row r="81" spans="2:11">
      <c r="B81" s="487">
        <v>2</v>
      </c>
      <c r="C81" s="488" t="s">
        <v>30</v>
      </c>
      <c r="D81" s="353" t="str">
        <f ca="1">IF(ISERROR(OFFSET('HARGA SATUAN'!$D$6,MATCH(RAB!C81,'HARGA SATUAN'!$C$7:$C$1492,0),0)),"",OFFSET('HARGA SATUAN'!$D$6,MATCH(RAB!C81,'HARGA SATUAN'!$C$7:$C$1492,0),0))</f>
        <v>HDW</v>
      </c>
      <c r="E81" s="354" t="str">
        <f ca="1">IF(B81="+","Unit",IF(ISERROR(OFFSET('HARGA SATUAN'!$E$6,MATCH(RAB!C81,'HARGA SATUAN'!$C$7:$C$1492,0),0)),"",OFFSET('HARGA SATUAN'!$E$6,MATCH(RAB!C81,'HARGA SATUAN'!$C$7:$C$1492,0),0)))</f>
        <v>Bh</v>
      </c>
      <c r="F81" s="489">
        <f>F79*1</f>
        <v>1</v>
      </c>
      <c r="G81" s="355">
        <f ca="1">IF(ISERROR(OFFSET('HARGA SATUAN'!$I$6,MATCH(RAB!C81,'HARGA SATUAN'!$C$7:$C$1492,0),0)),0,OFFSET('HARGA SATUAN'!$I$6,MATCH(RAB!C81,'HARGA SATUAN'!$C$7:$C$1492,0),0))</f>
        <v>47459</v>
      </c>
      <c r="H81" s="356">
        <f t="shared" ca="1" si="24"/>
        <v>0</v>
      </c>
      <c r="I81" s="356">
        <f t="shared" ca="1" si="25"/>
        <v>47459</v>
      </c>
      <c r="J81" s="356">
        <f t="shared" ca="1" si="26"/>
        <v>0</v>
      </c>
      <c r="K81" s="357">
        <f t="shared" ca="1" si="27"/>
        <v>47459</v>
      </c>
    </row>
    <row r="82" spans="2:11">
      <c r="B82" s="487">
        <v>3</v>
      </c>
      <c r="C82" s="488" t="s">
        <v>32</v>
      </c>
      <c r="D82" s="353" t="str">
        <f ca="1">IF(ISERROR(OFFSET('HARGA SATUAN'!$D$6,MATCH(RAB!C82,'HARGA SATUAN'!$C$7:$C$1492,0),0)),"",OFFSET('HARGA SATUAN'!$D$6,MATCH(RAB!C82,'HARGA SATUAN'!$C$7:$C$1492,0),0))</f>
        <v>HDW</v>
      </c>
      <c r="E82" s="354" t="str">
        <f ca="1">IF(B82="+","Unit",IF(ISERROR(OFFSET('HARGA SATUAN'!$E$6,MATCH(RAB!C82,'HARGA SATUAN'!$C$7:$C$1492,0),0)),"",OFFSET('HARGA SATUAN'!$E$6,MATCH(RAB!C82,'HARGA SATUAN'!$C$7:$C$1492,0),0)))</f>
        <v>Mtr</v>
      </c>
      <c r="F82" s="489">
        <f>F79*1.5</f>
        <v>1.5</v>
      </c>
      <c r="G82" s="355">
        <f ca="1">IF(ISERROR(OFFSET('HARGA SATUAN'!$I$6,MATCH(RAB!C82,'HARGA SATUAN'!$C$7:$C$1492,0),0)),0,OFFSET('HARGA SATUAN'!$I$6,MATCH(RAB!C82,'HARGA SATUAN'!$C$7:$C$1492,0),0))</f>
        <v>30000</v>
      </c>
      <c r="H82" s="356">
        <f t="shared" ca="1" si="24"/>
        <v>0</v>
      </c>
      <c r="I82" s="356">
        <f t="shared" ca="1" si="25"/>
        <v>45000</v>
      </c>
      <c r="J82" s="356">
        <f t="shared" ca="1" si="26"/>
        <v>0</v>
      </c>
      <c r="K82" s="357">
        <f t="shared" ca="1" si="27"/>
        <v>45000</v>
      </c>
    </row>
    <row r="83" spans="2:11">
      <c r="B83" s="487">
        <v>4</v>
      </c>
      <c r="C83" s="488" t="s">
        <v>33</v>
      </c>
      <c r="D83" s="353" t="str">
        <f ca="1">IF(ISERROR(OFFSET('HARGA SATUAN'!$D$6,MATCH(RAB!C83,'HARGA SATUAN'!$C$7:$C$1492,0),0)),"",OFFSET('HARGA SATUAN'!$D$6,MATCH(RAB!C83,'HARGA SATUAN'!$C$7:$C$1492,0),0))</f>
        <v>HDW</v>
      </c>
      <c r="E83" s="354" t="str">
        <f ca="1">IF(B83="+","Unit",IF(ISERROR(OFFSET('HARGA SATUAN'!$E$6,MATCH(RAB!C83,'HARGA SATUAN'!$C$7:$C$1492,0),0)),"",OFFSET('HARGA SATUAN'!$E$6,MATCH(RAB!C83,'HARGA SATUAN'!$C$7:$C$1492,0),0)))</f>
        <v>Bh</v>
      </c>
      <c r="F83" s="489">
        <f>F79*2</f>
        <v>2</v>
      </c>
      <c r="G83" s="355">
        <f ca="1">IF(ISERROR(OFFSET('HARGA SATUAN'!$I$6,MATCH(RAB!C83,'HARGA SATUAN'!$C$7:$C$1492,0),0)),0,OFFSET('HARGA SATUAN'!$I$6,MATCH(RAB!C83,'HARGA SATUAN'!$C$7:$C$1492,0),0))</f>
        <v>9500</v>
      </c>
      <c r="H83" s="356">
        <f t="shared" ca="1" si="24"/>
        <v>0</v>
      </c>
      <c r="I83" s="356">
        <f t="shared" ca="1" si="25"/>
        <v>19000</v>
      </c>
      <c r="J83" s="356">
        <f t="shared" ca="1" si="26"/>
        <v>0</v>
      </c>
      <c r="K83" s="357">
        <f t="shared" ca="1" si="27"/>
        <v>19000</v>
      </c>
    </row>
    <row r="84" spans="2:11">
      <c r="B84" s="487">
        <v>5</v>
      </c>
      <c r="C84" s="488" t="s">
        <v>735</v>
      </c>
      <c r="D84" s="353" t="str">
        <f ca="1">IF(ISERROR(OFFSET('HARGA SATUAN'!$D$6,MATCH(RAB!C84,'HARGA SATUAN'!$C$7:$C$1492,0),0)),"",OFFSET('HARGA SATUAN'!$D$6,MATCH(RAB!C84,'HARGA SATUAN'!$C$7:$C$1492,0),0))</f>
        <v>JASA</v>
      </c>
      <c r="E84" s="354" t="str">
        <f ca="1">IF(B84="+","Unit",IF(ISERROR(OFFSET('HARGA SATUAN'!$E$6,MATCH(RAB!C84,'HARGA SATUAN'!$C$7:$C$1492,0),0)),"",OFFSET('HARGA SATUAN'!$E$6,MATCH(RAB!C84,'HARGA SATUAN'!$C$7:$C$1492,0),0)))</f>
        <v>Unit</v>
      </c>
      <c r="F84" s="489">
        <f>F79*1</f>
        <v>1</v>
      </c>
      <c r="G84" s="355">
        <f ca="1">IF(ISERROR(OFFSET('HARGA SATUAN'!$I$6,MATCH(RAB!C84,'HARGA SATUAN'!$C$7:$C$1492,0),0)),0,OFFSET('HARGA SATUAN'!$I$6,MATCH(RAB!C84,'HARGA SATUAN'!$C$7:$C$1492,0),0))</f>
        <v>56400</v>
      </c>
      <c r="H84" s="356">
        <f t="shared" ca="1" si="24"/>
        <v>0</v>
      </c>
      <c r="I84" s="356">
        <f t="shared" ca="1" si="25"/>
        <v>0</v>
      </c>
      <c r="J84" s="356">
        <f t="shared" ca="1" si="26"/>
        <v>56400</v>
      </c>
      <c r="K84" s="357">
        <f t="shared" ca="1" si="27"/>
        <v>56400</v>
      </c>
    </row>
    <row r="85" spans="2:11">
      <c r="B85" s="364"/>
      <c r="C85" s="486"/>
      <c r="D85" s="353" t="str">
        <f ca="1">IF(ISERROR(OFFSET('HARGA SATUAN'!$D$6,MATCH(RAB!C85,'HARGA SATUAN'!$C$7:$C$1492,0),0)),"",OFFSET('HARGA SATUAN'!$D$6,MATCH(RAB!C85,'HARGA SATUAN'!$C$7:$C$1492,0),0))</f>
        <v/>
      </c>
      <c r="E85" s="354" t="str">
        <f ca="1">IF(B85="+","Unit",IF(ISERROR(OFFSET('HARGA SATUAN'!$E$6,MATCH(RAB!C85,'HARGA SATUAN'!$C$7:$C$1492,0),0)),"",OFFSET('HARGA SATUAN'!$E$6,MATCH(RAB!C85,'HARGA SATUAN'!$C$7:$C$1492,0),0)))</f>
        <v/>
      </c>
      <c r="F85" s="361"/>
      <c r="G85" s="355">
        <f ca="1">IF(ISERROR(OFFSET('HARGA SATUAN'!$I$6,MATCH(RAB!C85,'HARGA SATUAN'!$C$7:$C$1492,0),0)),0,OFFSET('HARGA SATUAN'!$I$6,MATCH(RAB!C85,'HARGA SATUAN'!$C$7:$C$1492,0),0))</f>
        <v>0</v>
      </c>
      <c r="H85" s="356">
        <f t="shared" ref="H85" ca="1" si="28">IF(OR(D85="MDU",D85="MDU-KD"),(IF($O$3="RAB NON MDU","PLN KD",G85*F85)),0)</f>
        <v>0</v>
      </c>
      <c r="I85" s="356">
        <f t="shared" ref="I85" ca="1" si="29">IF(D85="HDW",G85*F85,0)</f>
        <v>0</v>
      </c>
      <c r="J85" s="356">
        <f t="shared" ref="J85" ca="1" si="30">IF(D85="JASA",G85*F85,0)</f>
        <v>0</v>
      </c>
      <c r="K85" s="357">
        <f t="shared" ref="K85" ca="1" si="31">SUM(H85:J85)</f>
        <v>0</v>
      </c>
    </row>
    <row r="86" spans="2:11">
      <c r="B86" s="504" t="s">
        <v>1035</v>
      </c>
      <c r="C86" s="507" t="s">
        <v>1626</v>
      </c>
      <c r="D86" s="353" t="str">
        <f ca="1">IF(ISERROR(OFFSET('HARGA SATUAN'!$D$6,MATCH(RAB!C86,'HARGA SATUAN'!$C$7:$C$1492,0),0)),"",OFFSET('HARGA SATUAN'!$D$6,MATCH(RAB!C86,'HARGA SATUAN'!$C$7:$C$1492,0),0))</f>
        <v/>
      </c>
      <c r="E86" s="354" t="str">
        <f ca="1">IF(B86="+","Unit",IF(ISERROR(OFFSET('HARGA SATUAN'!$E$6,MATCH(RAB!C86,'HARGA SATUAN'!$C$7:$C$1492,0),0)),"",OFFSET('HARGA SATUAN'!$E$6,MATCH(RAB!C86,'HARGA SATUAN'!$C$7:$C$1492,0),0)))</f>
        <v>Unit</v>
      </c>
      <c r="F86" s="506">
        <v>1</v>
      </c>
      <c r="G86" s="355">
        <f ca="1">IF(ISERROR(OFFSET('HARGA SATUAN'!$I$6,MATCH(RAB!C86,'HARGA SATUAN'!$C$7:$C$1492,0),0)),0,OFFSET('HARGA SATUAN'!$I$6,MATCH(RAB!C86,'HARGA SATUAN'!$C$7:$C$1492,0),0))</f>
        <v>0</v>
      </c>
      <c r="H86" s="356">
        <f t="shared" ref="H86:H94" ca="1" si="32">IF(OR(D86="MDU",D86="MDU-KD"),(IF($O$3="RAB NON MDU","PLN KD",G86*F86)),0)</f>
        <v>0</v>
      </c>
      <c r="I86" s="356">
        <f t="shared" ref="I86:I94" ca="1" si="33">IF(D86="HDW",G86*F86,0)</f>
        <v>0</v>
      </c>
      <c r="J86" s="356">
        <f t="shared" ref="J86:J94" ca="1" si="34">IF(D86="JASA",G86*F86,0)</f>
        <v>0</v>
      </c>
      <c r="K86" s="357">
        <f t="shared" ref="K86:K94" ca="1" si="35">SUM(H86:J86)</f>
        <v>0</v>
      </c>
    </row>
    <row r="87" spans="2:11">
      <c r="B87" s="504">
        <v>1</v>
      </c>
      <c r="C87" s="507" t="s">
        <v>163</v>
      </c>
      <c r="D87" s="353" t="str">
        <f ca="1">IF(ISERROR(OFFSET('HARGA SATUAN'!$D$6,MATCH(RAB!C87,'HARGA SATUAN'!$C$7:$C$1492,0),0)),"",OFFSET('HARGA SATUAN'!$D$6,MATCH(RAB!C87,'HARGA SATUAN'!$C$7:$C$1492,0),0))</f>
        <v>HDW</v>
      </c>
      <c r="E87" s="354" t="str">
        <f ca="1">IF(B87="+","Unit",IF(ISERROR(OFFSET('HARGA SATUAN'!$E$6,MATCH(RAB!C87,'HARGA SATUAN'!$C$7:$C$1492,0),0)),"",OFFSET('HARGA SATUAN'!$E$6,MATCH(RAB!C87,'HARGA SATUAN'!$C$7:$C$1492,0),0)))</f>
        <v>Bh</v>
      </c>
      <c r="F87" s="506">
        <f>F86*4</f>
        <v>4</v>
      </c>
      <c r="G87" s="355">
        <f ca="1">IF(ISERROR(OFFSET('HARGA SATUAN'!$I$6,MATCH(RAB!C87,'HARGA SATUAN'!$C$7:$C$1492,0),0)),0,OFFSET('HARGA SATUAN'!$I$6,MATCH(RAB!C87,'HARGA SATUAN'!$C$7:$C$1492,0),0))</f>
        <v>7938</v>
      </c>
      <c r="H87" s="356">
        <f t="shared" ca="1" si="32"/>
        <v>0</v>
      </c>
      <c r="I87" s="356">
        <f t="shared" ca="1" si="33"/>
        <v>31752</v>
      </c>
      <c r="J87" s="356">
        <f t="shared" ca="1" si="34"/>
        <v>0</v>
      </c>
      <c r="K87" s="357">
        <f t="shared" ca="1" si="35"/>
        <v>31752</v>
      </c>
    </row>
    <row r="88" spans="2:11">
      <c r="B88" s="504">
        <v>2</v>
      </c>
      <c r="C88" s="507" t="s">
        <v>593</v>
      </c>
      <c r="D88" s="353" t="str">
        <f ca="1">IF(ISERROR(OFFSET('HARGA SATUAN'!$D$6,MATCH(RAB!C88,'HARGA SATUAN'!$C$7:$C$1492,0),0)),"",OFFSET('HARGA SATUAN'!$D$6,MATCH(RAB!C88,'HARGA SATUAN'!$C$7:$C$1492,0),0))</f>
        <v>HDW</v>
      </c>
      <c r="E88" s="354" t="str">
        <f ca="1">IF(B88="+","Unit",IF(ISERROR(OFFSET('HARGA SATUAN'!$E$6,MATCH(RAB!C88,'HARGA SATUAN'!$C$7:$C$1492,0),0)),"",OFFSET('HARGA SATUAN'!$E$6,MATCH(RAB!C88,'HARGA SATUAN'!$C$7:$C$1492,0),0)))</f>
        <v>Bh</v>
      </c>
      <c r="F88" s="506">
        <f>F86*1</f>
        <v>1</v>
      </c>
      <c r="G88" s="355">
        <f ca="1">IF(ISERROR(OFFSET('HARGA SATUAN'!$I$6,MATCH(RAB!C88,'HARGA SATUAN'!$C$7:$C$1492,0),0)),0,OFFSET('HARGA SATUAN'!$I$6,MATCH(RAB!C88,'HARGA SATUAN'!$C$7:$C$1492,0),0))</f>
        <v>380500</v>
      </c>
      <c r="H88" s="356">
        <f t="shared" ca="1" si="32"/>
        <v>0</v>
      </c>
      <c r="I88" s="356">
        <f t="shared" ca="1" si="33"/>
        <v>380500</v>
      </c>
      <c r="J88" s="356">
        <f t="shared" ca="1" si="34"/>
        <v>0</v>
      </c>
      <c r="K88" s="357">
        <f t="shared" ca="1" si="35"/>
        <v>380500</v>
      </c>
    </row>
    <row r="89" spans="2:11">
      <c r="B89" s="504">
        <v>3</v>
      </c>
      <c r="C89" s="507" t="s">
        <v>248</v>
      </c>
      <c r="D89" s="353" t="str">
        <f ca="1">IF(ISERROR(OFFSET('HARGA SATUAN'!$D$6,MATCH(RAB!C89,'HARGA SATUAN'!$C$7:$C$1492,0),0)),"",OFFSET('HARGA SATUAN'!$D$6,MATCH(RAB!C89,'HARGA SATUAN'!$C$7:$C$1492,0),0))</f>
        <v>HDW</v>
      </c>
      <c r="E89" s="354" t="str">
        <f ca="1">IF(B89="+","Unit",IF(ISERROR(OFFSET('HARGA SATUAN'!$E$6,MATCH(RAB!C89,'HARGA SATUAN'!$C$7:$C$1492,0),0)),"",OFFSET('HARGA SATUAN'!$E$6,MATCH(RAB!C89,'HARGA SATUAN'!$C$7:$C$1492,0),0)))</f>
        <v>Bh</v>
      </c>
      <c r="F89" s="506">
        <f>F86*2</f>
        <v>2</v>
      </c>
      <c r="G89" s="355">
        <f ca="1">IF(ISERROR(OFFSET('HARGA SATUAN'!$I$6,MATCH(RAB!C89,'HARGA SATUAN'!$C$7:$C$1492,0),0)),0,OFFSET('HARGA SATUAN'!$I$6,MATCH(RAB!C89,'HARGA SATUAN'!$C$7:$C$1492,0),0))</f>
        <v>60300</v>
      </c>
      <c r="H89" s="356">
        <f t="shared" ca="1" si="32"/>
        <v>0</v>
      </c>
      <c r="I89" s="356">
        <f t="shared" ca="1" si="33"/>
        <v>120600</v>
      </c>
      <c r="J89" s="356">
        <f t="shared" ca="1" si="34"/>
        <v>0</v>
      </c>
      <c r="K89" s="357">
        <f t="shared" ca="1" si="35"/>
        <v>120600</v>
      </c>
    </row>
    <row r="90" spans="2:11">
      <c r="B90" s="504">
        <v>4</v>
      </c>
      <c r="C90" s="505" t="s">
        <v>595</v>
      </c>
      <c r="D90" s="353" t="str">
        <f ca="1">IF(ISERROR(OFFSET('HARGA SATUAN'!$D$6,MATCH(RAB!C90,'HARGA SATUAN'!$C$7:$C$1492,0),0)),"",OFFSET('HARGA SATUAN'!$D$6,MATCH(RAB!C90,'HARGA SATUAN'!$C$7:$C$1492,0),0))</f>
        <v>HDW</v>
      </c>
      <c r="E90" s="354" t="str">
        <f ca="1">IF(B90="+","Unit",IF(ISERROR(OFFSET('HARGA SATUAN'!$E$6,MATCH(RAB!C90,'HARGA SATUAN'!$C$7:$C$1492,0),0)),"",OFFSET('HARGA SATUAN'!$E$6,MATCH(RAB!C90,'HARGA SATUAN'!$C$7:$C$1492,0),0)))</f>
        <v>Bh</v>
      </c>
      <c r="F90" s="489">
        <f>F86*1</f>
        <v>1</v>
      </c>
      <c r="G90" s="355">
        <f ca="1">IF(ISERROR(OFFSET('HARGA SATUAN'!$I$6,MATCH(RAB!C90,'HARGA SATUAN'!$C$7:$C$1492,0),0)),0,OFFSET('HARGA SATUAN'!$I$6,MATCH(RAB!C90,'HARGA SATUAN'!$C$7:$C$1492,0),0))</f>
        <v>78500</v>
      </c>
      <c r="H90" s="356">
        <f t="shared" ca="1" si="32"/>
        <v>0</v>
      </c>
      <c r="I90" s="356">
        <f t="shared" ca="1" si="33"/>
        <v>78500</v>
      </c>
      <c r="J90" s="356">
        <f t="shared" ca="1" si="34"/>
        <v>0</v>
      </c>
      <c r="K90" s="357">
        <f t="shared" ca="1" si="35"/>
        <v>78500</v>
      </c>
    </row>
    <row r="91" spans="2:11">
      <c r="B91" s="504">
        <v>5</v>
      </c>
      <c r="C91" s="505" t="s">
        <v>229</v>
      </c>
      <c r="D91" s="353" t="str">
        <f ca="1">IF(ISERROR(OFFSET('HARGA SATUAN'!$D$6,MATCH(RAB!C91,'HARGA SATUAN'!$C$7:$C$1492,0),0)),"",OFFSET('HARGA SATUAN'!$D$6,MATCH(RAB!C91,'HARGA SATUAN'!$C$7:$C$1492,0),0))</f>
        <v>HDW</v>
      </c>
      <c r="E91" s="354" t="str">
        <f ca="1">IF(B91="+","Unit",IF(ISERROR(OFFSET('HARGA SATUAN'!$E$6,MATCH(RAB!C91,'HARGA SATUAN'!$C$7:$C$1492,0),0)),"",OFFSET('HARGA SATUAN'!$E$6,MATCH(RAB!C91,'HARGA SATUAN'!$C$7:$C$1492,0),0)))</f>
        <v>Bh</v>
      </c>
      <c r="F91" s="489">
        <f>F86*1</f>
        <v>1</v>
      </c>
      <c r="G91" s="355">
        <f ca="1">IF(ISERROR(OFFSET('HARGA SATUAN'!$I$6,MATCH(RAB!C91,'HARGA SATUAN'!$C$7:$C$1492,0),0)),0,OFFSET('HARGA SATUAN'!$I$6,MATCH(RAB!C91,'HARGA SATUAN'!$C$7:$C$1492,0),0))</f>
        <v>4212</v>
      </c>
      <c r="H91" s="356">
        <f t="shared" ca="1" si="32"/>
        <v>0</v>
      </c>
      <c r="I91" s="356">
        <f t="shared" ca="1" si="33"/>
        <v>4212</v>
      </c>
      <c r="J91" s="356">
        <f t="shared" ca="1" si="34"/>
        <v>0</v>
      </c>
      <c r="K91" s="357">
        <f t="shared" ca="1" si="35"/>
        <v>4212</v>
      </c>
    </row>
    <row r="92" spans="2:11">
      <c r="B92" s="504">
        <v>6</v>
      </c>
      <c r="C92" s="505" t="s">
        <v>266</v>
      </c>
      <c r="D92" s="353" t="str">
        <f ca="1">IF(ISERROR(OFFSET('HARGA SATUAN'!$D$6,MATCH(RAB!C92,'HARGA SATUAN'!$C$7:$C$1492,0),0)),"",OFFSET('HARGA SATUAN'!$D$6,MATCH(RAB!C92,'HARGA SATUAN'!$C$7:$C$1492,0),0))</f>
        <v>HDW</v>
      </c>
      <c r="E92" s="354" t="str">
        <f ca="1">IF(B92="+","Unit",IF(ISERROR(OFFSET('HARGA SATUAN'!$E$6,MATCH(RAB!C92,'HARGA SATUAN'!$C$7:$C$1492,0),0)),"",OFFSET('HARGA SATUAN'!$E$6,MATCH(RAB!C92,'HARGA SATUAN'!$C$7:$C$1492,0),0)))</f>
        <v>Mtr</v>
      </c>
      <c r="F92" s="489">
        <f>F86*1</f>
        <v>1</v>
      </c>
      <c r="G92" s="355">
        <f ca="1">IF(ISERROR(OFFSET('HARGA SATUAN'!$I$6,MATCH(RAB!C92,'HARGA SATUAN'!$C$7:$C$1492,0),0)),0,OFFSET('HARGA SATUAN'!$I$6,MATCH(RAB!C92,'HARGA SATUAN'!$C$7:$C$1492,0),0))</f>
        <v>23310</v>
      </c>
      <c r="H92" s="356">
        <f t="shared" ca="1" si="32"/>
        <v>0</v>
      </c>
      <c r="I92" s="356">
        <f t="shared" ca="1" si="33"/>
        <v>23310</v>
      </c>
      <c r="J92" s="356">
        <f t="shared" ca="1" si="34"/>
        <v>0</v>
      </c>
      <c r="K92" s="357">
        <f t="shared" ca="1" si="35"/>
        <v>23310</v>
      </c>
    </row>
    <row r="93" spans="2:11">
      <c r="B93" s="504">
        <v>7</v>
      </c>
      <c r="C93" s="505" t="s">
        <v>35</v>
      </c>
      <c r="D93" s="353" t="str">
        <f ca="1">IF(ISERROR(OFFSET('HARGA SATUAN'!$D$6,MATCH(RAB!C93,'HARGA SATUAN'!$C$7:$C$1492,0),0)),"",OFFSET('HARGA SATUAN'!$D$6,MATCH(RAB!C93,'HARGA SATUAN'!$C$7:$C$1492,0),0))</f>
        <v>HDW</v>
      </c>
      <c r="E93" s="354" t="str">
        <f ca="1">IF(B93="+","Unit",IF(ISERROR(OFFSET('HARGA SATUAN'!$E$6,MATCH(RAB!C93,'HARGA SATUAN'!$C$7:$C$1492,0),0)),"",OFFSET('HARGA SATUAN'!$E$6,MATCH(RAB!C93,'HARGA SATUAN'!$C$7:$C$1492,0),0)))</f>
        <v>Bh</v>
      </c>
      <c r="F93" s="489">
        <f>F86*1</f>
        <v>1</v>
      </c>
      <c r="G93" s="355">
        <f ca="1">IF(ISERROR(OFFSET('HARGA SATUAN'!$I$6,MATCH(RAB!C93,'HARGA SATUAN'!$C$7:$C$1492,0),0)),0,OFFSET('HARGA SATUAN'!$I$6,MATCH(RAB!C93,'HARGA SATUAN'!$C$7:$C$1492,0),0))</f>
        <v>2300</v>
      </c>
      <c r="H93" s="356">
        <f t="shared" ca="1" si="32"/>
        <v>0</v>
      </c>
      <c r="I93" s="356">
        <f t="shared" ca="1" si="33"/>
        <v>2300</v>
      </c>
      <c r="J93" s="356">
        <f t="shared" ca="1" si="34"/>
        <v>0</v>
      </c>
      <c r="K93" s="357">
        <f t="shared" ca="1" si="35"/>
        <v>2300</v>
      </c>
    </row>
    <row r="94" spans="2:11">
      <c r="B94" s="481" t="s">
        <v>526</v>
      </c>
      <c r="C94" s="482" t="s">
        <v>1614</v>
      </c>
      <c r="D94" s="353" t="str">
        <f ca="1">IF(ISERROR(OFFSET('HARGA SATUAN'!$D$6,MATCH(RAB!C94,'HARGA SATUAN'!$C$7:$C$1492,0),0)),"",OFFSET('HARGA SATUAN'!$D$6,MATCH(RAB!C94,'HARGA SATUAN'!$C$7:$C$1492,0),0))</f>
        <v/>
      </c>
      <c r="E94" s="354" t="str">
        <f ca="1">IF(B94="+","Unit",IF(ISERROR(OFFSET('HARGA SATUAN'!$E$6,MATCH(RAB!C94,'HARGA SATUAN'!$C$7:$C$1492,0),0)),"",OFFSET('HARGA SATUAN'!$E$6,MATCH(RAB!C94,'HARGA SATUAN'!$C$7:$C$1492,0),0)))</f>
        <v/>
      </c>
      <c r="F94" s="361"/>
      <c r="G94" s="355">
        <f ca="1">IF(ISERROR(OFFSET('HARGA SATUAN'!$I$6,MATCH(RAB!C94,'HARGA SATUAN'!$C$7:$C$1492,0),0)),0,OFFSET('HARGA SATUAN'!$I$6,MATCH(RAB!C94,'HARGA SATUAN'!$C$7:$C$1492,0),0))</f>
        <v>0</v>
      </c>
      <c r="H94" s="356">
        <f t="shared" ca="1" si="32"/>
        <v>0</v>
      </c>
      <c r="I94" s="356">
        <f t="shared" ca="1" si="33"/>
        <v>0</v>
      </c>
      <c r="J94" s="356">
        <f t="shared" ca="1" si="34"/>
        <v>0</v>
      </c>
      <c r="K94" s="357">
        <f t="shared" ca="1" si="35"/>
        <v>0</v>
      </c>
    </row>
    <row r="95" spans="2:11">
      <c r="B95" s="364"/>
      <c r="C95" s="486"/>
      <c r="D95" s="353" t="str">
        <f ca="1">IF(ISERROR(OFFSET('HARGA SATUAN'!$D$6,MATCH(RAB!C95,'HARGA SATUAN'!$C$7:$C$1492,0),0)),"",OFFSET('HARGA SATUAN'!$D$6,MATCH(RAB!C95,'HARGA SATUAN'!$C$7:$C$1492,0),0))</f>
        <v/>
      </c>
      <c r="E95" s="354" t="str">
        <f ca="1">IF(B95="+","Unit",IF(ISERROR(OFFSET('HARGA SATUAN'!$E$6,MATCH(RAB!C95,'HARGA SATUAN'!$C$7:$C$1492,0),0)),"",OFFSET('HARGA SATUAN'!$E$6,MATCH(RAB!C95,'HARGA SATUAN'!$C$7:$C$1492,0),0)))</f>
        <v/>
      </c>
      <c r="F95" s="361"/>
      <c r="G95" s="355">
        <f ca="1">IF(ISERROR(OFFSET('HARGA SATUAN'!$I$6,MATCH(RAB!C95,'HARGA SATUAN'!$C$7:$C$1492,0),0)),0,OFFSET('HARGA SATUAN'!$I$6,MATCH(RAB!C95,'HARGA SATUAN'!$C$7:$C$1492,0),0))</f>
        <v>0</v>
      </c>
      <c r="H95" s="356">
        <f t="shared" ref="H95:H96" ca="1" si="36">IF(OR(D95="MDU",D95="MDU-KD"),(IF($O$3="RAB NON MDU","PLN KD",G95*F95)),0)</f>
        <v>0</v>
      </c>
      <c r="I95" s="356">
        <f t="shared" ref="I95:I96" ca="1" si="37">IF(D95="HDW",G95*F95,0)</f>
        <v>0</v>
      </c>
      <c r="J95" s="356">
        <f t="shared" ref="J95:J96" ca="1" si="38">IF(D95="JASA",G95*F95,0)</f>
        <v>0</v>
      </c>
      <c r="K95" s="357">
        <f t="shared" ref="K95:K96" ca="1" si="39">SUM(H95:J95)</f>
        <v>0</v>
      </c>
    </row>
    <row r="96" spans="2:11">
      <c r="B96" s="365"/>
      <c r="C96" s="366" t="s">
        <v>475</v>
      </c>
      <c r="D96" s="353" t="str">
        <f ca="1">IF(ISERROR(OFFSET('HARGA SATUAN'!$D$6,MATCH(RAB!C96,'HARGA SATUAN'!$C$7:$C$1492,0),0)),"",OFFSET('HARGA SATUAN'!$D$6,MATCH(RAB!C96,'HARGA SATUAN'!$C$7:$C$1492,0),0))</f>
        <v/>
      </c>
      <c r="E96" s="354" t="str">
        <f ca="1">IF(B96="+","Unit",IF(ISERROR(OFFSET('HARGA SATUAN'!$E$6,MATCH(RAB!C96,'HARGA SATUAN'!$C$7:$C$1492,0),0)),"",OFFSET('HARGA SATUAN'!$E$6,MATCH(RAB!C96,'HARGA SATUAN'!$C$7:$C$1492,0),0)))</f>
        <v/>
      </c>
      <c r="F96" s="361"/>
      <c r="G96" s="355">
        <f ca="1">IF(ISERROR(OFFSET('HARGA SATUAN'!$I$6,MATCH(RAB!C96,'HARGA SATUAN'!$C$7:$C$1492,0),0)),0,OFFSET('HARGA SATUAN'!$I$6,MATCH(RAB!C96,'HARGA SATUAN'!$C$7:$C$1492,0),0))</f>
        <v>0</v>
      </c>
      <c r="H96" s="356">
        <f t="shared" ca="1" si="36"/>
        <v>0</v>
      </c>
      <c r="I96" s="356">
        <f t="shared" ca="1" si="37"/>
        <v>0</v>
      </c>
      <c r="J96" s="356">
        <f t="shared" ca="1" si="38"/>
        <v>0</v>
      </c>
      <c r="K96" s="357">
        <f t="shared" ca="1" si="39"/>
        <v>0</v>
      </c>
    </row>
    <row r="97" spans="2:13">
      <c r="B97" s="368">
        <v>1</v>
      </c>
      <c r="C97" s="369" t="s">
        <v>1091</v>
      </c>
      <c r="D97" s="370" t="str">
        <f ca="1">IF(ISERROR(OFFSET('HARGA SATUAN'!$D$6,MATCH(RAB!C97,'HARGA SATUAN'!$C$7:$C$1492,0),0)),"",OFFSET('HARGA SATUAN'!$D$6,MATCH(RAB!C97,'HARGA SATUAN'!$C$7:$C$1492,0),0))</f>
        <v>JASA</v>
      </c>
      <c r="E97" s="371" t="str">
        <f ca="1">IF(ISERROR(OFFSET('HARGA SATUAN'!$E$6,MATCH(RAB!C97,'HARGA SATUAN'!$C$7:$C$1492,0),0)),"",OFFSET('HARGA SATUAN'!$E$6,MATCH(RAB!C97,'HARGA SATUAN'!$C$7:$C$1492,0),0))</f>
        <v>Lot</v>
      </c>
      <c r="F97" s="372">
        <v>1</v>
      </c>
      <c r="G97" s="373">
        <f ca="1">IF(ISERROR(OFFSET('HARGA SATUAN'!$I$6,MATCH(RAB!C97,'HARGA SATUAN'!$C$7:$C$1492,0),0)),0,OFFSET('HARGA SATUAN'!$I$6,MATCH(RAB!C97,'HARGA SATUAN'!$C$7:$C$1492,0),0))</f>
        <v>2.5000000000000001E-2</v>
      </c>
      <c r="H97" s="374">
        <f ca="1">(SUM(H14:H96))*2.5%</f>
        <v>237185</v>
      </c>
      <c r="I97" s="374">
        <f ca="1">(SUM(I14:I96))*2.5%</f>
        <v>295225.25599999999</v>
      </c>
      <c r="J97" s="374">
        <f t="shared" ref="J97:K97" ca="1" si="40">(SUM(J14:J96))*2.5%</f>
        <v>21763.333333333336</v>
      </c>
      <c r="K97" s="374">
        <f t="shared" ca="1" si="40"/>
        <v>554173.58933333342</v>
      </c>
    </row>
    <row r="98" spans="2:13">
      <c r="B98" s="375"/>
      <c r="C98" s="376"/>
      <c r="D98" s="353" t="str">
        <f ca="1">IF(ISERROR(OFFSET('HARGA SATUAN'!$D$6,MATCH(RAB!C98,'HARGA SATUAN'!$C$7:$C$1492,0),0)),"",OFFSET('HARGA SATUAN'!$D$6,MATCH(RAB!C98,'HARGA SATUAN'!$C$7:$C$1492,0),0))</f>
        <v/>
      </c>
      <c r="E98" s="354" t="str">
        <f ca="1">IF(ISERROR(OFFSET('HARGA SATUAN'!$E$6,MATCH(RAB!C98,'HARGA SATUAN'!$C$7:$C$1492,0),0)),"",OFFSET('HARGA SATUAN'!$E$6,MATCH(RAB!C98,'HARGA SATUAN'!$C$7:$C$1492,0),0))</f>
        <v/>
      </c>
      <c r="F98" s="367"/>
      <c r="G98" s="355" t="str">
        <f ca="1">IF(ISERROR(OFFSET('HARGA SATUAN'!$I$6,MATCH(RAB!C98,'HARGA SATUAN'!$C$7:$C$1492,0),0)),"",OFFSET('HARGA SATUAN'!$I$6,MATCH(RAB!C98,'HARGA SATUAN'!$C$7:$C$1492,0),0))</f>
        <v/>
      </c>
      <c r="H98" s="356">
        <f ca="1">IF(OR(D98="MDU",D98="MDU-KD"),IF(G98="PLN",0,G98*F98),0)</f>
        <v>0</v>
      </c>
      <c r="I98" s="356">
        <f ca="1">IF(D98="HDW",IF(G98="PLN",0,G98*F98),0)</f>
        <v>0</v>
      </c>
      <c r="J98" s="356">
        <f ca="1">IF(D98="JASA",IF(G98="PLN",0,G98*F98),0)</f>
        <v>0</v>
      </c>
      <c r="K98" s="357">
        <f ca="1">SUM(H98:J98)</f>
        <v>0</v>
      </c>
    </row>
    <row r="99" spans="2:13" ht="15.75" thickBot="1">
      <c r="B99" s="377"/>
      <c r="C99" s="378"/>
      <c r="D99" s="379"/>
      <c r="E99" s="380"/>
      <c r="F99" s="380"/>
      <c r="G99" s="380"/>
      <c r="H99" s="381"/>
      <c r="I99" s="381"/>
      <c r="J99" s="381"/>
      <c r="K99" s="382"/>
    </row>
    <row r="100" spans="2:13">
      <c r="B100" s="383"/>
      <c r="C100" s="626" t="s">
        <v>1008</v>
      </c>
      <c r="D100" s="626"/>
      <c r="E100" s="626"/>
      <c r="F100" s="626"/>
      <c r="G100" s="384" t="s">
        <v>9</v>
      </c>
      <c r="H100" s="385">
        <f ca="1">SUM(H14:H98)</f>
        <v>9724585</v>
      </c>
      <c r="I100" s="385">
        <f ca="1">SUM(I14:I98)</f>
        <v>12104235.495999999</v>
      </c>
      <c r="J100" s="385">
        <f ca="1">SUM(J14:J98)</f>
        <v>892296.66666666674</v>
      </c>
      <c r="K100" s="385">
        <f ca="1">SUM(K14:K98)</f>
        <v>22721117.162666667</v>
      </c>
    </row>
    <row r="101" spans="2:13">
      <c r="B101" s="387"/>
      <c r="C101" s="609" t="s">
        <v>1457</v>
      </c>
      <c r="D101" s="609"/>
      <c r="E101" s="609"/>
      <c r="F101" s="609"/>
      <c r="G101" s="388" t="s">
        <v>9</v>
      </c>
      <c r="H101" s="389">
        <f ca="1">H100*0.11</f>
        <v>1069704.3500000001</v>
      </c>
      <c r="I101" s="389">
        <f ca="1">I100*0.11</f>
        <v>1331465.9045599999</v>
      </c>
      <c r="J101" s="389">
        <f ca="1">J100*0.11</f>
        <v>98152.633333333346</v>
      </c>
      <c r="K101" s="389">
        <f ca="1">K100*0.11</f>
        <v>2499322.8878933336</v>
      </c>
    </row>
    <row r="102" spans="2:13" ht="15.75" thickBot="1">
      <c r="B102" s="387"/>
      <c r="C102" s="607" t="s">
        <v>463</v>
      </c>
      <c r="D102" s="607"/>
      <c r="E102" s="607"/>
      <c r="F102" s="607"/>
      <c r="G102" s="390" t="s">
        <v>9</v>
      </c>
      <c r="H102" s="391">
        <f ca="1">SUM(H100:H101)</f>
        <v>10794289.35</v>
      </c>
      <c r="I102" s="391">
        <f ca="1">SUM(I100:I101)</f>
        <v>13435701.400559999</v>
      </c>
      <c r="J102" s="390">
        <f ca="1">SUM(J100:J101)</f>
        <v>990449.3</v>
      </c>
      <c r="K102" s="390">
        <f ca="1">SUM(K100:K101)</f>
        <v>25220440.050560001</v>
      </c>
      <c r="M102" s="469"/>
    </row>
    <row r="103" spans="2:13">
      <c r="B103" s="610" t="str">
        <f ca="1">"Terbilang : "&amp;PROPER(IF(K102=0,"nol",IF(K102&lt;0,"minus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IF(--MID(TEXT(ABS(K102),"000000000000000"),1,3)=0,"",MID(TEXT(ABS(K102),"000000000000000"),1,1)&amp;" ratus "&amp;MID(TEXT(ABS(K102),"000000000000000"),2,1)&amp;" puluh "&amp;MID(TEXT(ABS(K102),"000000000000000"),3,1)&amp;" trilyun ")&amp; IF(--MID(TEXT(ABS(K102),"000000000000000"),4,3)=0,"",MID(TEXT(ABS(K102),"000000000000000"),4,1)&amp;" ratus "&amp;MID(TEXT(ABS(K102),"000000000000000"),5,1)&amp;" puluh "&amp;MID(TEXT(ABS(K102),"000000000000000"),6,1)&amp;" milyar ")&amp; IF(--MID(TEXT(ABS(K102),"000000000000000"),7,3)=0,"",MID(TEXT(ABS(K102),"000000000000000"),7,1)&amp;" ratus "&amp;MID(TEXT(ABS(K102),"000000000000000"),8,1)&amp;" puluh "&amp;MID(TEXT(ABS(K102),"000000000000000"),9,1)&amp;" juta ")&amp; IF(--MID(TEXT(ABS(K102),"000000000000000"),10,3)=0,"",IF(--MID(TEXT(ABS(K102),"000000000000000"),10,3)=1,"*",MID(TEXT(ABS(K102),"000000000000000"),10,1)&amp;" ratus "&amp;MID(TEXT(ABS(K102),"000000000000000"),11,1)&amp;" puluh ")&amp;MID(TEXT(ABS(K102),"000000000000000"),12,1)&amp;" ribu ")&amp; IF(--MID(TEXT(ABS(K102),"000000000000000"),13,3)=0,"",MID(TEXT(ABS(K102),"000000000000000"),13,1)&amp;" ratus "&amp;MID(TEXT(ABS(K102),"000000000000000"),14,1)&amp;" puluh "&amp;MID(TEXT(ABS(K102),"000000000000000"),15,1)),1,"satu"),2,"dua"),3,"tiga"),4,"empat"),5,"lima"),6,"enam"),7,"tujuh"),8,"delapan"),9,"sembilan"),"0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Lima Juta Dua Ratus Dua Puluh Ribu Empat Ratus Empat Puluh Rupiah</v>
      </c>
      <c r="C103" s="611"/>
      <c r="D103" s="611"/>
      <c r="E103" s="611"/>
      <c r="F103" s="611"/>
      <c r="G103" s="611"/>
      <c r="H103" s="611"/>
      <c r="I103" s="611"/>
      <c r="J103" s="611"/>
      <c r="K103" s="612"/>
    </row>
    <row r="104" spans="2:13">
      <c r="B104" s="613"/>
      <c r="C104" s="614"/>
      <c r="D104" s="614"/>
      <c r="E104" s="614"/>
      <c r="F104" s="614"/>
      <c r="G104" s="614"/>
      <c r="H104" s="614"/>
      <c r="I104" s="614"/>
      <c r="J104" s="614"/>
      <c r="K104" s="615"/>
    </row>
    <row r="105" spans="2:13" ht="15.75" thickBot="1">
      <c r="B105" s="392" t="str">
        <f>"Harga yang dipakai adalah "&amp;'HARGA SATUAN'!I5&amp;""</f>
        <v>Harga yang dipakai adalah RAB HSS 2023</v>
      </c>
      <c r="C105" s="393"/>
      <c r="D105" s="394"/>
      <c r="E105" s="394"/>
      <c r="F105" s="394"/>
      <c r="G105" s="395"/>
      <c r="H105" s="395"/>
      <c r="I105" s="395"/>
      <c r="J105" s="395"/>
      <c r="K105" s="396"/>
    </row>
    <row r="106" spans="2:13">
      <c r="C106" s="397"/>
      <c r="E106" s="399"/>
      <c r="F106" s="399"/>
      <c r="G106" s="399"/>
    </row>
    <row r="107" spans="2:13">
      <c r="C107" s="334"/>
      <c r="E107" s="399"/>
      <c r="F107" s="399"/>
      <c r="G107" s="399"/>
      <c r="H107" s="616"/>
      <c r="I107" s="616"/>
      <c r="J107" s="617"/>
      <c r="K107" s="617"/>
    </row>
    <row r="108" spans="2:13">
      <c r="C108" s="334"/>
      <c r="E108" s="399"/>
      <c r="F108" s="399"/>
      <c r="G108" s="399"/>
      <c r="H108" s="400"/>
      <c r="I108" s="606" t="s">
        <v>1610</v>
      </c>
      <c r="J108" s="606"/>
      <c r="K108" s="606"/>
    </row>
    <row r="109" spans="2:13">
      <c r="C109" s="334"/>
      <c r="E109" s="399"/>
      <c r="F109" s="399"/>
      <c r="G109" s="399"/>
      <c r="H109" s="400"/>
      <c r="I109" s="606" t="s">
        <v>1546</v>
      </c>
      <c r="J109" s="606"/>
      <c r="K109" s="606"/>
    </row>
    <row r="110" spans="2:13">
      <c r="C110" s="334"/>
      <c r="E110" s="399"/>
      <c r="F110" s="399"/>
      <c r="G110" s="399"/>
      <c r="H110" s="401"/>
      <c r="I110" s="402"/>
      <c r="J110" s="402"/>
      <c r="K110" s="402"/>
    </row>
    <row r="111" spans="2:13">
      <c r="C111" s="334"/>
      <c r="E111" s="399"/>
      <c r="F111" s="399"/>
      <c r="G111" s="399"/>
      <c r="H111" s="401"/>
      <c r="I111" s="401"/>
      <c r="J111" s="401"/>
      <c r="K111" s="401"/>
    </row>
    <row r="112" spans="2:13">
      <c r="C112" s="334"/>
      <c r="E112" s="399"/>
      <c r="F112" s="399"/>
      <c r="G112" s="399"/>
      <c r="H112" s="401"/>
      <c r="I112" s="401"/>
      <c r="J112" s="401"/>
      <c r="K112" s="401"/>
    </row>
    <row r="113" spans="3:11">
      <c r="C113" s="334"/>
      <c r="E113" s="399"/>
      <c r="F113" s="399"/>
      <c r="G113" s="399"/>
      <c r="H113" s="401"/>
      <c r="I113" s="401"/>
      <c r="J113" s="401"/>
      <c r="K113" s="401"/>
    </row>
    <row r="114" spans="3:11">
      <c r="C114" s="334"/>
      <c r="E114" s="399"/>
      <c r="F114" s="399"/>
      <c r="G114" s="399"/>
      <c r="H114" s="403"/>
      <c r="I114" s="606" t="s">
        <v>1547</v>
      </c>
      <c r="J114" s="606"/>
      <c r="K114" s="606"/>
    </row>
    <row r="115" spans="3:11">
      <c r="C115" s="397"/>
      <c r="E115" s="399"/>
      <c r="F115" s="399"/>
      <c r="G115" s="399"/>
      <c r="H115" s="401"/>
      <c r="I115" s="401"/>
      <c r="J115" s="401"/>
      <c r="K115" s="401"/>
    </row>
    <row r="116" spans="3:11">
      <c r="C116" s="397"/>
      <c r="E116" s="399"/>
      <c r="F116" s="399"/>
      <c r="G116" s="399"/>
      <c r="H116" s="401"/>
      <c r="I116" s="401"/>
      <c r="J116" s="401"/>
      <c r="K116" s="401"/>
    </row>
    <row r="117" spans="3:11">
      <c r="C117" s="397"/>
      <c r="E117" s="399"/>
      <c r="F117" s="399"/>
      <c r="G117" s="399"/>
      <c r="H117" s="401"/>
      <c r="I117" s="401"/>
      <c r="J117" s="401"/>
      <c r="K117" s="401"/>
    </row>
  </sheetData>
  <sheetProtection sort="0" autoFilter="0"/>
  <protectedRanges>
    <protectedRange sqref="B85:B93 B95" name="Range1_1"/>
    <protectedRange sqref="F85:F96 F14:F27 F45:F46 F60 F66:F78" name="Range1_1_2_2"/>
    <protectedRange sqref="C45:C46 C66:C68 C20:C27 C60" name="Range1_1_3"/>
    <protectedRange sqref="B16" name="Range1_6_1_1"/>
    <protectedRange sqref="C16" name="Range1_1_2_1"/>
    <protectedRange sqref="C17" name="Range1_1_2_2_1"/>
    <protectedRange sqref="B28:C42 B43:B44" name="Range1_1_1_1"/>
    <protectedRange sqref="C43" name="Range1_1_2_4"/>
    <protectedRange sqref="C44" name="Range1_1_2_6"/>
    <protectedRange sqref="C73" name="Range1_1_2_5"/>
    <protectedRange sqref="B47:C59" name="Range1_1_1_1_3"/>
    <protectedRange sqref="B61:C65" name="Range1_1_1_1_4"/>
  </protectedRanges>
  <mergeCells count="22">
    <mergeCell ref="O3:P4"/>
    <mergeCell ref="B4:K4"/>
    <mergeCell ref="C100:F100"/>
    <mergeCell ref="B11:B13"/>
    <mergeCell ref="C11:C13"/>
    <mergeCell ref="D11:D13"/>
    <mergeCell ref="E11:E13"/>
    <mergeCell ref="F11:F13"/>
    <mergeCell ref="G11:G13"/>
    <mergeCell ref="I12:I13"/>
    <mergeCell ref="I109:K109"/>
    <mergeCell ref="I114:K114"/>
    <mergeCell ref="C102:F102"/>
    <mergeCell ref="G6:K6"/>
    <mergeCell ref="I108:K108"/>
    <mergeCell ref="C101:F101"/>
    <mergeCell ref="B103:K104"/>
    <mergeCell ref="H107:K107"/>
    <mergeCell ref="H11:K11"/>
    <mergeCell ref="H12:H13"/>
    <mergeCell ref="J12:J13"/>
    <mergeCell ref="K12:K13"/>
  </mergeCells>
  <phoneticPr fontId="139" type="noConversion"/>
  <conditionalFormatting sqref="C15:C18 C27">
    <cfRule type="cellIs" dxfId="5" priority="19" operator="equal">
      <formula>0</formula>
    </cfRule>
  </conditionalFormatting>
  <conditionalFormatting sqref="C20 C60 C66:C68 C85 C95">
    <cfRule type="cellIs" dxfId="4" priority="540" operator="equal">
      <formula>0</formula>
    </cfRule>
  </conditionalFormatting>
  <conditionalFormatting sqref="C43:C46">
    <cfRule type="cellIs" dxfId="3" priority="18" operator="equal">
      <formula>0</formula>
    </cfRule>
  </conditionalFormatting>
  <conditionalFormatting sqref="C73">
    <cfRule type="cellIs" dxfId="2" priority="1" operator="equal">
      <formula>0</formula>
    </cfRule>
  </conditionalFormatting>
  <conditionalFormatting sqref="E1:E3 G1:G13 E5:E13 H12:I12 O13 S14:V68 E14:K96 E97:G97 H97:K99 E98:H98 E99:F99">
    <cfRule type="cellIs" dxfId="1" priority="1120" stopIfTrue="1" operator="equal">
      <formula>0</formula>
    </cfRule>
  </conditionalFormatting>
  <conditionalFormatting sqref="G98:G65564 E103:E65564">
    <cfRule type="cellIs" dxfId="0" priority="254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79:F84 F28:F44 F59 F47:F57 F61:F65 F24:F26 F90:F93 H14:K9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10" zoomScale="115" zoomScaleNormal="115" zoomScaleSheetLayoutView="115" workbookViewId="0">
      <selection activeCell="I14" sqref="I14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7" t="s">
        <v>1439</v>
      </c>
      <c r="X2" s="688"/>
      <c r="Y2" s="688"/>
      <c r="Z2" s="688"/>
      <c r="AA2" s="688"/>
      <c r="AB2" s="688"/>
      <c r="AC2" s="688"/>
      <c r="AD2" s="689"/>
    </row>
    <row r="3" spans="3:30">
      <c r="C3" s="238"/>
      <c r="W3" s="690"/>
      <c r="X3" s="691"/>
      <c r="Y3" s="691"/>
      <c r="Z3" s="691"/>
      <c r="AA3" s="691"/>
      <c r="AB3" s="691"/>
      <c r="AC3" s="691"/>
      <c r="AD3" s="69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238"/>
      <c r="W6" s="241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238"/>
      <c r="E7" s="475" t="str">
        <f>PETA!C6</f>
        <v>KOORDINAT : -7.007974, 110.755505</v>
      </c>
      <c r="W7" s="241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238"/>
      <c r="W8" s="241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238"/>
      <c r="W9" s="241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238"/>
      <c r="W10" s="241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238"/>
      <c r="W11" s="241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238"/>
      <c r="W12" s="241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238"/>
      <c r="W13" s="241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238"/>
      <c r="W14" s="241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238"/>
      <c r="W15" s="241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238"/>
      <c r="W16" s="241">
        <v>11</v>
      </c>
      <c r="X16" s="638" t="s">
        <v>1455</v>
      </c>
      <c r="Y16" s="638"/>
      <c r="Z16" s="638"/>
      <c r="AA16" s="638"/>
      <c r="AB16" s="638"/>
      <c r="AC16" s="638"/>
      <c r="AD16" s="639"/>
    </row>
    <row r="17" spans="3:30">
      <c r="C17" s="238"/>
      <c r="S17" s="242"/>
      <c r="W17" s="241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243"/>
      <c r="D18" s="244"/>
      <c r="E18" s="244"/>
      <c r="W18" s="241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238"/>
      <c r="W19" s="245"/>
      <c r="X19" s="685"/>
      <c r="Y19" s="685"/>
      <c r="Z19" s="685"/>
      <c r="AA19" s="685"/>
      <c r="AB19" s="685"/>
      <c r="AC19" s="685"/>
      <c r="AD19" s="686"/>
    </row>
    <row r="20" spans="3:30">
      <c r="C20" s="238"/>
      <c r="W20" s="674" t="s">
        <v>992</v>
      </c>
      <c r="X20" s="675"/>
      <c r="Y20" s="675"/>
      <c r="Z20" s="675"/>
      <c r="AA20" s="675"/>
      <c r="AB20" s="675"/>
      <c r="AC20" s="675"/>
      <c r="AD20" s="676"/>
    </row>
    <row r="21" spans="3:30">
      <c r="C21" s="238"/>
      <c r="W21" s="677" t="s">
        <v>985</v>
      </c>
      <c r="X21" s="678"/>
      <c r="Y21" s="678"/>
      <c r="Z21" s="679"/>
      <c r="AA21" s="680" t="s">
        <v>986</v>
      </c>
      <c r="AB21" s="681"/>
      <c r="AC21" s="681"/>
      <c r="AD21" s="682"/>
    </row>
    <row r="22" spans="3:30">
      <c r="C22" s="238"/>
      <c r="W22" s="672"/>
      <c r="X22" s="673"/>
      <c r="Y22" s="479"/>
      <c r="Z22" s="480"/>
      <c r="AA22" s="683"/>
      <c r="AB22" s="684"/>
      <c r="AC22" s="248"/>
      <c r="AD22" s="249"/>
    </row>
    <row r="23" spans="3:30">
      <c r="C23" s="238"/>
      <c r="W23" s="672"/>
      <c r="X23" s="673"/>
      <c r="Y23" s="479"/>
      <c r="Z23" s="480"/>
      <c r="AA23" s="670"/>
      <c r="AB23" s="671"/>
      <c r="AC23" s="248"/>
      <c r="AD23" s="249"/>
    </row>
    <row r="24" spans="3:30">
      <c r="C24" s="238"/>
      <c r="W24" s="658"/>
      <c r="X24" s="659"/>
      <c r="Y24" s="479"/>
      <c r="Z24" s="480"/>
      <c r="AA24" s="668"/>
      <c r="AB24" s="669"/>
      <c r="AC24" s="248"/>
      <c r="AD24" s="249"/>
    </row>
    <row r="25" spans="3:30">
      <c r="C25" s="238"/>
      <c r="W25" s="477"/>
      <c r="X25" s="478"/>
      <c r="Y25" s="479"/>
      <c r="Z25" s="480"/>
      <c r="AA25" s="670"/>
      <c r="AB25" s="671"/>
      <c r="AC25" s="248"/>
      <c r="AD25" s="249"/>
    </row>
    <row r="26" spans="3:30">
      <c r="C26" s="238"/>
      <c r="W26" s="658"/>
      <c r="X26" s="659"/>
      <c r="Y26" s="479"/>
      <c r="Z26" s="480"/>
      <c r="AA26" s="670"/>
      <c r="AB26" s="671"/>
      <c r="AC26" s="248"/>
      <c r="AD26" s="249"/>
    </row>
    <row r="27" spans="3:30">
      <c r="C27" s="238"/>
      <c r="W27" s="658"/>
      <c r="X27" s="659"/>
      <c r="Y27" s="479"/>
      <c r="Z27" s="480"/>
      <c r="AA27" s="666"/>
      <c r="AB27" s="667"/>
      <c r="AC27" s="248"/>
      <c r="AD27" s="249"/>
    </row>
    <row r="28" spans="3:30">
      <c r="C28" s="238"/>
      <c r="W28" s="658"/>
      <c r="X28" s="659"/>
      <c r="Y28" s="479"/>
      <c r="Z28" s="480"/>
      <c r="AA28" s="666"/>
      <c r="AB28" s="667"/>
      <c r="AC28" s="248"/>
      <c r="AD28" s="249"/>
    </row>
    <row r="29" spans="3:30">
      <c r="C29" s="238"/>
      <c r="W29" s="658"/>
      <c r="X29" s="659"/>
      <c r="Y29" s="479"/>
      <c r="Z29" s="480"/>
      <c r="AA29" s="666"/>
      <c r="AB29" s="667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66"/>
      <c r="AB30" s="667"/>
      <c r="AC30" s="248"/>
      <c r="AD30" s="249"/>
    </row>
    <row r="31" spans="3:30">
      <c r="C31" s="238"/>
      <c r="U31" s="250"/>
      <c r="W31" s="658"/>
      <c r="X31" s="659"/>
      <c r="Y31" s="479"/>
      <c r="Z31" s="480"/>
      <c r="AA31" s="666"/>
      <c r="AB31" s="667"/>
      <c r="AC31" s="248"/>
      <c r="AD31" s="249"/>
    </row>
    <row r="32" spans="3:30">
      <c r="C32" s="238"/>
      <c r="U32" s="250"/>
      <c r="W32" s="672"/>
      <c r="X32" s="673"/>
      <c r="Y32" s="246"/>
      <c r="Z32" s="480"/>
      <c r="AA32" s="666"/>
      <c r="AB32" s="667"/>
      <c r="AC32" s="248"/>
      <c r="AD32" s="249"/>
    </row>
    <row r="33" spans="3:30">
      <c r="C33" s="238"/>
      <c r="W33" s="658"/>
      <c r="X33" s="659"/>
      <c r="Y33" s="479"/>
      <c r="Z33" s="480"/>
      <c r="AA33" s="660"/>
      <c r="AB33" s="660"/>
      <c r="AC33" s="248"/>
      <c r="AD33" s="249"/>
    </row>
    <row r="34" spans="3:30">
      <c r="C34" s="238"/>
      <c r="W34" s="477"/>
      <c r="X34" s="478"/>
      <c r="Y34" s="246"/>
      <c r="Z34" s="480"/>
      <c r="AA34" s="660"/>
      <c r="AB34" s="660"/>
      <c r="AC34" s="248"/>
      <c r="AD34" s="249"/>
    </row>
    <row r="35" spans="3:30">
      <c r="C35" s="238"/>
      <c r="W35" s="658"/>
      <c r="X35" s="659"/>
      <c r="Y35" s="246"/>
      <c r="Z35" s="247"/>
      <c r="AA35" s="660"/>
      <c r="AB35" s="660"/>
      <c r="AC35" s="248"/>
      <c r="AD35" s="249"/>
    </row>
    <row r="36" spans="3:30">
      <c r="C36" s="238"/>
      <c r="W36" s="658"/>
      <c r="X36" s="659"/>
      <c r="Y36" s="479"/>
      <c r="Z36" s="480"/>
      <c r="AA36" s="660"/>
      <c r="AB36" s="660"/>
      <c r="AC36" s="248"/>
      <c r="AD36" s="249"/>
    </row>
    <row r="37" spans="3:30" ht="12.75" customHeight="1">
      <c r="C37" s="238"/>
      <c r="W37" s="661"/>
      <c r="X37" s="662"/>
      <c r="Y37" s="246"/>
      <c r="Z37" s="480"/>
      <c r="AA37" s="663"/>
      <c r="AB37" s="663"/>
      <c r="AC37" s="251"/>
      <c r="AD37" s="252"/>
    </row>
    <row r="38" spans="3:30" ht="12.75" customHeight="1">
      <c r="C38" s="238"/>
      <c r="W38" s="661"/>
      <c r="X38" s="662"/>
      <c r="Y38" s="253"/>
      <c r="Z38" s="247"/>
      <c r="AA38" s="664"/>
      <c r="AB38" s="665"/>
      <c r="AC38" s="251"/>
      <c r="AD38" s="252"/>
    </row>
    <row r="39" spans="3:30" ht="12" customHeight="1">
      <c r="C39" s="238"/>
      <c r="W39" s="661"/>
      <c r="X39" s="662"/>
      <c r="Y39" s="253"/>
      <c r="Z39" s="254"/>
      <c r="AA39" s="654"/>
      <c r="AB39" s="655"/>
      <c r="AC39" s="251"/>
      <c r="AD39" s="252"/>
    </row>
    <row r="40" spans="3:30" ht="12" customHeight="1">
      <c r="C40" s="238"/>
      <c r="W40" s="650"/>
      <c r="X40" s="651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52"/>
      <c r="X41" s="653"/>
      <c r="Y41" s="257"/>
      <c r="Z41" s="258"/>
      <c r="AA41" s="654"/>
      <c r="AB41" s="655"/>
      <c r="AC41" s="251"/>
      <c r="AD41" s="252"/>
    </row>
    <row r="42" spans="3:30" ht="12" customHeight="1">
      <c r="C42" s="238"/>
      <c r="W42" s="656" t="s">
        <v>1456</v>
      </c>
      <c r="X42" s="657"/>
      <c r="Y42" s="657"/>
      <c r="Z42" s="657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35" t="s">
        <v>11</v>
      </c>
      <c r="X44" s="636"/>
      <c r="Y44" s="638"/>
      <c r="Z44" s="638"/>
      <c r="AA44" s="638"/>
      <c r="AB44" s="638"/>
      <c r="AC44" s="638"/>
      <c r="AD44" s="639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35" t="s">
        <v>984</v>
      </c>
      <c r="X45" s="636"/>
      <c r="Y45" s="638">
        <v>1</v>
      </c>
      <c r="Z45" s="638"/>
      <c r="AA45" s="638"/>
      <c r="AB45" s="638" t="s">
        <v>12</v>
      </c>
      <c r="AC45" s="638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35" t="s">
        <v>15</v>
      </c>
      <c r="X46" s="636"/>
      <c r="Y46" s="649"/>
      <c r="Z46" s="649"/>
      <c r="AA46" s="649"/>
      <c r="AB46" s="638" t="s">
        <v>16</v>
      </c>
      <c r="AC46" s="638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43" t="s">
        <v>17</v>
      </c>
      <c r="X47" s="643"/>
      <c r="Y47" s="643"/>
      <c r="Z47" s="643"/>
      <c r="AA47" s="643"/>
      <c r="AB47" s="643"/>
      <c r="AC47" s="643"/>
      <c r="AD47" s="644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45" t="str">
        <f>RAB!G6</f>
        <v>DR NURGIANTO</v>
      </c>
      <c r="X48" s="645"/>
      <c r="Y48" s="645"/>
      <c r="Z48" s="645"/>
      <c r="AA48" s="645"/>
      <c r="AB48" s="645"/>
      <c r="AC48" s="645"/>
      <c r="AD48" s="646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45"/>
      <c r="X49" s="645"/>
      <c r="Y49" s="645"/>
      <c r="Z49" s="645"/>
      <c r="AA49" s="645"/>
      <c r="AB49" s="645"/>
      <c r="AC49" s="645"/>
      <c r="AD49" s="646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45"/>
      <c r="X50" s="645"/>
      <c r="Y50" s="645"/>
      <c r="Z50" s="645"/>
      <c r="AA50" s="645"/>
      <c r="AB50" s="645"/>
      <c r="AC50" s="645"/>
      <c r="AD50" s="646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47"/>
      <c r="X51" s="647"/>
      <c r="Y51" s="647"/>
      <c r="Z51" s="647"/>
      <c r="AA51" s="647"/>
      <c r="AB51" s="647"/>
      <c r="AC51" s="647"/>
      <c r="AD51" s="648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35" t="s">
        <v>18</v>
      </c>
      <c r="X52" s="636"/>
      <c r="Y52" s="638" t="s">
        <v>1549</v>
      </c>
      <c r="Z52" s="638"/>
      <c r="AA52" s="638"/>
      <c r="AB52" s="638"/>
      <c r="AC52" s="638"/>
      <c r="AD52" s="639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35" t="s">
        <v>19</v>
      </c>
      <c r="X53" s="636"/>
      <c r="Y53" s="638" t="s">
        <v>1549</v>
      </c>
      <c r="Z53" s="638"/>
      <c r="AA53" s="638"/>
      <c r="AB53" s="638"/>
      <c r="AC53" s="638"/>
      <c r="AD53" s="639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35" t="s">
        <v>20</v>
      </c>
      <c r="X54" s="636"/>
      <c r="Y54" s="637" t="s">
        <v>1550</v>
      </c>
      <c r="Z54" s="637"/>
      <c r="AA54" s="637"/>
      <c r="AB54" s="638"/>
      <c r="AC54" s="638"/>
      <c r="AD54" s="639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40" t="s">
        <v>21</v>
      </c>
      <c r="X55" s="641"/>
      <c r="Y55" s="637" t="s">
        <v>1551</v>
      </c>
      <c r="Z55" s="637"/>
      <c r="AA55" s="637"/>
      <c r="AB55" s="637"/>
      <c r="AC55" s="637"/>
      <c r="AD55" s="642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6" sqref="U3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3" t="s">
        <v>1528</v>
      </c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5"/>
      <c r="AD4" s="217"/>
      <c r="AE4" s="216"/>
      <c r="AF4" s="216"/>
    </row>
    <row r="5" spans="2:32" ht="13.5" customHeight="1">
      <c r="B5" s="215"/>
      <c r="C5" s="215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8"/>
      <c r="AD5" s="217"/>
      <c r="AE5" s="216"/>
      <c r="AF5" s="216"/>
    </row>
    <row r="6" spans="2:32" ht="12.75" customHeight="1">
      <c r="B6" s="215"/>
      <c r="C6" s="215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  <c r="AA6" s="697"/>
      <c r="AB6" s="697"/>
      <c r="AC6" s="698"/>
      <c r="AE6" s="216"/>
      <c r="AF6" s="216"/>
    </row>
    <row r="7" spans="2:32" ht="12.75" customHeight="1" thickBot="1">
      <c r="B7" s="215"/>
      <c r="C7" s="215"/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0"/>
      <c r="P7" s="700"/>
      <c r="Q7" s="700"/>
      <c r="R7" s="700"/>
      <c r="S7" s="700"/>
      <c r="T7" s="700"/>
      <c r="U7" s="700"/>
      <c r="V7" s="700"/>
      <c r="W7" s="700"/>
      <c r="X7" s="700"/>
      <c r="Y7" s="700"/>
      <c r="Z7" s="700"/>
      <c r="AA7" s="700"/>
      <c r="AB7" s="700"/>
      <c r="AC7" s="70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G27" sqref="G27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7" t="s">
        <v>1527</v>
      </c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97"/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702" t="s">
        <v>1624</v>
      </c>
      <c r="D6" s="702"/>
      <c r="E6" s="702"/>
      <c r="F6" s="702"/>
      <c r="G6" s="702"/>
      <c r="H6" s="702"/>
      <c r="I6" s="702"/>
      <c r="J6" s="702"/>
      <c r="K6" s="702"/>
      <c r="L6" s="702"/>
      <c r="M6" s="702"/>
      <c r="W6" s="182"/>
      <c r="Y6" s="417"/>
      <c r="Z6" s="417"/>
      <c r="AA6" s="417"/>
      <c r="AB6" s="418"/>
      <c r="AC6" s="418"/>
    </row>
    <row r="7" spans="1:29" ht="18" customHeight="1">
      <c r="A7" s="181"/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2023-10-02T03:28:53Z</dcterms:modified>
</cp:coreProperties>
</file>