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TURUN DAYA\NUR ROHMAD PD KE 1300\"/>
    </mc:Choice>
  </mc:AlternateContent>
  <xr:revisionPtr revIDLastSave="0" documentId="8_{A961E1B4-A71E-4627-9982-E4924C6D05AF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RAB!$A$1:$K$63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26" i="11" l="1"/>
  <c r="F25" i="11"/>
  <c r="F24" i="11"/>
  <c r="F23" i="11"/>
  <c r="D29" i="11" l="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J34" i="11" s="1"/>
  <c r="E34" i="11"/>
  <c r="G34" i="11"/>
  <c r="D35" i="11"/>
  <c r="H35" i="11" s="1"/>
  <c r="E35" i="11"/>
  <c r="G35" i="11"/>
  <c r="D36" i="11"/>
  <c r="H36" i="11" s="1"/>
  <c r="E36" i="11"/>
  <c r="G36" i="11"/>
  <c r="D37" i="11"/>
  <c r="J37" i="11" s="1"/>
  <c r="E37" i="11"/>
  <c r="G37" i="11"/>
  <c r="D39" i="11"/>
  <c r="E39" i="11"/>
  <c r="G39" i="11"/>
  <c r="D40" i="11"/>
  <c r="H40" i="11" s="1"/>
  <c r="E40" i="11"/>
  <c r="G40" i="11"/>
  <c r="D19" i="11"/>
  <c r="J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E25" i="11"/>
  <c r="G25" i="11"/>
  <c r="D26" i="11"/>
  <c r="E26" i="11"/>
  <c r="G26" i="11"/>
  <c r="D27" i="11"/>
  <c r="E27" i="11"/>
  <c r="G27" i="11"/>
  <c r="D28" i="11"/>
  <c r="J28" i="11" s="1"/>
  <c r="E28" i="11"/>
  <c r="G28" i="11"/>
  <c r="D17" i="11"/>
  <c r="H17" i="11" s="1"/>
  <c r="E17" i="11"/>
  <c r="G17" i="11"/>
  <c r="D18" i="11"/>
  <c r="J18" i="11" s="1"/>
  <c r="E18" i="11"/>
  <c r="G18" i="11"/>
  <c r="J39" i="11" l="1"/>
  <c r="I32" i="11"/>
  <c r="I31" i="11"/>
  <c r="J40" i="11"/>
  <c r="I29" i="11"/>
  <c r="I30" i="11"/>
  <c r="I40" i="11"/>
  <c r="I39" i="11"/>
  <c r="I37" i="11"/>
  <c r="J36" i="11"/>
  <c r="J32" i="11"/>
  <c r="J31" i="11"/>
  <c r="H29" i="11"/>
  <c r="K29" i="11" s="1"/>
  <c r="H37" i="11"/>
  <c r="J35" i="11"/>
  <c r="I34" i="11"/>
  <c r="H33" i="11"/>
  <c r="I36" i="11"/>
  <c r="I35" i="11"/>
  <c r="I33" i="11"/>
  <c r="H39" i="11"/>
  <c r="H34" i="11"/>
  <c r="H30" i="11"/>
  <c r="H25" i="11"/>
  <c r="H26" i="11"/>
  <c r="I22" i="11"/>
  <c r="J25" i="11"/>
  <c r="I19" i="11"/>
  <c r="H22" i="11"/>
  <c r="J21" i="11"/>
  <c r="H19" i="11"/>
  <c r="J26" i="11"/>
  <c r="J27" i="11"/>
  <c r="I25" i="11"/>
  <c r="I24" i="11"/>
  <c r="I23" i="11"/>
  <c r="I27" i="11"/>
  <c r="I26" i="11"/>
  <c r="I28" i="11"/>
  <c r="H23" i="11"/>
  <c r="I21" i="11"/>
  <c r="I20" i="11"/>
  <c r="H28" i="11"/>
  <c r="H24" i="11"/>
  <c r="H20" i="11"/>
  <c r="H27" i="11"/>
  <c r="J17" i="11"/>
  <c r="I17" i="11"/>
  <c r="I18" i="11"/>
  <c r="H18" i="11"/>
  <c r="K36" i="11" l="1"/>
  <c r="K32" i="11"/>
  <c r="K39" i="11"/>
  <c r="K37" i="11"/>
  <c r="K31" i="11"/>
  <c r="K30" i="11"/>
  <c r="K40" i="11"/>
  <c r="K35" i="11"/>
  <c r="K34" i="11"/>
  <c r="K33" i="11"/>
  <c r="K22" i="11"/>
  <c r="K19" i="11"/>
  <c r="K26" i="11"/>
  <c r="K24" i="11"/>
  <c r="K25" i="11"/>
  <c r="K21" i="11"/>
  <c r="K28" i="11"/>
  <c r="K27" i="11"/>
  <c r="K20" i="11"/>
  <c r="K23" i="11"/>
  <c r="K17" i="11"/>
  <c r="K18" i="11"/>
  <c r="D15" i="11" l="1"/>
  <c r="J15" i="11" s="1"/>
  <c r="E15" i="11"/>
  <c r="G15" i="11"/>
  <c r="D16" i="11"/>
  <c r="J16" i="11" s="1"/>
  <c r="E16" i="11"/>
  <c r="G16" i="11"/>
  <c r="G6" i="11"/>
  <c r="D42" i="11"/>
  <c r="J42" i="11" s="1"/>
  <c r="E42" i="11"/>
  <c r="G42" i="11"/>
  <c r="D20" i="60"/>
  <c r="I15" i="11" l="1"/>
  <c r="H15" i="11"/>
  <c r="I16" i="11"/>
  <c r="H16" i="11"/>
  <c r="H42" i="11"/>
  <c r="I42" i="11"/>
  <c r="D14" i="11"/>
  <c r="J14" i="11" s="1"/>
  <c r="E14" i="11"/>
  <c r="G14" i="11"/>
  <c r="K19" i="60"/>
  <c r="D19" i="60"/>
  <c r="K16" i="11" l="1"/>
  <c r="K15" i="11"/>
  <c r="K42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4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43" i="11"/>
  <c r="D44" i="11"/>
  <c r="H44" i="11" s="1"/>
  <c r="E4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4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5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43" i="11"/>
  <c r="J43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44" i="11"/>
  <c r="I4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K36" i="39"/>
  <c r="K44" i="1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46" i="11"/>
  <c r="H47" i="11" s="1"/>
  <c r="I46" i="11"/>
  <c r="I4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88" i="29" l="1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48" i="11"/>
  <c r="I4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43" i="11" l="1"/>
  <c r="K46" i="11" s="1"/>
  <c r="K47" i="11" s="1"/>
  <c r="K48" i="11" s="1"/>
  <c r="B49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46" i="11"/>
  <c r="J4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4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78" i="41" l="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<sst xmlns="http://schemas.openxmlformats.org/spreadsheetml/2006/main" count="4707" uniqueCount="1623">
  <si>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</si>
  <si>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</si>
  <si>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</si>
  <si>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</si>
  <si>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</si>
  <si>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</si>
  <si>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</si>
  <si>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</si>
  <si>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</si>
  <si>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</si>
  <si>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</si>
  <si>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</si>
  <si>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</si>
  <si>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</si>
  <si>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</si>
  <si>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</si>
  <si>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</si>
  <si>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</si>
  <si>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</si>
  <si>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</si>
  <si>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</si>
  <si>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</si>
  <si>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</si>
  <si>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</si>
  <si>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</si>
  <si>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</si>
  <si>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</si>
  <si>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</si>
  <si>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</si>
  <si>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</si>
  <si>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</si>
  <si>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</si>
  <si>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</si>
  <si>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</si>
  <si>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</si>
  <si>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</si>
  <si>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</si>
  <si>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</si>
  <si>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</si>
  <si>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</si>
  <si>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</si>
  <si>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</si>
  <si>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</si>
  <si>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</si>
  <si>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</si>
  <si>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</si>
  <si>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</si>
  <si>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</si>
  <si>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</si>
  <si>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</si>
  <si>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</si>
  <si>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</si>
  <si>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</si>
  <si>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</si>
  <si>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</si>
  <si>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</si>
  <si>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</si>
  <si>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</si>
  <si>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</si>
  <si>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</si>
  <si>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</si>
  <si>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</si>
  <si>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</si>
  <si>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</si>
  <si>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</si>
  <si>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</si>
  <si>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</si>
  <si>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</si>
  <si>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</si>
  <si>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</si>
  <si>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</si>
  <si>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</si>
  <si>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</si>
  <si>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</si>
  <si>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</si>
  <si>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</si>
  <si>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</si>
  <si>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</si>
  <si>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</si>
  <si>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</si>
  <si>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</si>
  <si>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</si>
  <si>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</si>
  <si>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</si>
  <si>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</si>
  <si>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</si>
  <si>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</si>
  <si>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</si>
  <si>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</si>
  <si>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</si>
  <si>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</si>
  <si>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</si>
  <si>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</si>
  <si>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</si>
  <si>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</si>
  <si>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</si>
  <si>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</si>
  <si>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</si>
  <si>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</si>
  <si>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</si>
  <si>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</si>
  <si>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</si>
  <si>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</si>
  <si>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</si>
  <si>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</si>
  <si>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</si>
  <si>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</si>
  <si>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</si>
  <si>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</si>
  <si>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</si>
  <si>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</si>
  <si>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</si>
  <si>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</si>
  <si>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</si>
  <si>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</si>
  <si>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</si>
  <si>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</si>
  <si>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</si>
  <si>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</si>
  <si>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</si>
  <si>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</si>
  <si>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</si>
  <si>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</si>
  <si>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</si>
  <si>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</si>
  <si>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</si>
  <si>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</si>
  <si>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</si>
  <si>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</si>
  <si>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</si>
  <si>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</si>
  <si>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</si>
  <si>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</si>
  <si>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</si>
  <si>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</si>
  <si>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</si>
  <si>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</si>
  <si>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</si>
  <si>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</si>
  <si>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</si>
  <si>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</si>
  <si>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</si>
  <si>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</si>
  <si>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</si>
  <si>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</si>
  <si>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</si>
  <si>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</si>
  <si>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</si>
  <si>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</si>
  <si>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</si>
  <si>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</si>
  <si>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</si>
  <si>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</si>
  <si>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</si>
  <si>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</si>
  <si>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</si>
  <si>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</si>
  <si>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</si>
  <si>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</si>
  <si>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</si>
  <si>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</si>
  <si>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</si>
  <si>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</si>
  <si>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</si>
  <si>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</si>
  <si>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</si>
  <si>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</si>
  <si>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</si>
  <si>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</si>
  <si>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</si>
  <si>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</si>
  <si>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</si>
  <si>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</si>
  <si>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</si>
  <si>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</si>
  <si>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</si>
  <si>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</si>
  <si>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</si>
  <si>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</si>
  <si>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</si>
  <si>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</si>
  <si>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</si>
  <si>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</si>
  <si>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</si>
  <si>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</si>
  <si>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</si>
  <si>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</si>
  <si>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</si>
  <si>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</si>
  <si>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</si>
  <si>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</si>
  <si>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</si>
  <si>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</si>
  <si>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</si>
  <si>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</si>
  <si>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</si>
  <si>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</si>
  <si>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</si>
  <si>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</si>
  <si>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</si>
  <si>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</si>
  <si>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</si>
  <si>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</si>
  <si>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</si>
  <si>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</si>
  <si>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</si>
  <si>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</si>
  <si>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</si>
  <si>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</si>
  <si>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</si>
  <si>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</si>
  <si>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</si>
  <si>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</si>
  <si>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</si>
  <si>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</si>
  <si>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</si>
  <si>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</si>
  <si>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</si>
  <si>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</si>
  <si>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</si>
  <si>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</si>
  <si>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</si>
  <si>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</si>
  <si>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</si>
  <si>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</si>
  <si>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</si>
  <si>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</si>
  <si>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</si>
  <si>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</si>
  <si>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</si>
  <si>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</si>
  <si>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</si>
  <si>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</si>
  <si>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</si>
  <si>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</si>
  <si>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</si>
  <si>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</si>
  <si>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</si>
  <si>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</si>
  <si>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</si>
  <si>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</si>
  <si>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</si>
  <si>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</si>
  <si>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</si>
  <si>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</si>
  <si>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</si>
  <si>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</si>
  <si>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</si>
  <si>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</si>
  <si>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</si>
  <si>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</si>
  <si>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</si>
  <si>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</si>
  <si>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</si>
  <si>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</si>
  <si>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</si>
  <si>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</si>
  <si>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</si>
  <si>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</si>
  <si>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</si>
  <si>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</si>
  <si>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</si>
  <si>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</si>
  <si>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</si>
  <si>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</si>
  <si>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</si>
  <si>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</si>
  <si>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</si>
  <si>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</si>
  <si>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</si>
  <si>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</si>
  <si>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</si>
  <si>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</si>
  <si>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</si>
  <si>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</si>
  <si>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</si>
  <si>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</si>
  <si>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</si>
  <si>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</si>
  <si>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</si>
  <si>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</si>
  <si>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</si>
  <si>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</si>
  <si>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</si>
  <si>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</si>
  <si>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</si>
  <si>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</si>
  <si>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</si>
  <si>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</si>
  <si>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</si>
  <si>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</si>
  <si>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</si>
  <si>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</si>
  <si>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</si>
  <si>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</si>
  <si>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</si>
  <si>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</si>
  <si>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</si>
  <si>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</si>
  <si>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</si>
  <si>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</si>
  <si>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</si>
  <si>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</si>
  <si>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</si>
  <si>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</si>
  <si>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</si>
  <si>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</si>
  <si>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</si>
  <si>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</si>
  <si>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</si>
  <si>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</si>
  <si>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</si>
  <si>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</si>
  <si>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</si>
  <si>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</si>
  <si>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</si>
  <si>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</si>
  <si>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</si>
  <si>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</si>
  <si>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</si>
  <si>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</si>
  <si>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</si>
  <si>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</si>
  <si>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</si>
  <si>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</si>
  <si>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</si>
  <si>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</si>
  <si>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</si>
  <si>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</si>
  <si>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</si>
  <si>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</si>
  <si>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</si>
  <si>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</si>
  <si>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</si>
  <si>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</si>
  <si>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</si>
  <si>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</si>
  <si>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</si>
  <si>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</si>
  <si>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</si>
  <si>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</si>
  <si>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</si>
  <si>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</si>
  <si>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</si>
  <si>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</si>
  <si>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</si>
  <si>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</si>
  <si>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</si>
  <si>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</si>
  <si>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</si>
  <si>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</si>
  <si>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</si>
  <si>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</si>
  <si>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</si>
  <si>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</si>
  <si>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</si>
  <si>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</si>
  <si>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</si>
  <si>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</si>
  <si>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</si>
  <si>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</si>
  <si>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</si>
  <si>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</si>
  <si>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</si>
  <si>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</si>
  <si>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</si>
  <si>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</si>
  <si>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</si>
  <si>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</si>
  <si>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</si>
  <si>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</si>
  <si>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</si>
  <si>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</si>
  <si>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</si>
  <si>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</si>
  <si>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</si>
  <si>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</si>
  <si>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</si>
  <si>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</si>
  <si>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</si>
  <si>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</si>
  <si>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</si>
  <si>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</si>
  <si>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</si>
  <si>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</si>
  <si>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</si>
  <si>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</si>
  <si>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</si>
  <si>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</si>
  <si>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</si>
  <si>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</si>
  <si>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</si>
  <si>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</si>
  <si>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</si>
  <si>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</si>
  <si>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</si>
  <si>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</si>
  <si>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</si>
  <si>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</si>
  <si>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</si>
  <si>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</si>
  <si>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</si>
  <si>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</si>
  <si>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</si>
  <si>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</si>
  <si>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</si>
  <si>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</si>
  <si>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</si>
  <si>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</si>
  <si>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</si>
  <si>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</si>
  <si>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</si>
  <si>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</si>
  <si>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</si>
  <si>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</si>
  <si>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</si>
  <si>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</si>
  <si>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</si>
  <si>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</si>
  <si>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</si>
  <si>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</si>
  <si>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</si>
  <si>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</si>
  <si>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</si>
  <si>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</si>
  <si>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</si>
  <si>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</si>
  <si>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</si>
  <si>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</si>
  <si>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</si>
  <si>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</si>
  <si>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</si>
  <si>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</si>
  <si>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</si>
  <si>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</si>
  <si>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</si>
  <si>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</si>
  <si>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</si>
  <si>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</si>
  <si>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</si>
  <si>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</si>
  <si>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</si>
  <si>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</si>
  <si>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</si>
  <si>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</si>
  <si>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</si>
  <si>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</si>
  <si>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</si>
  <si>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</si>
  <si>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</si>
  <si>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</si>
  <si>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</si>
  <si>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</si>
  <si>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</si>
  <si>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</si>
  <si>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</si>
  <si>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</si>
  <si>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</si>
  <si>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</si>
  <si>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</si>
  <si>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</si>
  <si>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</si>
  <si>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</si>
  <si>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</si>
  <si>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</si>
  <si>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</si>
  <si>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</si>
  <si>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</si>
  <si>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</si>
  <si>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</si>
  <si>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</si>
  <si>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</si>
  <si>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</si>
  <si>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</si>
  <si>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</si>
  <si>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</si>
  <si>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</si>
  <si>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</si>
  <si>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</si>
  <si>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</si>
  <si>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</si>
  <si>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</si>
  <si>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</si>
  <si>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</si>
  <si>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</si>
  <si>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</si>
  <si>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</si>
  <si>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</si>
  <si>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</si>
  <si>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</si>
  <si>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</si>
  <si>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</si>
  <si>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</si>
  <si>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</si>
  <si>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</si>
  <si>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</si>
  <si>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</si>
  <si>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</si>
  <si>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</si>
  <si>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</si>
  <si>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</si>
  <si>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</si>
  <si>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</si>
  <si>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</si>
  <si>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</si>
  <si>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</si>
  <si>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</si>
  <si>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</si>
  <si>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</si>
  <si>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</si>
  <si>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</si>
  <si>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</si>
  <si>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</si>
  <si>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</si>
  <si>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</si>
  <si>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</si>
  <si>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</si>
  <si>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</si>
  <si>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</si>
  <si>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</si>
  <si>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</si>
  <si>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</si>
  <si>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</si>
  <si>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</si>
  <si>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</si>
  <si>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</si>
  <si>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</si>
  <si>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</si>
  <si>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</si>
  <si>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</si>
  <si>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</si>
  <si>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</si>
  <si>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</si>
  <si>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</si>
  <si>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</si>
  <si>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</si>
  <si>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</si>
  <si>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</si>
  <si>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</si>
  <si>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</si>
  <si>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</si>
  <si>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</si>
  <si>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</si>
  <si>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</si>
  <si>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</si>
  <si>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</si>
  <si>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</si>
  <si>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</si>
  <si>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</si>
  <si>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</si>
  <si>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</si>
  <si>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</si>
  <si>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</si>
  <si>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</si>
  <si>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</si>
  <si>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</si>
  <si>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</si>
  <si>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</si>
  <si>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</si>
  <si>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</si>
  <si>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</si>
  <si>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</si>
  <si>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</si>
  <si>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</si>
  <si>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</si>
  <si>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</si>
  <si>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</si>
  <si>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</si>
  <si>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</si>
  <si>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</si>
  <si>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</si>
  <si>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</si>
  <si>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</si>
  <si>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</si>
  <si>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</si>
  <si>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</si>
  <si>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</si>
  <si>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</si>
  <si>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</si>
  <si>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</si>
  <si>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</si>
  <si>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</si>
  <si>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</si>
  <si>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</si>
  <si>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</si>
  <si>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</si>
  <si>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</si>
  <si>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</si>
  <si>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</si>
  <si>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</si>
  <si>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</si>
  <si>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</si>
  <si>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</si>
  <si>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</si>
  <si>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</si>
  <si>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</si>
  <si>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</si>
  <si>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</si>
  <si>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</si>
  <si>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</si>
  <si>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</si>
  <si>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</si>
  <si>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</si>
  <si>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</si>
  <si>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</si>
  <si>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</si>
  <si>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</si>
  <si>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</si>
  <si>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</si>
  <si>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</si>
  <si>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</si>
  <si>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</si>
  <si>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</si>
  <si>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</si>
  <si>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</si>
  <si>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</si>
  <si>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</si>
  <si>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</si>
  <si>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</si>
  <si>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</si>
  <si>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</si>
  <si>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</si>
  <si>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</si>
  <si>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</si>
  <si>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</si>
  <si>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</si>
  <si>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</si>
  <si>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</si>
  <si>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</si>
  <si>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</si>
  <si>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</si>
  <si>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</si>
  <si>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</si>
  <si>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</si>
  <si>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</si>
  <si>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</si>
  <si>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</si>
  <si>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</si>
  <si>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</si>
  <si>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</si>
  <si>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</si>
  <si>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</si>
  <si>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</si>
  <si>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</si>
  <si>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</si>
  <si>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</si>
  <si>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</si>
  <si>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</si>
  <si>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</si>
  <si>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</si>
  <si>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</si>
  <si>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</si>
  <si>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</si>
  <si>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</si>
  <si>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</si>
  <si>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</si>
  <si>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</si>
  <si>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</si>
  <si>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</si>
  <si>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</si>
  <si>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</si>
  <si>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</si>
  <si>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</si>
  <si>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</si>
  <si>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</si>
  <si>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</si>
  <si>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</si>
  <si>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</si>
  <si>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</si>
  <si>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</si>
  <si>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</si>
  <si>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</si>
  <si>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</si>
  <si>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</si>
  <si>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</si>
  <si>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</si>
  <si>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</si>
  <si>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</si>
  <si>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</si>
  <si>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</si>
  <si>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</si>
  <si>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</si>
  <si>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</si>
  <si>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</si>
  <si>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</si>
  <si>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</si>
  <si>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</si>
  <si>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</si>
  <si>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</si>
  <si>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</si>
  <si>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</si>
  <si>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</si>
  <si>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</si>
  <si>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</si>
  <si>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</si>
  <si>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</si>
  <si>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</si>
  <si>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</si>
  <si>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</si>
  <si>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</si>
  <si>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</si>
  <si>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</si>
  <si>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</si>
  <si>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</si>
  <si>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</si>
  <si>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</si>
  <si>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</si>
  <si>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</si>
  <si>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</si>
  <si>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</si>
  <si>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</si>
  <si>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</si>
  <si>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</si>
  <si>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</si>
  <si>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</si>
  <si>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</si>
  <si>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</si>
  <si>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</si>
  <si>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</si>
  <si>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</si>
  <si>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</si>
  <si>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</si>
  <si>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</si>
  <si>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</si>
  <si>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</si>
  <si>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</si>
  <si>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</si>
  <si>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</si>
  <si>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</si>
  <si>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</si>
  <si>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</si>
  <si>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</si>
  <si>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</si>
  <si>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</si>
  <si>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</si>
  <si>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</si>
  <si>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</si>
  <si>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</si>
  <si>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</si>
  <si>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</si>
  <si>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</si>
  <si>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</si>
  <si>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</si>
  <si>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</si>
  <si>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</si>
  <si>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</si>
  <si>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</si>
  <si>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</si>
  <si>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</si>
  <si>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</si>
  <si>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</si>
  <si>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</si>
  <si>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</si>
  <si>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</si>
  <si>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</si>
  <si>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</si>
  <si>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</si>
  <si>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</si>
  <si>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</si>
  <si>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</si>
  <si>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</si>
  <si>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</si>
  <si>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</si>
  <si>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</si>
  <si>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</si>
  <si>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</si>
  <si>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</si>
  <si>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</si>
  <si>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</si>
  <si>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</si>
  <si>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</si>
  <si>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</si>
  <si>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</si>
  <si>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</si>
  <si>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</si>
  <si>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</si>
  <si>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</si>
  <si>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</si>
  <si>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</si>
  <si>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</si>
  <si>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</si>
  <si>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</si>
  <si>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</si>
  <si>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</si>
  <si>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</si>
  <si>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</si>
  <si>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</si>
  <si>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</si>
  <si>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</si>
  <si>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</si>
  <si>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</si>
  <si>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</si>
  <si>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</si>
  <si>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</si>
  <si>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</si>
  <si>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</si>
  <si>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</si>
  <si>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</si>
  <si>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</si>
  <si>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</si>
  <si>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</si>
  <si>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</si>
  <si>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</si>
  <si>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</si>
  <si>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</si>
  <si>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</si>
  <si>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</si>
  <si>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</si>
  <si>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</si>
  <si>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</si>
  <si>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</si>
  <si>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</si>
  <si>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</si>
  <si>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</si>
  <si>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</si>
  <si>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</si>
  <si>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</si>
  <si>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</si>
  <si>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</si>
  <si>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</si>
  <si>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</si>
  <si>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</si>
  <si>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</si>
  <si>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</si>
  <si>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</si>
  <si>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</si>
  <si>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</si>
  <si>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</si>
  <si>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</si>
  <si>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</si>
  <si>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</si>
  <si>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</si>
  <si>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</si>
  <si>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</si>
  <si>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</si>
  <si>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</si>
  <si>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</si>
  <si>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</si>
  <si>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</si>
  <si>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</si>
  <si>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</si>
  <si>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</si>
  <si>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</si>
  <si>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</si>
  <si>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</si>
  <si>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</si>
  <si>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</si>
  <si>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</si>
  <si>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</si>
  <si>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</si>
  <si>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</si>
  <si>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</si>
  <si>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</si>
  <si>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</si>
  <si>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</si>
  <si>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</si>
  <si>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</si>
  <si>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</si>
  <si>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</si>
  <si>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</si>
  <si>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</si>
  <si>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</si>
  <si>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</si>
  <si>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</si>
  <si>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</si>
  <si>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</si>
  <si>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</si>
  <si>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</si>
  <si>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</si>
  <si>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</si>
  <si>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</si>
  <si>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</si>
  <si>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</si>
  <si>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</si>
  <si>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</si>
  <si>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</si>
  <si>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</si>
  <si>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</si>
  <si>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</si>
  <si>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</si>
  <si>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</si>
  <si>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</si>
  <si>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</si>
  <si>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</si>
  <si>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</si>
  <si>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</si>
  <si>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</si>
  <si>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</si>
  <si>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</si>
  <si>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</si>
  <si>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</si>
  <si>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</si>
  <si>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</si>
  <si>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</si>
  <si>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</si>
  <si>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</si>
  <si>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</si>
  <si>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</si>
  <si>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</si>
  <si>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</si>
  <si>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</si>
  <si>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</si>
  <si>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</si>
  <si>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</si>
  <si>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</si>
  <si>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</si>
  <si>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</si>
  <si>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</si>
  <si>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</si>
  <si>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</si>
  <si>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</si>
  <si>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</si>
  <si>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</si>
  <si>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</si>
  <si>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</si>
  <si>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</si>
  <si>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</si>
  <si>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</si>
  <si>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</si>
  <si>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</si>
  <si>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</si>
  <si>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</si>
  <si>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</si>
  <si>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</si>
  <si>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</si>
  <si>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</si>
  <si>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</si>
  <si>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</si>
  <si>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</si>
  <si>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</si>
  <si>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</si>
  <si>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</si>
  <si>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</si>
  <si>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</si>
  <si>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</si>
  <si>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</si>
  <si>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</si>
  <si>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</si>
  <si>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</si>
  <si>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</si>
  <si>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</si>
  <si>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</si>
  <si>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</si>
  <si>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</si>
  <si>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</si>
  <si>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</si>
  <si>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</si>
  <si>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</si>
  <si>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</si>
  <si>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</si>
  <si>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</si>
  <si>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</si>
  <si>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</si>
  <si>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</si>
  <si>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</si>
  <si>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</si>
  <si>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</si>
  <si>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</si>
  <si>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</si>
  <si>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</si>
  <si>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</si>
  <si>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</si>
  <si>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</si>
  <si>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</si>
  <si>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</si>
  <si>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</si>
  <si>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</si>
  <si>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</si>
  <si>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</si>
  <si>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</si>
  <si>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</si>
  <si>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</si>
  <si>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</si>
  <si>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</si>
  <si>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</si>
  <si>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</si>
  <si>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</si>
  <si>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</si>
  <si>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</si>
  <si>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</si>
  <si>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</si>
  <si>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</si>
  <si>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</si>
  <si>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</si>
  <si>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</si>
  <si>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</si>
  <si>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</si>
  <si>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</si>
  <si>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</si>
  <si>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</si>
  <si>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</si>
  <si>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</si>
  <si>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</si>
  <si>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</si>
  <si>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</si>
  <si>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</si>
  <si>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</si>
  <si>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</si>
  <si>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</si>
  <si>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</si>
  <si>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</si>
  <si>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</si>
  <si>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</si>
  <si>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</si>
  <si>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</si>
  <si>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</si>
  <si>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</si>
  <si>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</si>
  <si>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</si>
  <si>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</si>
  <si>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</si>
  <si>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</si>
  <si>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</si>
  <si>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</si>
  <si>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</si>
  <si>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</si>
  <si>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</si>
  <si>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</si>
  <si>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</si>
  <si>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</si>
  <si>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</si>
  <si>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</si>
  <si>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</si>
  <si>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</si>
  <si>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</si>
  <si>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</si>
  <si>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</si>
  <si>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</si>
  <si>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</si>
  <si>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</si>
  <si>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</si>
  <si>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</si>
  <si>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</si>
  <si>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</si>
  <si>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</si>
  <si>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</si>
  <si>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</si>
  <si>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</si>
  <si>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</si>
  <si>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</si>
  <si>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</si>
  <si>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</si>
  <si>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</si>
  <si>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</si>
  <si>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</si>
  <si>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</si>
  <si>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</si>
  <si>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</si>
  <si>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</si>
  <si>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</si>
  <si>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</si>
  <si>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</si>
  <si>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</si>
  <si>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</si>
  <si>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</si>
  <si>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</si>
  <si>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</si>
  <si>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</si>
  <si>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</si>
  <si>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</si>
  <si>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</si>
  <si>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</si>
  <si>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</si>
  <si>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</si>
  <si>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</si>
  <si>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</si>
  <si>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</si>
  <si>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</si>
  <si>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</si>
  <si>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</si>
  <si>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</si>
  <si>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</si>
  <si>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</si>
  <si>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</si>
  <si>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</si>
  <si>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</si>
  <si>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</si>
  <si>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</si>
  <si>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</si>
  <si>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</si>
  <si>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</si>
  <si>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</si>
  <si>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</si>
  <si>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</si>
  <si>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</si>
  <si>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</si>
  <si>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</si>
  <si>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</si>
  <si>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</si>
  <si>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</si>
  <si>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</si>
  <si>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</si>
  <si>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</si>
  <si>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</si>
  <si>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</si>
  <si>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</si>
  <si>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</si>
  <si>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</si>
  <si>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</si>
  <si>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</si>
  <si>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</si>
  <si>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</si>
  <si>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</si>
  <si>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</si>
  <si>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</si>
  <si>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</si>
  <si>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</si>
  <si>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</si>
  <si>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</si>
  <si>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</si>
  <si>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</si>
  <si>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</si>
  <si>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</si>
  <si>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</si>
  <si>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</si>
  <si>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</si>
  <si>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</si>
  <si>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</si>
  <si>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</si>
  <si>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</si>
  <si>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</si>
  <si>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</si>
  <si>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</si>
  <si>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</si>
  <si>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</si>
  <si>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</si>
  <si>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</si>
  <si>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</si>
  <si>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</si>
  <si>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</si>
  <si>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</si>
  <si>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</si>
  <si>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</si>
  <si>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</si>
  <si>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</si>
  <si>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</si>
  <si>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</si>
  <si>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</si>
  <si>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</si>
  <si>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</si>
  <si>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</si>
  <si>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</si>
  <si>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</si>
  <si>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</si>
  <si>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</si>
  <si>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</si>
  <si>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</si>
  <si>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</si>
  <si>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</si>
  <si>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</si>
  <si>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</si>
  <si>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</si>
  <si>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</si>
  <si>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</si>
  <si>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</si>
  <si>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</si>
  <si>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</si>
  <si>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</si>
  <si>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</si>
  <si>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</si>
  <si>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</si>
  <si>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</si>
  <si>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</si>
  <si>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</si>
  <si>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</si>
  <si>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</si>
  <si>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</si>
  <si>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</si>
  <si>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</si>
  <si>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</si>
  <si>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</si>
  <si>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</si>
  <si>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</si>
  <si>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</si>
  <si>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</si>
  <si>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</si>
  <si>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</si>
  <si>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</si>
  <si>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</si>
  <si>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</si>
  <si>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</si>
  <si>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</si>
  <si>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</si>
  <si>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</si>
  <si>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</si>
  <si>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</si>
  <si>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</si>
  <si>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</si>
  <si>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</si>
  <si>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</si>
  <si>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</si>
  <si>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</si>
  <si>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</si>
  <si>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</si>
  <si>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</si>
  <si>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</si>
  <si>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</si>
  <si>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</si>
  <si>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</si>
  <si>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</si>
  <si>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</si>
  <si>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</si>
  <si>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</si>
  <si>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</si>
  <si>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</si>
  <si>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</si>
  <si>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</si>
  <si>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</si>
  <si>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</si>
  <si>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</si>
  <si>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</si>
  <si>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</si>
  <si>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</si>
  <si>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</si>
  <si>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</si>
  <si>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</si>
  <si>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</si>
  <si>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</si>
  <si>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</si>
  <si>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</si>
  <si>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</si>
  <si>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</si>
  <si>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</si>
  <si>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</si>
  <si>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</si>
  <si>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</si>
  <si>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</si>
  <si>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</si>
  <si>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</si>
  <si>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</si>
  <si>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</si>
  <si>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</si>
  <si>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</si>
  <si>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</si>
  <si>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</si>
  <si>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</si>
  <si>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</si>
  <si>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</si>
  <si>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</si>
  <si>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</si>
  <si>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</si>
  <si>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</si>
  <si>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</si>
  <si>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</si>
  <si>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</si>
  <si>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</si>
  <si>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</si>
  <si>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</si>
  <si>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</si>
  <si>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</si>
  <si>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</si>
  <si>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</si>
  <si>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</si>
  <si>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</si>
  <si>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</si>
  <si>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</si>
  <si>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</si>
  <si>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</si>
  <si>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</si>
  <si>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</si>
  <si>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</si>
  <si>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</si>
  <si>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</si>
  <si>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</si>
  <si>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</si>
  <si>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</si>
  <si>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</si>
  <si>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</si>
  <si>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</si>
  <si>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</si>
  <si>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</si>
  <si>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</si>
  <si>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</si>
  <si>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</si>
  <si>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</si>
  <si>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</si>
  <si>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</si>
  <si>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</si>
  <si>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</si>
  <si>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</si>
  <si>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</si>
  <si>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</si>
  <si>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</si>
  <si>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</si>
  <si>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</si>
  <si>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</si>
  <si>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</si>
  <si>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</si>
  <si>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</si>
  <si>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</si>
  <si>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</si>
  <si>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</si>
  <si>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</si>
  <si>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</si>
  <si>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</si>
  <si>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</si>
  <si>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</si>
  <si>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</si>
  <si>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</si>
  <si>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</si>
  <si>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</si>
  <si>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</si>
  <si>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</si>
  <si>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</si>
  <si>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</si>
  <si>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</si>
  <si>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</si>
  <si>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</si>
  <si>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</si>
  <si>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</si>
  <si>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</si>
  <si>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</si>
  <si>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</si>
  <si>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</si>
  <si>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</si>
  <si>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</si>
  <si>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</si>
  <si>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</si>
  <si>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</si>
  <si>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</si>
  <si>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</si>
  <si>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</si>
  <si>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</si>
  <si>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</si>
  <si>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</si>
  <si>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</si>
  <si>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</si>
  <si>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</si>
  <si>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</si>
  <si>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</si>
  <si>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</si>
  <si>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</si>
  <si>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</si>
  <si>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</si>
  <si>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</si>
  <si>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</si>
  <si>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</si>
  <si>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</si>
  <si>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</si>
  <si>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</si>
  <si>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</si>
  <si>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</si>
  <si>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</si>
  <si>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</si>
  <si>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</si>
  <si>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</si>
  <si>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</si>
  <si>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</si>
  <si>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</si>
  <si>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</si>
  <si>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</si>
  <si>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</si>
  <si>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</si>
  <si>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</si>
  <si>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</si>
  <si>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</si>
  <si>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</si>
  <si>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</si>
  <si>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</si>
  <si>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</si>
  <si>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</si>
  <si>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</si>
  <si>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</si>
  <si>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</si>
  <si>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</si>
  <si>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</si>
  <si>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</si>
  <si>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</si>
  <si>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</si>
  <si>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</si>
  <si>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</si>
  <si>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</si>
  <si>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</si>
  <si>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</si>
  <si>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</si>
  <si>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</si>
  <si>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</si>
  <si>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</si>
  <si>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</si>
  <si>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</si>
  <si>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</si>
  <si>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</si>
  <si>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</si>
  <si>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</si>
  <si>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</si>
  <si>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</si>
  <si>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</si>
  <si>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</si>
  <si>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</si>
  <si>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</si>
  <si>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</si>
  <si>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</si>
  <si>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</si>
  <si>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</si>
  <si>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</si>
  <si>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</si>
  <si>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</si>
  <si>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</si>
  <si>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</si>
  <si>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</si>
  <si>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</si>
  <si>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</si>
  <si>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</si>
  <si>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</si>
  <si>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</si>
  <si>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</si>
  <si>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</si>
  <si>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</si>
  <si>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</si>
  <si>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</si>
  <si>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</si>
  <si>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</si>
  <si>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</si>
  <si>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</si>
  <si>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</si>
  <si>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</si>
  <si>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</si>
  <si>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</si>
  <si>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</si>
  <si>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</si>
  <si>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</si>
  <si>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</si>
  <si>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</si>
  <si>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</si>
  <si>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</si>
  <si>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</si>
  <si>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</si>
  <si>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</si>
  <si>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</si>
  <si>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</si>
  <si>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</si>
  <si>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</si>
  <si>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</si>
  <si>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</si>
  <si>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</si>
  <si>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</si>
  <si>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</si>
  <si>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</si>
  <si>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</si>
  <si>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</si>
  <si>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</si>
  <si>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</si>
  <si>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</si>
  <si>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</si>
  <si>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</si>
  <si>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</si>
  <si>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</si>
  <si>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</si>
  <si>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</si>
  <si>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</si>
  <si>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</si>
  <si>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</si>
  <si>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</si>
  <si>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</si>
  <si>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</si>
  <si>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</si>
  <si>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</si>
  <si>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</si>
  <si>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</si>
  <si>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</si>
  <si>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</si>
  <si>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</si>
  <si>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</si>
  <si>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</si>
  <si>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</si>
  <si>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</si>
  <si>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</si>
  <si>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</si>
  <si>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</si>
  <si>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</si>
  <si>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</si>
  <si>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</si>
  <si>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</si>
  <si>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</si>
  <si>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</si>
  <si>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</si>
  <si>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</si>
  <si>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</si>
  <si>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</si>
  <si>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</si>
  <si>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</si>
  <si>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</si>
  <si>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</si>
  <si>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</si>
  <si>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</si>
  <si>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</si>
  <si>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</si>
  <si>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</si>
  <si>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</si>
  <si>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</si>
  <si>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</si>
  <si>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</si>
  <si>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</si>
  <si>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</si>
  <si>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</si>
  <si>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</si>
  <si>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</si>
  <si>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</si>
  <si>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</si>
  <si>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</si>
  <si>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</si>
  <si>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</si>
  <si>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</si>
  <si>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</si>
  <si>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</si>
  <si>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</si>
  <si>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</si>
  <si>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</si>
  <si>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</si>
  <si>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</si>
  <si>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</si>
  <si>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</si>
  <si>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</si>
  <si>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</si>
  <si>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</si>
  <si>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</si>
  <si>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</si>
  <si>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</si>
  <si>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</si>
  <si>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</si>
  <si>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</si>
  <si>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</si>
  <si>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</si>
  <si>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</si>
  <si>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</si>
  <si>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</si>
  <si>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</si>
  <si>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</si>
  <si>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</si>
  <si>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</si>
  <si>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</si>
  <si>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</si>
  <si>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</si>
  <si>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</si>
  <si>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</si>
  <si>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</si>
  <si>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</si>
  <si>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</si>
  <si>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</si>
  <si>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</si>
  <si>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</si>
  <si>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</si>
  <si>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</si>
  <si>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</si>
  <si>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</si>
  <si>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</si>
  <si>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</si>
  <si>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</si>
  <si>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</si>
  <si>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</si>
  <si>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</si>
  <si>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</si>
  <si>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</si>
  <si>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</si>
  <si>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</si>
  <si>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</si>
  <si>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</si>
  <si>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</si>
  <si>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</si>
  <si>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</si>
  <si>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</si>
  <si>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</si>
  <si>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</si>
  <si>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</si>
  <si>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</si>
  <si>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</si>
  <si>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</si>
  <si>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</si>
  <si>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</si>
  <si>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</si>
  <si>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</si>
  <si>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</si>
  <si>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</si>
  <si>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</si>
  <si>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</si>
  <si>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</si>
  <si>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</si>
  <si>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</si>
  <si>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</si>
  <si>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</si>
  <si>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</si>
  <si>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</si>
  <si>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</si>
  <si>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</si>
  <si>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</si>
  <si>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</si>
  <si>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</si>
  <si>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</si>
  <si>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</si>
  <si>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</si>
  <si>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</si>
  <si>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</si>
  <si>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</si>
  <si>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</si>
  <si>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</si>
  <si>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</si>
  <si>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</si>
  <si>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</si>
  <si>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</si>
  <si>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</si>
  <si>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</si>
  <si>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</si>
  <si>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</si>
  <si>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</si>
  <si>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</si>
  <si>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</si>
  <si>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</si>
  <si>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</si>
  <si>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</si>
  <si>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</si>
  <si>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</si>
  <si>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KONSTRUKSI TRAFO</t>
  </si>
  <si>
    <t>PEKERJAAN PEMASANGAN APP</t>
  </si>
  <si>
    <t>B2</t>
  </si>
  <si>
    <t>TD H NUR ROHMAD</t>
  </si>
  <si>
    <t>Pemasangan APP 3 Fasa Di Bangunan</t>
  </si>
  <si>
    <t>-6.847375, 110.718397</t>
  </si>
  <si>
    <t>DS GENENG, KEC MIJEN</t>
  </si>
  <si>
    <t>Demak,18 Juli 2023</t>
  </si>
  <si>
    <t>MANAGER ULP</t>
  </si>
  <si>
    <t>ACHMAD SUHENDRO</t>
  </si>
  <si>
    <t>Daya 1.300 VA</t>
  </si>
  <si>
    <t>PEKERJAAN PEMBONGKARAN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</si>
</sst>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2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4887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5" fillId="0" borderId="0"/>
    <xf numFmtId="41" fontId="20" fillId="0" borderId="0" applyFont="0" applyFill="0" applyBorder="0" applyAlignment="0" applyProtection="0"/>
    <xf numFmtId="0" fontId="5" fillId="0" borderId="0"/>
    <xf numFmtId="43" fontId="20" fillId="0" borderId="0" applyFont="0" applyFill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0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5" fillId="0" borderId="0"/>
    <xf numFmtId="0" fontId="14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0" fontId="14" fillId="27" borderId="12" applyNumberFormat="0" applyFont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0" fillId="0" borderId="0" applyFont="0" applyFill="0" applyBorder="0" applyAlignment="0" applyProtection="0"/>
    <xf numFmtId="0" fontId="86" fillId="0" borderId="95"/>
    <xf numFmtId="0" fontId="87" fillId="0" borderId="96"/>
    <xf numFmtId="43" fontId="20" fillId="0" borderId="0" applyFont="0" applyFill="0" applyBorder="0" applyAlignment="0" applyProtection="0"/>
    <xf numFmtId="0" fontId="35" fillId="20" borderId="103" applyNumberFormat="0" applyAlignment="0" applyProtection="0"/>
    <xf numFmtId="0" fontId="14" fillId="27" borderId="102" applyNumberFormat="0" applyFont="0" applyAlignment="0" applyProtection="0"/>
    <xf numFmtId="0" fontId="20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5" fillId="21" borderId="99" applyNumberFormat="0" applyAlignment="0" applyProtection="0"/>
    <xf numFmtId="0" fontId="31" fillId="7" borderId="107" applyNumberFormat="0" applyAlignment="0" applyProtection="0"/>
    <xf numFmtId="0" fontId="37" fillId="0" borderId="104" applyNumberFormat="0" applyFill="0" applyAlignment="0" applyProtection="0"/>
    <xf numFmtId="0" fontId="4" fillId="0" borderId="0"/>
    <xf numFmtId="0" fontId="4" fillId="0" borderId="0"/>
    <xf numFmtId="0" fontId="86" fillId="0" borderId="106"/>
    <xf numFmtId="0" fontId="20" fillId="27" borderId="108" applyNumberFormat="0" applyFont="0" applyAlignment="0" applyProtection="0"/>
    <xf numFmtId="0" fontId="35" fillId="20" borderId="109" applyNumberFormat="0" applyAlignment="0" applyProtection="0"/>
    <xf numFmtId="0" fontId="37" fillId="0" borderId="110" applyNumberFormat="0" applyFill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0" fontId="35" fillId="20" borderId="103" applyNumberForma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0" fontId="20" fillId="27" borderId="102" applyNumberFormat="0" applyFont="0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194" fontId="41" fillId="28" borderId="102" applyAlignment="0" applyProtection="0"/>
    <xf numFmtId="0" fontId="14" fillId="27" borderId="102" applyNumberFormat="0" applyFont="0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194" fontId="41" fillId="28" borderId="102" applyAlignment="0" applyProtection="0"/>
    <xf numFmtId="0" fontId="20" fillId="27" borderId="102" applyNumberFormat="0" applyFont="0" applyAlignment="0" applyProtection="0"/>
    <xf numFmtId="0" fontId="4" fillId="0" borderId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5" fillId="21" borderId="99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0" fontId="31" fillId="7" borderId="101" applyNumberFormat="0" applyAlignment="0" applyProtection="0"/>
    <xf numFmtId="43" fontId="4" fillId="0" borderId="0" applyFont="0" applyFill="0" applyBorder="0" applyAlignment="0" applyProtection="0"/>
    <xf numFmtId="0" fontId="77" fillId="23" borderId="105"/>
    <xf numFmtId="0" fontId="77" fillId="0" borderId="105"/>
    <xf numFmtId="0" fontId="77" fillId="0" borderId="100"/>
    <xf numFmtId="0" fontId="77" fillId="0" borderId="100"/>
    <xf numFmtId="0" fontId="72" fillId="0" borderId="105"/>
    <xf numFmtId="0" fontId="72" fillId="0" borderId="105"/>
    <xf numFmtId="0" fontId="72" fillId="0" borderId="111"/>
    <xf numFmtId="0" fontId="72" fillId="0" borderId="111"/>
    <xf numFmtId="0" fontId="77" fillId="0" borderId="111"/>
    <xf numFmtId="0" fontId="77" fillId="23" borderId="111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24" fillId="20" borderId="101" applyNumberFormat="0" applyAlignment="0" applyProtection="0"/>
    <xf numFmtId="0" fontId="4" fillId="0" borderId="0"/>
    <xf numFmtId="0" fontId="4" fillId="0" borderId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0" fontId="14" fillId="27" borderId="108" applyNumberFormat="0" applyFont="0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194" fontId="41" fillId="28" borderId="108" applyAlignment="0" applyProtection="0"/>
    <xf numFmtId="0" fontId="35" fillId="20" borderId="103" applyNumberFormat="0" applyAlignment="0" applyProtection="0"/>
    <xf numFmtId="0" fontId="20" fillId="27" borderId="102" applyNumberFormat="0" applyFont="0" applyAlignment="0" applyProtection="0"/>
    <xf numFmtId="0" fontId="31" fillId="7" borderId="101" applyNumberFormat="0" applyAlignment="0" applyProtection="0"/>
    <xf numFmtId="0" fontId="24" fillId="20" borderId="101" applyNumberFormat="0" applyAlignment="0" applyProtection="0"/>
    <xf numFmtId="194" fontId="41" fillId="28" borderId="108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31" fillId="7" borderId="107" applyNumberFormat="0" applyAlignment="0" applyProtection="0"/>
    <xf numFmtId="0" fontId="24" fillId="20" borderId="107" applyNumberFormat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37" fillId="0" borderId="104" applyNumberFormat="0" applyFill="0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86" fillId="0" borderId="112"/>
    <xf numFmtId="0" fontId="31" fillId="7" borderId="107" applyNumberFormat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0" fontId="24" fillId="20" borderId="107" applyNumberFormat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7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107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1" fillId="7" borderId="107" applyNumberFormat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72" fillId="0" borderId="111"/>
    <xf numFmtId="0" fontId="72" fillId="0" borderId="111"/>
    <xf numFmtId="0" fontId="77" fillId="0" borderId="100"/>
    <xf numFmtId="0" fontId="77" fillId="0" borderId="100"/>
    <xf numFmtId="0" fontId="77" fillId="0" borderId="111"/>
    <xf numFmtId="0" fontId="77" fillId="23" borderId="111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1" fillId="7" borderId="107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0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194" fontId="41" fillId="28" borderId="108" applyAlignment="0" applyProtection="0"/>
    <xf numFmtId="0" fontId="14" fillId="27" borderId="108" applyNumberFormat="0" applyFont="0" applyAlignment="0" applyProtection="0"/>
    <xf numFmtId="9" fontId="20" fillId="0" borderId="0" applyFont="0" applyFill="0" applyBorder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194" fontId="41" fillId="28" borderId="108" applyAlignment="0" applyProtection="0"/>
    <xf numFmtId="0" fontId="20" fillId="27" borderId="108" applyNumberFormat="0" applyFon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0" fontId="35" fillId="20" borderId="109" applyNumberFormat="0" applyAlignment="0" applyProtection="0"/>
    <xf numFmtId="9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86" fillId="0" borderId="113"/>
    <xf numFmtId="0" fontId="86" fillId="0" borderId="113"/>
    <xf numFmtId="0" fontId="87" fillId="0" borderId="114"/>
    <xf numFmtId="0" fontId="87" fillId="0" borderId="114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37" fillId="0" borderId="110" applyNumberFormat="0" applyFill="0" applyAlignment="0" applyProtection="0"/>
    <xf numFmtId="0" fontId="11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7" fillId="0" borderId="120" applyNumberFormat="0" applyFill="0" applyAlignment="0" applyProtection="0"/>
    <xf numFmtId="0" fontId="31" fillId="7" borderId="123" applyNumberFormat="0" applyAlignment="0" applyProtection="0"/>
    <xf numFmtId="0" fontId="37" fillId="0" borderId="126" applyNumberFormat="0" applyFill="0" applyAlignment="0" applyProtection="0"/>
    <xf numFmtId="0" fontId="35" fillId="20" borderId="119" applyNumberFormat="0" applyAlignment="0" applyProtection="0"/>
    <xf numFmtId="0" fontId="14" fillId="27" borderId="118" applyNumberFormat="0" applyFont="0" applyAlignment="0" applyProtection="0"/>
    <xf numFmtId="0" fontId="14" fillId="27" borderId="118" applyNumberFormat="0" applyFont="0" applyAlignment="0" applyProtection="0"/>
    <xf numFmtId="0" fontId="14" fillId="27" borderId="118" applyNumberFormat="0" applyFont="0" applyAlignment="0" applyProtection="0"/>
    <xf numFmtId="0" fontId="20" fillId="27" borderId="118" applyNumberFormat="0" applyFont="0" applyAlignment="0" applyProtection="0"/>
    <xf numFmtId="0" fontId="14" fillId="27" borderId="118" applyNumberFormat="0" applyFont="0" applyAlignment="0" applyProtection="0"/>
    <xf numFmtId="0" fontId="14" fillId="27" borderId="118" applyNumberFormat="0" applyFont="0" applyAlignment="0" applyProtection="0"/>
    <xf numFmtId="0" fontId="14" fillId="27" borderId="118" applyNumberFormat="0" applyFont="0" applyAlignment="0" applyProtection="0"/>
    <xf numFmtId="0" fontId="14" fillId="27" borderId="118" applyNumberFormat="0" applyFont="0" applyAlignment="0" applyProtection="0"/>
    <xf numFmtId="0" fontId="14" fillId="27" borderId="118" applyNumberFormat="0" applyFont="0" applyAlignment="0" applyProtection="0"/>
    <xf numFmtId="0" fontId="14" fillId="27" borderId="118" applyNumberFormat="0" applyFont="0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7" fillId="0" borderId="120" applyNumberFormat="0" applyFill="0" applyAlignment="0" applyProtection="0"/>
    <xf numFmtId="0" fontId="2" fillId="0" borderId="0"/>
    <xf numFmtId="0" fontId="31" fillId="7" borderId="123" applyNumberFormat="0" applyAlignment="0" applyProtection="0"/>
    <xf numFmtId="0" fontId="2" fillId="0" borderId="0"/>
    <xf numFmtId="0" fontId="20" fillId="27" borderId="124" applyNumberFormat="0" applyFont="0" applyAlignment="0" applyProtection="0"/>
    <xf numFmtId="0" fontId="37" fillId="0" borderId="120" applyNumberFormat="0" applyFill="0" applyAlignment="0" applyProtection="0"/>
    <xf numFmtId="0" fontId="24" fillId="20" borderId="123" applyNumberFormat="0" applyAlignment="0" applyProtection="0"/>
    <xf numFmtId="0" fontId="86" fillId="0" borderId="122"/>
    <xf numFmtId="0" fontId="20" fillId="27" borderId="124" applyNumberFormat="0" applyFont="0" applyAlignment="0" applyProtection="0"/>
    <xf numFmtId="0" fontId="35" fillId="20" borderId="125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0" fontId="35" fillId="20" borderId="119" applyNumberForma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0" fontId="20" fillId="27" borderId="118" applyNumberFormat="0" applyFont="0" applyAlignment="0" applyProtection="0"/>
    <xf numFmtId="0" fontId="20" fillId="27" borderId="118" applyNumberFormat="0" applyFont="0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14" fillId="27" borderId="118" applyNumberFormat="0" applyFont="0" applyAlignment="0" applyProtection="0"/>
    <xf numFmtId="0" fontId="14" fillId="27" borderId="118" applyNumberFormat="0" applyFon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194" fontId="41" fillId="28" borderId="118" applyAlignment="0" applyProtection="0"/>
    <xf numFmtId="0" fontId="20" fillId="27" borderId="118" applyNumberFormat="0" applyFont="0" applyAlignment="0" applyProtection="0"/>
    <xf numFmtId="0" fontId="20" fillId="27" borderId="118" applyNumberFormat="0" applyFon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24" fillId="20" borderId="123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0" fontId="31" fillId="7" borderId="117" applyNumberFormat="0" applyAlignment="0" applyProtection="0"/>
    <xf numFmtId="43" fontId="2" fillId="0" borderId="0" applyFont="0" applyFill="0" applyBorder="0" applyAlignment="0" applyProtection="0"/>
    <xf numFmtId="0" fontId="77" fillId="23" borderId="121"/>
    <xf numFmtId="0" fontId="77" fillId="0" borderId="121"/>
    <xf numFmtId="0" fontId="72" fillId="0" borderId="121"/>
    <xf numFmtId="0" fontId="72" fillId="0" borderId="121"/>
    <xf numFmtId="0" fontId="72" fillId="0" borderId="127"/>
    <xf numFmtId="0" fontId="72" fillId="0" borderId="127"/>
    <xf numFmtId="0" fontId="77" fillId="0" borderId="127"/>
    <xf numFmtId="0" fontId="77" fillId="23" borderId="127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31" fillId="7" borderId="123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4" fillId="20" borderId="117" applyNumberFormat="0" applyAlignment="0" applyProtection="0"/>
    <xf numFmtId="0" fontId="2" fillId="0" borderId="0"/>
    <xf numFmtId="0" fontId="2" fillId="0" borderId="0"/>
    <xf numFmtId="0" fontId="20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0" fontId="20" fillId="27" borderId="124" applyNumberFormat="0" applyFont="0" applyAlignment="0" applyProtection="0"/>
    <xf numFmtId="0" fontId="20" fillId="27" borderId="124" applyNumberFormat="0" applyFont="0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0" fontId="86" fillId="0" borderId="115"/>
    <xf numFmtId="0" fontId="87" fillId="0" borderId="116"/>
    <xf numFmtId="0" fontId="35" fillId="20" borderId="119" applyNumberFormat="0" applyAlignment="0" applyProtection="0"/>
    <xf numFmtId="0" fontId="20" fillId="27" borderId="118" applyNumberFormat="0" applyFont="0" applyAlignment="0" applyProtection="0"/>
    <xf numFmtId="0" fontId="31" fillId="7" borderId="117" applyNumberFormat="0" applyAlignment="0" applyProtection="0"/>
    <xf numFmtId="0" fontId="24" fillId="20" borderId="117" applyNumberFormat="0" applyAlignment="0" applyProtection="0"/>
    <xf numFmtId="194" fontId="41" fillId="28" borderId="124" applyAlignment="0" applyProtection="0"/>
    <xf numFmtId="194" fontId="41" fillId="28" borderId="124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37" fillId="0" borderId="120" applyNumberFormat="0" applyFill="0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14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20" fillId="27" borderId="124" applyNumberFormat="0" applyFont="0" applyAlignment="0" applyProtection="0"/>
    <xf numFmtId="194" fontId="41" fillId="28" borderId="124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35" fillId="20" borderId="125" applyNumberFormat="0" applyAlignment="0" applyProtection="0"/>
    <xf numFmtId="0" fontId="86" fillId="0" borderId="128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  <xf numFmtId="0" fontId="37" fillId="0" borderId="126" applyNumberFormat="0" applyFill="0" applyAlignment="0" applyProtection="0"/>
  </cellStyleXfs>
  <cellXfs count="694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8" xfId="0" applyFont="1" applyFill="1" applyBorder="1" applyAlignment="1">
      <alignment horizontal="center" vertical="center"/>
    </xf>
    <xf numFmtId="0" fontId="118" fillId="33" borderId="69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37" fontId="149" fillId="0" borderId="0" xfId="1614" applyNumberFormat="1" applyFont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79" xfId="2670" applyFont="1" applyFill="1" applyBorder="1" applyAlignment="1">
      <alignment horizontal="left" vertical="center"/>
    </xf>
    <xf numFmtId="0" fontId="159" fillId="39" borderId="80" xfId="2670" applyFont="1" applyFill="1" applyBorder="1" applyAlignment="1">
      <alignment horizontal="center" vertical="center"/>
    </xf>
    <xf numFmtId="0" fontId="159" fillId="39" borderId="82" xfId="2670" applyFont="1" applyFill="1" applyBorder="1" applyAlignment="1">
      <alignment horizontal="left" vertical="center"/>
    </xf>
    <xf numFmtId="0" fontId="159" fillId="39" borderId="78" xfId="2670" applyFont="1" applyFill="1" applyBorder="1" applyAlignment="1">
      <alignment horizontal="center" vertical="center"/>
    </xf>
    <xf numFmtId="0" fontId="159" fillId="39" borderId="84" xfId="2670" applyFont="1" applyFill="1" applyBorder="1" applyAlignment="1">
      <alignment horizontal="left" vertical="center"/>
    </xf>
    <xf numFmtId="0" fontId="159" fillId="39" borderId="85" xfId="2670" applyFont="1" applyFill="1" applyBorder="1" applyAlignment="1">
      <alignment horizontal="center" vertical="center"/>
    </xf>
    <xf numFmtId="167" fontId="140" fillId="40" borderId="81" xfId="2672" applyFont="1" applyFill="1" applyBorder="1" applyAlignment="1" applyProtection="1">
      <alignment horizontal="right" vertical="center" wrapText="1"/>
      <protection locked="0"/>
    </xf>
    <xf numFmtId="167" fontId="140" fillId="40" borderId="83" xfId="2672" applyFont="1" applyFill="1" applyBorder="1" applyAlignment="1" applyProtection="1">
      <alignment horizontal="right" vertical="center"/>
      <protection locked="0"/>
    </xf>
    <xf numFmtId="169" fontId="140" fillId="40" borderId="83" xfId="2672" applyNumberFormat="1" applyFont="1" applyFill="1" applyBorder="1" applyAlignment="1" applyProtection="1">
      <alignment horizontal="right" vertical="center"/>
      <protection locked="0"/>
    </xf>
    <xf numFmtId="169" fontId="140" fillId="40" borderId="86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0" xfId="2673" applyFont="1" applyFill="1" applyBorder="1" applyAlignment="1">
      <alignment vertical="center" wrapText="1"/>
    </xf>
    <xf numFmtId="0" fontId="146" fillId="43" borderId="90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4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91" fillId="0" borderId="97" xfId="1450" applyFont="1" applyBorder="1" applyAlignment="1">
      <alignment horizontal="left" vertical="center"/>
    </xf>
    <xf numFmtId="0" fontId="91" fillId="0" borderId="98" xfId="1450" applyFont="1" applyBorder="1" applyAlignment="1">
      <alignment horizontal="left" vertical="center"/>
    </xf>
    <xf numFmtId="0" fontId="91" fillId="0" borderId="40" xfId="1450" applyFont="1" applyBorder="1" applyAlignment="1">
      <alignment horizontal="center" vertical="center"/>
    </xf>
    <xf numFmtId="0" fontId="91" fillId="0" borderId="47" xfId="1450" applyFont="1" applyBorder="1" applyAlignment="1">
      <alignment horizontal="center" vertical="center"/>
    </xf>
    <xf numFmtId="0" fontId="42" fillId="0" borderId="20" xfId="1615" applyFont="1" applyBorder="1" applyAlignment="1">
      <alignment horizontal="center" vertical="center"/>
    </xf>
    <xf numFmtId="0" fontId="42" fillId="0" borderId="21" xfId="1615" applyFont="1" applyBorder="1" applyAlignment="1">
      <alignment horizontal="left" vertical="center" wrapText="1"/>
    </xf>
    <xf numFmtId="0" fontId="113" fillId="0" borderId="20" xfId="1653" applyFont="1" applyBorder="1" applyAlignment="1">
      <alignment horizontal="center" vertical="center"/>
    </xf>
    <xf numFmtId="0" fontId="174" fillId="0" borderId="20" xfId="1653" applyFont="1" applyBorder="1" applyAlignment="1">
      <alignment horizontal="center" vertical="center"/>
    </xf>
    <xf numFmtId="0" fontId="174" fillId="0" borderId="21" xfId="1653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0" fillId="0" borderId="21" xfId="1451" applyBorder="1" applyAlignment="1">
      <alignment horizontal="left" wrapText="1"/>
    </xf>
    <xf numFmtId="0" fontId="2" fillId="0" borderId="20" xfId="1652" applyFont="1" applyBorder="1" applyAlignment="1">
      <alignment horizontal="center" vertical="center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14" fillId="33" borderId="0" xfId="0" quotePrefix="1" applyFont="1" applyFill="1" applyAlignment="1">
      <alignment horizontal="center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2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3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1" xfId="2673" applyNumberFormat="1" applyFont="1" applyFill="1" applyBorder="1" applyAlignment="1">
      <alignment horizontal="center" vertical="center" wrapText="1"/>
    </xf>
    <xf numFmtId="0" fontId="163" fillId="41" borderId="87" xfId="2673" applyFont="1" applyFill="1" applyBorder="1" applyAlignment="1">
      <alignment horizontal="center" vertical="center" wrapText="1"/>
    </xf>
    <xf numFmtId="0" fontId="163" fillId="41" borderId="88" xfId="2673" applyFont="1" applyFill="1" applyBorder="1" applyAlignment="1">
      <alignment horizontal="center" vertical="center" wrapText="1"/>
    </xf>
    <xf numFmtId="0" fontId="163" fillId="41" borderId="89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87" xfId="2673" applyFont="1" applyFill="1" applyBorder="1" applyAlignment="1">
      <alignment horizontal="center" vertical="center" wrapText="1"/>
    </xf>
    <xf numFmtId="0" fontId="163" fillId="42" borderId="88" xfId="2673" applyFont="1" applyFill="1" applyBorder="1" applyAlignment="1">
      <alignment horizontal="center" vertical="center" wrapText="1"/>
    </xf>
    <xf numFmtId="0" fontId="163" fillId="42" borderId="89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1" xfId="2673" applyNumberFormat="1" applyFont="1" applyFill="1" applyBorder="1" applyAlignment="1">
      <alignment horizontal="center" vertical="center" wrapText="1"/>
    </xf>
    <xf numFmtId="0" fontId="8" fillId="34" borderId="76" xfId="2670" applyFill="1" applyBorder="1" applyAlignment="1">
      <alignment horizontal="center" vertical="center"/>
    </xf>
    <xf numFmtId="0" fontId="138" fillId="0" borderId="77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0" fontId="91" fillId="0" borderId="97" xfId="1450" applyFont="1" applyBorder="1" applyAlignment="1">
      <alignment horizontal="left" vertical="center"/>
    </xf>
    <xf numFmtId="0" fontId="91" fillId="0" borderId="98" xfId="1450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0" borderId="60" xfId="1450" applyFont="1" applyBorder="1" applyAlignment="1">
      <alignment horizontal="left" vertical="center"/>
    </xf>
    <xf numFmtId="0" fontId="91" fillId="0" borderId="61" xfId="1450" applyFont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49" fontId="114" fillId="33" borderId="3" xfId="0" applyNumberFormat="1" applyFont="1" applyFill="1" applyBorder="1" applyAlignment="1">
      <alignment horizontal="center" vertical="center"/>
    </xf>
    <xf numFmtId="0" fontId="118" fillId="33" borderId="72" xfId="0" applyFont="1" applyFill="1" applyBorder="1" applyAlignment="1">
      <alignment horizontal="left" vertical="center"/>
    </xf>
    <xf numFmtId="0" fontId="118" fillId="33" borderId="73" xfId="0" applyFont="1" applyFill="1" applyBorder="1" applyAlignment="1">
      <alignment horizontal="left" vertical="center"/>
    </xf>
    <xf numFmtId="49" fontId="114" fillId="33" borderId="3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49" fontId="114" fillId="33" borderId="50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left" vertical="center"/>
    </xf>
    <xf numFmtId="0" fontId="91" fillId="33" borderId="40" xfId="0" applyFont="1" applyFill="1" applyBorder="1" applyAlignment="1">
      <alignment horizontal="left" vertical="center"/>
    </xf>
    <xf numFmtId="0" fontId="119" fillId="33" borderId="74" xfId="0" applyFont="1" applyFill="1" applyBorder="1" applyAlignment="1">
      <alignment horizontal="center" vertical="center" wrapText="1"/>
    </xf>
    <xf numFmtId="0" fontId="119" fillId="33" borderId="75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4887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3" xfId="3682" xr:uid="{FC6AEF61-9B3A-4953-998C-0C6AFC45D5D2}"/>
    <cellStyle name="Calculation 10 4" xfId="3591" xr:uid="{B655F429-28BF-45C6-93BF-B407E7B9A907}"/>
    <cellStyle name="Calculation 10 5" xfId="4674" xr:uid="{6E325DB7-DA06-49AD-B86C-191B71B5A5E1}"/>
    <cellStyle name="Calculation 10 6" xfId="4588" xr:uid="{0065AF45-3D64-4589-8065-2481C421E250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3" xfId="3681" xr:uid="{49265FCD-15EE-4F3D-98E8-26B740BA12AD}"/>
    <cellStyle name="Calculation 11 4" xfId="3592" xr:uid="{E2179F3A-FB95-4FF9-A8A9-829217F6D160}"/>
    <cellStyle name="Calculation 11 5" xfId="4673" xr:uid="{41FDF803-9E31-4E0E-9099-D16017FDA403}"/>
    <cellStyle name="Calculation 11 6" xfId="4589" xr:uid="{C06D1300-D946-4300-B938-AA74555E5807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3" xfId="3680" xr:uid="{6B0320A4-A2D3-4406-89CB-8BDD606492C2}"/>
    <cellStyle name="Calculation 12 4" xfId="3593" xr:uid="{224B4B05-29BD-4E94-87A2-DC2338ADB2FE}"/>
    <cellStyle name="Calculation 12 5" xfId="4672" xr:uid="{B5D240A5-5ABC-494B-88EE-F3E56E8C6924}"/>
    <cellStyle name="Calculation 12 6" xfId="4590" xr:uid="{82FDFB9B-77AC-48C0-AECD-0075DAE2F8BD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3" xfId="3679" xr:uid="{FEAAD657-80FF-4B3F-A165-C830F32FE787}"/>
    <cellStyle name="Calculation 13 4" xfId="3594" xr:uid="{241B265A-9BBA-4E2E-9F9C-501A42D0E722}"/>
    <cellStyle name="Calculation 13 5" xfId="4671" xr:uid="{436E76BA-AC6F-424B-ACE6-F6F155E8111F}"/>
    <cellStyle name="Calculation 13 6" xfId="4591" xr:uid="{B9DB9D49-76FE-4C05-B15D-7F8FBB274F04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3" xfId="3678" xr:uid="{699905E9-41AD-4FDE-870F-27C8345502F9}"/>
    <cellStyle name="Calculation 14 4" xfId="3595" xr:uid="{90E91377-8151-4422-A0AD-88AE8F1187A2}"/>
    <cellStyle name="Calculation 14 5" xfId="4670" xr:uid="{74318386-FA2F-44DE-8B6B-5FE840AF4BFC}"/>
    <cellStyle name="Calculation 14 6" xfId="4592" xr:uid="{B5AE326C-F447-43C4-9159-00E7214CDB23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3" xfId="3677" xr:uid="{AE8EC5A1-839F-4732-86B7-46096DDCDE12}"/>
    <cellStyle name="Calculation 15 4" xfId="3596" xr:uid="{F6F418C4-4533-4F5F-82AD-3A41AEEC2F1A}"/>
    <cellStyle name="Calculation 15 5" xfId="4669" xr:uid="{E99A2C0F-19F0-478E-A2AC-21525461FB5A}"/>
    <cellStyle name="Calculation 15 6" xfId="4593" xr:uid="{5D7D139E-F516-4A44-86C3-ED15B101EA09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3" xfId="3676" xr:uid="{04128D6D-B053-499F-A46D-04800D3E2238}"/>
    <cellStyle name="Calculation 16 4" xfId="3597" xr:uid="{3D44A7A2-C6CF-4D05-A0A9-C885E61A480F}"/>
    <cellStyle name="Calculation 16 5" xfId="4668" xr:uid="{9046D1CF-FA2D-497A-91B7-71F8F5F9B60D}"/>
    <cellStyle name="Calculation 16 6" xfId="4594" xr:uid="{4CAF29B3-4CEB-4E7D-AFA7-A98D05E96433}"/>
    <cellStyle name="Calculation 17" xfId="3717" xr:uid="{E31DC55E-44B3-4C15-A94E-F3616F11BE52}"/>
    <cellStyle name="Calculation 18" xfId="3723" xr:uid="{EC2A906A-06C9-4A0E-94F7-4560E7890D96}"/>
    <cellStyle name="Calculation 19" xfId="4712" xr:uid="{F4F126F4-98DB-46D2-9E5A-8ECF32033C0A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3" xfId="3674" xr:uid="{1718B1CA-B296-4F88-91A1-CEFE7FA5ECD3}"/>
    <cellStyle name="Calculation 2 2 4" xfId="3599" xr:uid="{033BE833-D9EB-4371-8EBF-964B97BF4DAA}"/>
    <cellStyle name="Calculation 2 2 5" xfId="4666" xr:uid="{078248AB-C2DE-46E1-85E3-06B7C85BEF8D}"/>
    <cellStyle name="Calculation 2 2 6" xfId="4596" xr:uid="{16E25FF7-59B7-495F-B9AC-A72C7C3E2E46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3" xfId="3673" xr:uid="{31BF3874-959B-4CF2-B304-75AE18E9AE5B}"/>
    <cellStyle name="Calculation 2 3 4" xfId="3600" xr:uid="{2CB8C117-701D-45BB-A598-D9148D263A48}"/>
    <cellStyle name="Calculation 2 3 5" xfId="4665" xr:uid="{F01EFBD0-0C49-4211-A0F1-7EF7C1A2D6CF}"/>
    <cellStyle name="Calculation 2 3 6" xfId="4597" xr:uid="{B22F552F-1F63-4075-8E60-F099F85A93B9}"/>
    <cellStyle name="Calculation 2 4" xfId="487" xr:uid="{00000000-0005-0000-0000-0000E6010000}"/>
    <cellStyle name="Calculation 2 4 2" xfId="3908" xr:uid="{3A7BEF43-6E48-46CA-9B78-B8F34725A269}"/>
    <cellStyle name="Calculation 2 5" xfId="3675" xr:uid="{057B7AF0-40C9-4BD3-844F-72456D2A9274}"/>
    <cellStyle name="Calculation 2 6" xfId="3598" xr:uid="{035455AE-63C5-4666-9AFD-1E3A1F915273}"/>
    <cellStyle name="Calculation 2 7" xfId="4667" xr:uid="{1F2BB848-2AF4-4146-9C1B-A0FCC4224A46}"/>
    <cellStyle name="Calculation 2 8" xfId="4595" xr:uid="{4C09A927-17D8-4592-8E99-59CCA46FF8E3}"/>
    <cellStyle name="Calculation 20" xfId="4426" xr:uid="{E708F65D-28FB-4F5C-A901-11C41E13842C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3" xfId="3672" xr:uid="{E5879892-07DD-4EBC-907F-C27620EC2FC3}"/>
    <cellStyle name="Calculation 3 4" xfId="3601" xr:uid="{C25E7B5E-8DDA-4350-B230-18D8A3EA4AF4}"/>
    <cellStyle name="Calculation 3 5" xfId="4664" xr:uid="{58CE5171-5B22-448E-AD67-206803B18639}"/>
    <cellStyle name="Calculation 3 6" xfId="4598" xr:uid="{461CB96E-0011-4F5E-B7C9-318844C1C523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3" xfId="3671" xr:uid="{6AEAFCB9-5231-47F7-9505-42C8FB83BBF0}"/>
    <cellStyle name="Calculation 4 4" xfId="3602" xr:uid="{7D0D1C41-630E-42C8-9488-1F0788B8B9D7}"/>
    <cellStyle name="Calculation 4 5" xfId="4663" xr:uid="{CDB5D36B-B3BF-4EB0-8831-D2B0F4E9D478}"/>
    <cellStyle name="Calculation 4 6" xfId="4599" xr:uid="{0F30BEA5-78BD-4C7D-9AD2-3C733DAB1564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3" xfId="3670" xr:uid="{42D94F41-20DA-4CF7-92DB-85197F0B8661}"/>
    <cellStyle name="Calculation 5 4" xfId="3603" xr:uid="{9A06A685-528B-4267-AC6F-5615A807F909}"/>
    <cellStyle name="Calculation 5 5" xfId="4662" xr:uid="{7C677523-EA91-4210-854D-F27884DC43FB}"/>
    <cellStyle name="Calculation 5 6" xfId="4600" xr:uid="{34FBFE04-56C7-4754-9BBA-CA1CC201FC3E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3" xfId="3669" xr:uid="{BF3E1D3E-2AE4-4054-BB93-CAA66C993C5B}"/>
    <cellStyle name="Calculation 6 4" xfId="3604" xr:uid="{7F337BCC-54FC-4C80-BBF0-FD9533CF61EE}"/>
    <cellStyle name="Calculation 6 5" xfId="4661" xr:uid="{2AFE7CA5-2E58-4D5E-A4B8-7A5EC0CC93CD}"/>
    <cellStyle name="Calculation 6 6" xfId="4601" xr:uid="{3CE81C25-A3C1-4C9C-B953-E1A87792543B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3" xfId="3668" xr:uid="{C97DD6BA-705C-48D9-8EEF-EDD3731712CD}"/>
    <cellStyle name="Calculation 7 4" xfId="3605" xr:uid="{1503EC32-E1F2-4C0B-AA36-0DBB83DC29E3}"/>
    <cellStyle name="Calculation 7 5" xfId="4660" xr:uid="{B62B7227-316A-482B-87C3-83F74B224448}"/>
    <cellStyle name="Calculation 7 6" xfId="4602" xr:uid="{AE400D2E-BA1D-4E3C-AEE0-2FDE5D4B0495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3" xfId="3667" xr:uid="{0926AF0E-11A0-4E04-BAA4-9550DDF02D6A}"/>
    <cellStyle name="Calculation 8 4" xfId="3606" xr:uid="{C5DDA028-9262-402D-86D5-CCB9A838208A}"/>
    <cellStyle name="Calculation 8 5" xfId="4659" xr:uid="{FB270F1E-B225-414D-B632-9A6A378BDD44}"/>
    <cellStyle name="Calculation 8 6" xfId="4603" xr:uid="{CCFBC46F-652A-40D4-9A26-81F2EE839BCC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3" xfId="3666" xr:uid="{97810E95-0FDD-4506-8D83-5627D31ED025}"/>
    <cellStyle name="Calculation 9 4" xfId="3607" xr:uid="{D2758DFD-0E23-4403-9E33-3A55A33AD304}"/>
    <cellStyle name="Calculation 9 5" xfId="4658" xr:uid="{EB308B4C-78C9-46D9-AB86-A2E47B464F8E}"/>
    <cellStyle name="Calculation 9 6" xfId="4604" xr:uid="{9DBB66EF-D14A-4D3F-A7A3-545CA43C3E0C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629" xr:uid="{B4D91E96-DEB0-4B14-B6D3-81F02EA8CA66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633" xr:uid="{25107A64-4813-4EDC-83C7-88B5B79A6E71}"/>
    <cellStyle name="Draw lines around data in range 6" xfId="4634" xr:uid="{320AA9FB-92E0-44EC-A362-33F915E24849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632" xr:uid="{0D379BF7-4A77-4BBF-9B39-F315AE368989}"/>
    <cellStyle name="Draw shadow and lines within range 6" xfId="4635" xr:uid="{0AC5E47A-CB86-4DEF-BF86-939D4359E05D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3" xfId="3634" xr:uid="{59883E9C-A3BA-4332-BC55-2415578A1943}"/>
    <cellStyle name="Format a row of totals 4" xfId="3641" xr:uid="{5904F3BF-F20E-4331-BBAA-43B4C949CA60}"/>
    <cellStyle name="Format a row of totals 5" xfId="4631" xr:uid="{E956C282-D2D2-4A84-B7AC-D5CBC0E469F8}"/>
    <cellStyle name="Format a row of totals 6" xfId="4636" xr:uid="{124F5444-5328-49D1-B92A-C6C676E16E2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630" xr:uid="{1AC0C506-B8C4-478F-908B-8FBD8B8E0558}"/>
    <cellStyle name="Format text as bold, black on yellow 6" xfId="4637" xr:uid="{D69592B4-C025-47F4-9994-55DE6B69DCAE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3" xfId="3631" xr:uid="{9E15F01B-623A-410B-90FD-FF76974ADC1C}"/>
    <cellStyle name="Input 10 4" xfId="3643" xr:uid="{185635B6-BA8F-454D-BD36-0059101CE4A3}"/>
    <cellStyle name="Input 10 5" xfId="4628" xr:uid="{B961123A-85A9-4C38-8822-A0578000D7CC}"/>
    <cellStyle name="Input 10 6" xfId="4417" xr:uid="{26DFED08-1945-45CC-B102-1892D9D903EF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3" xfId="3630" xr:uid="{FDB4B1F3-3A6A-4DB3-B956-7837CDC781EB}"/>
    <cellStyle name="Input 11 4" xfId="3644" xr:uid="{64BC5015-6597-4D79-B5FB-D3400530AD8A}"/>
    <cellStyle name="Input 11 5" xfId="4627" xr:uid="{85B0D190-85D8-4B7E-917F-2CF5ED295BC4}"/>
    <cellStyle name="Input 11 6" xfId="4418" xr:uid="{43079734-BC64-4BA3-8CF8-29CFEF6523DA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3" xfId="3629" xr:uid="{B151740C-786A-4C5A-B664-8ACA03067F61}"/>
    <cellStyle name="Input 12 4" xfId="3403" xr:uid="{D8E4C416-0E41-4561-8E98-3A51A80C1BAD}"/>
    <cellStyle name="Input 12 5" xfId="4626" xr:uid="{3CA852C0-DCCD-4FDC-8596-E8BC70E9BA44}"/>
    <cellStyle name="Input 12 6" xfId="4422" xr:uid="{628F326E-8EEA-495B-AB9B-DEB7672A9515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3" xfId="3628" xr:uid="{9C90BD0C-C16C-442E-A10A-E27747DC2FAF}"/>
    <cellStyle name="Input 13 4" xfId="3645" xr:uid="{604D21ED-C645-4AFB-AD3A-F60304F3827E}"/>
    <cellStyle name="Input 13 5" xfId="4625" xr:uid="{ECC43E53-387E-4681-A573-87DF83AC8346}"/>
    <cellStyle name="Input 13 6" xfId="4638" xr:uid="{218F6811-0B0E-4A33-9507-E086F2E41023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3" xfId="3627" xr:uid="{91DABBD7-5B2A-4B01-B035-74FCC1D9AED7}"/>
    <cellStyle name="Input 14 4" xfId="3646" xr:uid="{840A6920-97CA-4005-8972-B86A33A727E0}"/>
    <cellStyle name="Input 14 5" xfId="4624" xr:uid="{C4B1C610-5A4E-45A9-9731-4F049AEFA61C}"/>
    <cellStyle name="Input 14 6" xfId="4639" xr:uid="{69C72407-8E31-441A-A25E-1BF7A9AC6400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3" xfId="3626" xr:uid="{CD34BDA4-F48B-4399-B781-4CB144500259}"/>
    <cellStyle name="Input 15 4" xfId="3647" xr:uid="{2EE379DB-E30A-4361-B66B-94655DFA0A1A}"/>
    <cellStyle name="Input 15 5" xfId="4623" xr:uid="{C112EFB1-132D-4502-B3C3-6E441275EAA7}"/>
    <cellStyle name="Input 15 6" xfId="4419" xr:uid="{207D1499-ADD0-461F-8BCF-FBF95C0D0B10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3" xfId="3625" xr:uid="{0D7A49DD-9A91-4C6A-B1C9-1FA366FB0CFE}"/>
    <cellStyle name="Input 16 4" xfId="3648" xr:uid="{05C94ECF-3627-4B9C-BE40-9163E6AA4224}"/>
    <cellStyle name="Input 16 5" xfId="4622" xr:uid="{2F58387C-3BF7-45D3-AEF6-E117E1C452A2}"/>
    <cellStyle name="Input 16 6" xfId="4640" xr:uid="{AAE7EA8D-CCAA-4A8F-973B-D2D1A0779BEC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3" xfId="3624" xr:uid="{34EB2CD2-198F-4EA0-B8C1-9B509200BC8D}"/>
    <cellStyle name="Input 17 4" xfId="3649" xr:uid="{8C6BB267-608D-4B53-B279-10B3DB2C6F12}"/>
    <cellStyle name="Input 17 5" xfId="4621" xr:uid="{EA96C6E4-61D9-4AB1-A6F2-44A3033CA512}"/>
    <cellStyle name="Input 17 6" xfId="4641" xr:uid="{444D06D5-ED05-445A-81E8-A64DB1A571D3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3" xfId="3623" xr:uid="{0C2D6B64-B18B-499C-A093-5D1B0BBD630B}"/>
    <cellStyle name="Input 18 4" xfId="3650" xr:uid="{D44CE9DC-8AFF-40AD-9976-F673282A90C3}"/>
    <cellStyle name="Input 18 5" xfId="4620" xr:uid="{86EF264F-87D5-4CCA-8178-68CE6AB1659F}"/>
    <cellStyle name="Input 18 6" xfId="4642" xr:uid="{B70E6326-553D-46B2-8615-3BA4A63A783A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3" xfId="3622" xr:uid="{08AA1154-D682-4668-B4AC-D9CD0C994BDD}"/>
    <cellStyle name="Input 19 4" xfId="3651" xr:uid="{9338EA3E-C701-4ABD-B890-FEC58562C4FF}"/>
    <cellStyle name="Input 19 5" xfId="4619" xr:uid="{E22DA846-3D35-491C-A95B-66A93422354D}"/>
    <cellStyle name="Input 19 6" xfId="4643" xr:uid="{D354B716-9060-4AB0-A6E6-9C82301101E4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3" xfId="3620" xr:uid="{69741AAF-C562-47D2-B8E5-F79F5ECD709F}"/>
    <cellStyle name="Input 2 2 4" xfId="3653" xr:uid="{A732DDBC-11CC-4CC0-9D82-03359556332C}"/>
    <cellStyle name="Input 2 2 5" xfId="4617" xr:uid="{C0123AFE-F1E3-43B1-948D-51D0D35E4859}"/>
    <cellStyle name="Input 2 2 6" xfId="4645" xr:uid="{2A237E11-D978-4594-8FE2-8B9E3408DCEC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3" xfId="3619" xr:uid="{A166ECD6-0DDA-46A6-B4BE-3E7DC68008F6}"/>
    <cellStyle name="Input 2 3 4" xfId="3654" xr:uid="{16663D59-111F-47A4-B1EE-8C1E0F2CD8C9}"/>
    <cellStyle name="Input 2 3 5" xfId="4616" xr:uid="{DAE44327-ED5E-4336-BDEB-F89014A071B6}"/>
    <cellStyle name="Input 2 3 6" xfId="4646" xr:uid="{A24E337D-33F0-4EA8-A4C9-74943E04C3F1}"/>
    <cellStyle name="Input 2 4" xfId="1373" xr:uid="{00000000-0005-0000-0000-00005D050000}"/>
    <cellStyle name="Input 2 4 2" xfId="4170" xr:uid="{E3D35EEE-7F46-4CFD-9F62-016FCF66FA19}"/>
    <cellStyle name="Input 2 5" xfId="3621" xr:uid="{C6A34531-B4ED-41CD-96EE-6A20DDEE49C4}"/>
    <cellStyle name="Input 2 6" xfId="3652" xr:uid="{A309B868-13F4-4902-9A64-DDB13455D57B}"/>
    <cellStyle name="Input 2 7" xfId="4618" xr:uid="{7E8DD1E5-117E-4304-88E8-2DC01D07CBED}"/>
    <cellStyle name="Input 2 8" xfId="4644" xr:uid="{160260D8-EC91-42B8-8512-DB8E778FB1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3" xfId="3618" xr:uid="{6CAFABA3-81EF-4481-B797-652F5DB53334}"/>
    <cellStyle name="Input 20 4" xfId="3655" xr:uid="{FA442496-58F9-424C-AFE5-2EE253AB8104}"/>
    <cellStyle name="Input 20 5" xfId="4615" xr:uid="{749326D9-F178-444C-AA23-E6F2217C46D3}"/>
    <cellStyle name="Input 20 6" xfId="4647" xr:uid="{21457035-35F3-43E1-BEB4-895E994D53A5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3" xfId="3617" xr:uid="{5ADBAC3D-4DE9-48D0-A8EC-578CFD49037E}"/>
    <cellStyle name="Input 21 4" xfId="3656" xr:uid="{617B4D88-F26B-44E4-A44C-24E0F85E51C5}"/>
    <cellStyle name="Input 21 5" xfId="4614" xr:uid="{4804BEE6-6E45-4078-A256-3EDC38A96D18}"/>
    <cellStyle name="Input 21 6" xfId="4648" xr:uid="{3D737897-A298-4AF5-94DC-C621531F393F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711" xr:uid="{C271F18A-CAE4-44EB-A1B4-89068A22BAA2}"/>
    <cellStyle name="Input 29" xfId="4401" xr:uid="{F9D244C9-02A1-4EEA-B140-25FF55B0DF2A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3" xfId="3615" xr:uid="{88B86E0E-290A-49B2-A8F3-0504D28F2927}"/>
    <cellStyle name="Input 3 2 4" xfId="3658" xr:uid="{CDA5ADFA-114F-44B8-BDCE-88D37E2B561B}"/>
    <cellStyle name="Input 3 2 5" xfId="4612" xr:uid="{908762AC-5E6C-4F22-B065-86AF5FB2C243}"/>
    <cellStyle name="Input 3 2 6" xfId="4650" xr:uid="{8C6E91D9-EB59-438E-B903-9A81C632AF24}"/>
    <cellStyle name="Input 3 3" xfId="1381" xr:uid="{00000000-0005-0000-0000-000065050000}"/>
    <cellStyle name="Input 3 3 2" xfId="4174" xr:uid="{F9647545-2E26-4846-AABB-DF051F872212}"/>
    <cellStyle name="Input 3 4" xfId="3616" xr:uid="{3A0EE516-E0DF-4BD7-B8B6-D66792CFFB83}"/>
    <cellStyle name="Input 3 5" xfId="3657" xr:uid="{9592CC59-6A1B-4BD8-8E25-1B0B77FD038C}"/>
    <cellStyle name="Input 3 6" xfId="4613" xr:uid="{5A6DC1FA-595F-48D9-9243-6548E0DB5092}"/>
    <cellStyle name="Input 3 7" xfId="4649" xr:uid="{899A169E-A252-4DB6-A6AF-EFECDE133D5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3" xfId="3613" xr:uid="{5A377356-3073-4FF4-B377-B8C51B42E942}"/>
    <cellStyle name="Input 4 2 4" xfId="3660" xr:uid="{DC9E134D-C267-4C51-A85B-5E17CEE3B52B}"/>
    <cellStyle name="Input 4 2 5" xfId="4610" xr:uid="{2B57AD74-E3BE-421B-A0A7-D3D407C19F33}"/>
    <cellStyle name="Input 4 2 6" xfId="4652" xr:uid="{610E0ADE-F094-4731-8644-C107C1102949}"/>
    <cellStyle name="Input 4 3" xfId="1385" xr:uid="{00000000-0005-0000-0000-000069050000}"/>
    <cellStyle name="Input 4 3 2" xfId="4176" xr:uid="{B6522B9F-EB12-4EF9-A7D9-390BE1DEDF3A}"/>
    <cellStyle name="Input 4 4" xfId="3614" xr:uid="{24169DD6-5894-4CC1-BE69-B61D52C83021}"/>
    <cellStyle name="Input 4 5" xfId="3659" xr:uid="{A784B56B-7650-4648-8534-2B9F5AE0EF60}"/>
    <cellStyle name="Input 4 6" xfId="4611" xr:uid="{3BB4FA78-5D86-4523-AB76-FD4C3FEC57B0}"/>
    <cellStyle name="Input 4 7" xfId="4651" xr:uid="{97BCA646-8BF3-4338-AD46-C473019B93EA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3" xfId="3612" xr:uid="{C0ECC8AF-F35F-4F2D-B8A4-7691F494F593}"/>
    <cellStyle name="Input 5 4" xfId="3661" xr:uid="{6528565D-F371-455F-898D-E0E31FE4D139}"/>
    <cellStyle name="Input 5 5" xfId="4609" xr:uid="{9BA08950-5CD9-4700-8ED1-55A3B2A0194A}"/>
    <cellStyle name="Input 5 6" xfId="4653" xr:uid="{69FBC9B2-1174-49EF-BCC1-9248EEEA300F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3" xfId="3611" xr:uid="{9B066DE3-4BA7-4F33-AC55-FB940D486AB3}"/>
    <cellStyle name="Input 6 4" xfId="3662" xr:uid="{92DABE5F-97E3-41FF-8798-5FC5D1D6DF4B}"/>
    <cellStyle name="Input 6 5" xfId="4608" xr:uid="{4297AFE4-5CF4-4D7E-B261-2434ACD3F3F9}"/>
    <cellStyle name="Input 6 6" xfId="4654" xr:uid="{224C170A-976D-46C1-9A60-C1D729AE6A3F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3" xfId="3610" xr:uid="{84E4764C-9C48-47C0-9995-1FF14785D200}"/>
    <cellStyle name="Input 7 4" xfId="3663" xr:uid="{3AED04F1-6CA4-47A0-A73A-90F854D5EFBF}"/>
    <cellStyle name="Input 7 5" xfId="4607" xr:uid="{FC87BD4C-6D51-4E2E-B41E-F37F44240F6E}"/>
    <cellStyle name="Input 7 6" xfId="4655" xr:uid="{6634808E-05D0-49DE-94D7-C76492FD216B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3" xfId="3609" xr:uid="{90AF3169-BA5D-4DA7-9BC5-F037E84A7E49}"/>
    <cellStyle name="Input 8 4" xfId="3664" xr:uid="{749988D3-251A-4C1B-9A49-C37648722EAE}"/>
    <cellStyle name="Input 8 5" xfId="4606" xr:uid="{95742EE4-10D1-4429-8EDE-5B5E17344102}"/>
    <cellStyle name="Input 8 6" xfId="4656" xr:uid="{20FCC420-9271-4BE4-AC19-3FAC1DBD9A21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3" xfId="3608" xr:uid="{8CB7C364-2960-4899-848A-F0F15EF3B567}"/>
    <cellStyle name="Input 9 4" xfId="3665" xr:uid="{BCD3A065-913D-431C-ADBA-0BB602279C4B}"/>
    <cellStyle name="Input 9 5" xfId="4605" xr:uid="{D53FB81D-D304-49CA-A32C-53C1EEF6FA71}"/>
    <cellStyle name="Input 9 6" xfId="4657" xr:uid="{9348F0F2-CDAD-406D-8B0C-7FA4C4FD796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3" xfId="4182" xr:uid="{3CC2BC0D-C486-42BA-B7F5-354B5936946A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3" xfId="4184" xr:uid="{EB668996-7777-4974-83AE-00F74C641A87}"/>
    <cellStyle name="Normal 135" xfId="1536" xr:uid="{00000000-0005-0000-0000-000001060000}"/>
    <cellStyle name="Normal 135 2" xfId="4186" xr:uid="{1D3C6348-7925-4E07-8779-4108399AF423}"/>
    <cellStyle name="Normal 136" xfId="1537" xr:uid="{00000000-0005-0000-0000-000002060000}"/>
    <cellStyle name="Normal 136 2" xfId="4187" xr:uid="{CC16C93C-2663-43B7-AA81-4F5C06CC4D53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3" xfId="4189" xr:uid="{0557A355-FE71-48BE-8A52-773C0EE05A5E}"/>
    <cellStyle name="Normal 137 3" xfId="2670" xr:uid="{DE2FAB10-EC26-4C42-9A25-5D9F87A07F8A}"/>
    <cellStyle name="Normal 137 4" xfId="4188" xr:uid="{80344B34-BD7F-4A40-B8F0-FB7C336A988D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3" xfId="4191" xr:uid="{7483AA81-4B29-4340-A0A1-E2651EF652A4}"/>
    <cellStyle name="Normal 2 5 3" xfId="1754" xr:uid="{00000000-0005-0000-0000-0000DB060000}"/>
    <cellStyle name="Normal 2 5 3 2" xfId="4193" xr:uid="{1CE67BCA-536C-47FA-BD4B-0C4A2C506E6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23" xr:uid="{33D60101-1F56-41A1-8760-FBDF757FC752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21" xr:uid="{A63B3F68-8A6F-4277-AACC-F48E75371D59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75" xr:uid="{984F1F66-2C8F-449A-82A7-894EF59A242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6" xr:uid="{4835A9ED-F72E-48E9-845C-7E7E6E241836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3" xfId="3568" xr:uid="{F4DC7545-2D0B-4172-A83F-68B4145E4283}"/>
    <cellStyle name="Note 10 2 4" xfId="3686" xr:uid="{883B94DA-CCD6-467F-A2F5-24CFE9B9983B}"/>
    <cellStyle name="Note 10 2 5" xfId="4416" xr:uid="{66D1FCAA-CCDB-41B6-B720-264C8EF4BA37}"/>
    <cellStyle name="Note 10 2 6" xfId="4678" xr:uid="{F771D900-E8C8-4D57-AF71-3BCF08520651}"/>
    <cellStyle name="Note 10 3" xfId="2095" xr:uid="{00000000-0005-0000-0000-000030080000}"/>
    <cellStyle name="Note 10 3 2" xfId="4202" xr:uid="{BB6C598A-C5A0-4842-9849-4F18EB2CAF94}"/>
    <cellStyle name="Note 10 4" xfId="3569" xr:uid="{B439B9D0-F086-4B53-91B8-11A5FC5F90FF}"/>
    <cellStyle name="Note 10 5" xfId="3685" xr:uid="{6293D730-4D22-49CC-BB57-F88E7FA179DE}"/>
    <cellStyle name="Note 10 6" xfId="4587" xr:uid="{FBDCCAAE-F796-4EC3-BBC6-D337D0C03430}"/>
    <cellStyle name="Note 10 7" xfId="4677" xr:uid="{39917007-273D-4851-91C5-53539BCB2331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3" xfId="3566" xr:uid="{205537AD-27B3-484A-A046-DAA93A7CF763}"/>
    <cellStyle name="Note 11 2 4" xfId="3688" xr:uid="{4833ED3F-0E1B-4AEB-A5DF-FC4412C1EB10}"/>
    <cellStyle name="Note 11 2 5" xfId="4585" xr:uid="{4CC5BA2B-C001-4DBD-B743-841586026069}"/>
    <cellStyle name="Note 11 2 6" xfId="4680" xr:uid="{F54A9BD1-41F4-474D-9D24-AFA8F695B04C}"/>
    <cellStyle name="Note 11 3" xfId="2100" xr:uid="{00000000-0005-0000-0000-000035080000}"/>
    <cellStyle name="Note 11 3 2" xfId="4204" xr:uid="{375D8658-2A86-4325-A911-F0F5BBE50C7B}"/>
    <cellStyle name="Note 11 4" xfId="3567" xr:uid="{6EC65E93-1522-4D17-A0BE-8C74BA668353}"/>
    <cellStyle name="Note 11 5" xfId="3687" xr:uid="{0832E0D7-7CAD-4B0F-90DF-A0D7306941D7}"/>
    <cellStyle name="Note 11 6" xfId="4586" xr:uid="{C8EECC3F-0918-4F92-AA5B-653E801FA650}"/>
    <cellStyle name="Note 11 7" xfId="4679" xr:uid="{29D504DE-4713-4E93-9D3F-C84E72CA1912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3" xfId="3564" xr:uid="{C2E4B143-D2DB-43DB-AD30-3BF1A160D0B8}"/>
    <cellStyle name="Note 12 2 4" xfId="3690" xr:uid="{7F821820-206D-4443-96F3-FDA9A59379E6}"/>
    <cellStyle name="Note 12 2 5" xfId="4583" xr:uid="{B7C5CD42-A354-4B69-BD90-96BD0240A7F7}"/>
    <cellStyle name="Note 12 2 6" xfId="4682" xr:uid="{55485CE5-F8C0-4DF0-981E-FCE45B1AB9CC}"/>
    <cellStyle name="Note 12 3" xfId="2105" xr:uid="{00000000-0005-0000-0000-00003A080000}"/>
    <cellStyle name="Note 12 3 2" xfId="4206" xr:uid="{4FCF11F5-C6E2-445B-AEA4-C7147B878D67}"/>
    <cellStyle name="Note 12 4" xfId="3565" xr:uid="{54D1241D-4B9E-43E4-B705-DED4A75B40A9}"/>
    <cellStyle name="Note 12 5" xfId="3689" xr:uid="{20710B06-7FE9-4204-B70D-C518434FACCD}"/>
    <cellStyle name="Note 12 6" xfId="4584" xr:uid="{5DE71136-716F-47A4-B413-4078EACC3D03}"/>
    <cellStyle name="Note 12 7" xfId="4681" xr:uid="{A03F2BC6-6E71-462D-9908-B17E35DB5A5C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3" xfId="3562" xr:uid="{6B7EC394-05B1-4CF9-BB00-1B2249B65C05}"/>
    <cellStyle name="Note 13 2 4" xfId="3718" xr:uid="{6E07A05C-E655-4DA1-B9DE-51AB15309B02}"/>
    <cellStyle name="Note 13 2 5" xfId="4581" xr:uid="{CCAB528F-182E-4667-A9A2-FA08E355E6DF}"/>
    <cellStyle name="Note 13 2 6" xfId="4684" xr:uid="{C33AE219-43A5-4372-95BE-1A56A6AF445F}"/>
    <cellStyle name="Note 13 3" xfId="2110" xr:uid="{00000000-0005-0000-0000-00003F080000}"/>
    <cellStyle name="Note 13 3 2" xfId="4208" xr:uid="{E9E8115D-AB8A-4E55-898A-10BCD331385B}"/>
    <cellStyle name="Note 13 4" xfId="3563" xr:uid="{DEAB9482-F2A6-4667-98AD-D865AC7A7C4A}"/>
    <cellStyle name="Note 13 5" xfId="3691" xr:uid="{79DC5C88-2516-41B6-8BAF-E481DA7D299B}"/>
    <cellStyle name="Note 13 6" xfId="4582" xr:uid="{024ACDD7-7C27-431F-80AA-6A87B18B7AF7}"/>
    <cellStyle name="Note 13 7" xfId="4683" xr:uid="{81936577-052E-48BF-9D04-791A22FFB96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3" xfId="3560" xr:uid="{E9D19252-62D7-4A88-9759-D4CB01E33F55}"/>
    <cellStyle name="Note 14 2 4" xfId="3693" xr:uid="{913FE86A-0461-403F-85F3-61759EF0D4FA}"/>
    <cellStyle name="Note 14 2 5" xfId="4579" xr:uid="{779FE647-072F-488A-9F80-AED5582CEAEA}"/>
    <cellStyle name="Note 14 2 6" xfId="4685" xr:uid="{C7256721-6DFF-47F5-8986-89749DEC7031}"/>
    <cellStyle name="Note 14 3" xfId="2115" xr:uid="{00000000-0005-0000-0000-000044080000}"/>
    <cellStyle name="Note 14 3 2" xfId="4210" xr:uid="{3E257BB3-1D59-4451-98DB-54286E3A95EC}"/>
    <cellStyle name="Note 14 4" xfId="3561" xr:uid="{94C40CC5-C516-4102-B3F6-0B528B912C45}"/>
    <cellStyle name="Note 14 5" xfId="3692" xr:uid="{644D3D78-77FE-45D3-B1B2-EFB80893F6A0}"/>
    <cellStyle name="Note 14 6" xfId="4580" xr:uid="{050D968E-FF8B-461D-AF87-7C2EAA6915F5}"/>
    <cellStyle name="Note 14 7" xfId="4424" xr:uid="{B562F661-34C6-4C76-BFFB-B9E07B42781D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3" xfId="3401" xr:uid="{447E2A41-6D55-47E4-AC0F-15081734DEB9}"/>
    <cellStyle name="Note 15 2 4" xfId="3695" xr:uid="{2E1C3EAF-DB06-455B-908F-9DD84D3675CB}"/>
    <cellStyle name="Note 15 2 5" xfId="4577" xr:uid="{810FCA1B-C94D-4618-A598-D0C8C61C7A98}"/>
    <cellStyle name="Note 15 2 6" xfId="4687" xr:uid="{ED26B332-8895-4F52-BB02-56DD7F8845A7}"/>
    <cellStyle name="Note 15 3" xfId="2120" xr:uid="{00000000-0005-0000-0000-000049080000}"/>
    <cellStyle name="Note 15 3 2" xfId="4212" xr:uid="{5558113D-A2A5-47E7-A070-7F009B62CE88}"/>
    <cellStyle name="Note 15 4" xfId="3559" xr:uid="{4F2BF2D7-D209-4E6A-8177-198508ED28F3}"/>
    <cellStyle name="Note 15 5" xfId="3694" xr:uid="{7A902CF9-2214-4517-BAED-BA31A4621FDA}"/>
    <cellStyle name="Note 15 6" xfId="4578" xr:uid="{0E7E8752-BC94-4E67-AA2B-DABB5B2037A4}"/>
    <cellStyle name="Note 15 7" xfId="4686" xr:uid="{A887D95D-CA90-4270-BB5D-6A98D765EFC4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3" xfId="3557" xr:uid="{00555360-C7B7-4F2B-8FDB-216071916004}"/>
    <cellStyle name="Note 16 2 4" xfId="3697" xr:uid="{1089D358-C93D-4D17-8D7B-1B44BB8C5277}"/>
    <cellStyle name="Note 16 2 5" xfId="4415" xr:uid="{F750A19E-5815-4825-AEF4-65C7C6F6B84B}"/>
    <cellStyle name="Note 16 2 6" xfId="4689" xr:uid="{EFA8C7EC-CCFF-403E-B9DA-115871824352}"/>
    <cellStyle name="Note 16 3" xfId="2125" xr:uid="{00000000-0005-0000-0000-00004E080000}"/>
    <cellStyle name="Note 16 3 2" xfId="4214" xr:uid="{F2ADE3C5-F46A-4DA1-82F8-BF93C4ACAEB9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576" xr:uid="{3DC709BD-7889-4AEC-8396-587A65060A41}"/>
    <cellStyle name="Note 16 8" xfId="4688" xr:uid="{DB385B02-9035-4712-A1EB-56813F32C339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3" xfId="3555" xr:uid="{45B1441D-AE6D-46C5-AEC2-85594A12D1EB}"/>
    <cellStyle name="Note 17 2 4" xfId="3699" xr:uid="{26C49427-3E30-4F16-8A5E-92413AC99FBD}"/>
    <cellStyle name="Note 17 2 5" xfId="4574" xr:uid="{0B4EA8F9-5105-49A8-8840-CEFF9BAAFB6D}"/>
    <cellStyle name="Note 17 2 6" xfId="4691" xr:uid="{E0BA50B8-D3CD-4BAE-930A-FE5D055425A8}"/>
    <cellStyle name="Note 17 3" xfId="2130" xr:uid="{00000000-0005-0000-0000-000053080000}"/>
    <cellStyle name="Note 17 3 2" xfId="4216" xr:uid="{8A9752AD-F527-462C-84EF-40B9E0AFA12D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575" xr:uid="{F8C4436E-1BED-4693-A93A-DF15EAD4A154}"/>
    <cellStyle name="Note 17 8" xfId="4690" xr:uid="{9F41F2FA-5062-400B-9BB8-DF60964B72ED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3" xfId="3553" xr:uid="{F03978FA-E04F-4277-95E6-FAD1D49926EA}"/>
    <cellStyle name="Note 18 2 4" xfId="3701" xr:uid="{3DEB7904-A9E8-4143-A7CB-224D7C13D7B7}"/>
    <cellStyle name="Note 18 2 5" xfId="4572" xr:uid="{4DD475B6-81BA-483A-B8EF-2D0296502D9C}"/>
    <cellStyle name="Note 18 2 6" xfId="4693" xr:uid="{235FCFDB-7845-4C9C-96CD-8AECBBE10D55}"/>
    <cellStyle name="Note 18 3" xfId="2135" xr:uid="{00000000-0005-0000-0000-000058080000}"/>
    <cellStyle name="Note 18 3 2" xfId="4218" xr:uid="{90B64A7F-2EE5-46FD-8C3C-7824034AA583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573" xr:uid="{9D14D0D1-DD7C-404D-9CFB-91F7F7A89FD2}"/>
    <cellStyle name="Note 18 8" xfId="4692" xr:uid="{9AD5AFE3-6CB3-4FE2-9E46-5BF2EA7A40F4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3" xfId="3551" xr:uid="{C96B48D4-B188-4884-96F9-E2D0CACA5517}"/>
    <cellStyle name="Note 19 2 4" xfId="3719" xr:uid="{E75B1DB0-0CA9-4661-A19A-010B48AA39CC}"/>
    <cellStyle name="Note 19 2 5" xfId="4570" xr:uid="{FED09E2B-63A4-4B34-9735-A36A2B1786E1}"/>
    <cellStyle name="Note 19 2 6" xfId="4695" xr:uid="{6EF5CAB1-176A-42AF-A5BD-EA98FD9FB219}"/>
    <cellStyle name="Note 19 3" xfId="2140" xr:uid="{00000000-0005-0000-0000-00005D080000}"/>
    <cellStyle name="Note 19 3 2" xfId="4220" xr:uid="{54453589-ACBD-4C08-A31D-75F0330236F6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571" xr:uid="{3BF67C9C-8798-4BB1-BFDB-1BA7FFB35DD1}"/>
    <cellStyle name="Note 19 8" xfId="4694" xr:uid="{7C1E7E8C-B114-4334-8BF8-36A09A2F11F3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3" xfId="3549" xr:uid="{4C5C129E-6515-4E3E-BA25-EE6FC155D27F}"/>
    <cellStyle name="Note 2 2 4" xfId="3704" xr:uid="{622DD6A0-44B6-43A0-AE22-841D7BB90D71}"/>
    <cellStyle name="Note 2 2 5" xfId="4568" xr:uid="{69B11FEA-3E87-4354-AD7A-82A3D7F75D1B}"/>
    <cellStyle name="Note 2 2 6" xfId="4697" xr:uid="{35400A06-262E-4F0C-9732-3AC578053EE7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3" xfId="3548" xr:uid="{8B3106CF-C714-414A-921D-022027D197E0}"/>
    <cellStyle name="Note 2 3 4" xfId="3705" xr:uid="{E4917F34-FFD0-47DE-BFE0-7FCD8BBE59C2}"/>
    <cellStyle name="Note 2 3 5" xfId="4567" xr:uid="{5219BBAD-C7A2-4BD9-947C-C21D44983EAC}"/>
    <cellStyle name="Note 2 3 6" xfId="4698" xr:uid="{17A98454-2C9C-4DC0-A5C1-3F3A942F0BFE}"/>
    <cellStyle name="Note 2 4" xfId="2147" xr:uid="{00000000-0005-0000-0000-000064080000}"/>
    <cellStyle name="Note 2 4 2" xfId="4223" xr:uid="{CF993074-28D4-4EFA-8B29-D8B4566879E8}"/>
    <cellStyle name="Note 2 5" xfId="3550" xr:uid="{6CB81A76-ED24-4ED7-AF59-789FF31C7B8C}"/>
    <cellStyle name="Note 2 6" xfId="3703" xr:uid="{BE8C92E8-DF4D-4D27-9C15-4DB8A578E71D}"/>
    <cellStyle name="Note 2 7" xfId="4569" xr:uid="{945FB499-0397-4AD5-8147-B0747D57A476}"/>
    <cellStyle name="Note 2 8" xfId="4696" xr:uid="{6D3EAFD0-15CD-42C2-949D-33C8E2D626C4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3" xfId="3547" xr:uid="{930B3C45-3A81-41A1-B8A5-73EEBA6EC07F}"/>
    <cellStyle name="Note 20 2 4" xfId="3721" xr:uid="{70C3C946-639A-4258-9087-BA63F1E17274}"/>
    <cellStyle name="Note 20 2 5" xfId="4565" xr:uid="{95C6920D-DDD4-47AC-AB35-557BBAD06E03}"/>
    <cellStyle name="Note 20 2 6" xfId="4700" xr:uid="{01585FDA-884B-44E8-A69B-589A1AE40737}"/>
    <cellStyle name="Note 20 3" xfId="2152" xr:uid="{00000000-0005-0000-0000-000069080000}"/>
    <cellStyle name="Note 20 3 2" xfId="4225" xr:uid="{55A64992-24DB-4154-8716-DCA37E939110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566" xr:uid="{DDCBED08-7F9E-4E8B-A508-E4792B0C5372}"/>
    <cellStyle name="Note 20 8" xfId="4699" xr:uid="{E96F4589-F529-4A17-9122-AE620DF0C667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3" xfId="3545" xr:uid="{8D750221-DD71-476A-8DCA-C80DBE0AB000}"/>
    <cellStyle name="Note 21 2 4" xfId="3708" xr:uid="{28794C6B-8DA4-4A24-A3B9-8784156A8684}"/>
    <cellStyle name="Note 21 2 5" xfId="4564" xr:uid="{9ABD870F-D24F-4B57-A23C-841B72CEBF8E}"/>
    <cellStyle name="Note 21 2 6" xfId="4714" xr:uid="{1080D538-61D8-4841-9599-9049A36B213E}"/>
    <cellStyle name="Note 21 3" xfId="2157" xr:uid="{00000000-0005-0000-0000-00006E080000}"/>
    <cellStyle name="Note 21 3 2" xfId="4227" xr:uid="{1695CEED-7A67-4CBD-8172-F3416C52D9E4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414" xr:uid="{8D7E8A62-87EB-44B9-B2DC-FF2E877FDA2C}"/>
    <cellStyle name="Note 21 8" xfId="4701" xr:uid="{A68FAC56-0B13-43E1-84CF-E2207C117662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3" xfId="3543" xr:uid="{F4122DED-C15E-433F-8235-0605043DA0A5}"/>
    <cellStyle name="Note 22 2 4" xfId="3710" xr:uid="{C03BD515-6290-4DE6-A29F-B927056F3845}"/>
    <cellStyle name="Note 22 2 5" xfId="4562" xr:uid="{10CFBF91-0D44-47E0-B337-FCA9C11F509D}"/>
    <cellStyle name="Note 22 2 6" xfId="4703" xr:uid="{957649EE-6C54-4C02-AB79-A52094C6C403}"/>
    <cellStyle name="Note 22 3" xfId="2162" xr:uid="{00000000-0005-0000-0000-000073080000}"/>
    <cellStyle name="Note 22 3 2" xfId="4229" xr:uid="{586A5625-5431-4667-A4E8-AE0306045E73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563" xr:uid="{6AAC309B-D011-4675-AD15-9FD0996DF789}"/>
    <cellStyle name="Note 22 8" xfId="4702" xr:uid="{47CFB7C0-53C3-4A53-8517-1C6439C8C10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3" xfId="3541" xr:uid="{C07071DF-20A7-4DAC-BAC2-D5F383FE4C26}"/>
    <cellStyle name="Note 23 2 4" xfId="3712" xr:uid="{0BC56C7D-0C8B-4EE5-AEA3-EBD910803355}"/>
    <cellStyle name="Note 23 2 5" xfId="4560" xr:uid="{F79DACC2-F50C-445A-8B18-23F52A627776}"/>
    <cellStyle name="Note 23 2 6" xfId="4705" xr:uid="{C128CEA5-25BA-461E-ADE2-2F249280ADC6}"/>
    <cellStyle name="Note 23 3" xfId="2167" xr:uid="{00000000-0005-0000-0000-000078080000}"/>
    <cellStyle name="Note 23 3 2" xfId="4231" xr:uid="{433AF0D3-E22D-4AF4-8457-C5F08AD45A14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561" xr:uid="{3A239470-9E55-4902-BB35-157C2ABA5261}"/>
    <cellStyle name="Note 23 8" xfId="4704" xr:uid="{D88FFE4E-1928-4A6E-A889-46AE5DC9B6E4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3" xfId="3539" xr:uid="{751B2724-C6F2-4E10-A967-21E90778C690}"/>
    <cellStyle name="Note 24 2 4" xfId="3713" xr:uid="{54E7B742-676B-4F32-9572-1FAD2580515C}"/>
    <cellStyle name="Note 24 2 5" xfId="4558" xr:uid="{50065D44-A3AE-4CF8-8748-72225E678415}"/>
    <cellStyle name="Note 24 2 6" xfId="4713" xr:uid="{0B894548-E986-4C78-A37D-EEF587CB3B87}"/>
    <cellStyle name="Note 24 3" xfId="2172" xr:uid="{00000000-0005-0000-0000-00007D080000}"/>
    <cellStyle name="Note 24 3 2" xfId="4233" xr:uid="{7E15C6FA-822D-46DD-85AC-5DDC59AEC434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559" xr:uid="{6F071A1E-3C3B-41A8-9378-816866A19B14}"/>
    <cellStyle name="Note 24 8" xfId="4706" xr:uid="{97ACAB50-2AC4-453F-9327-400A2705FBE2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3" xfId="3537" xr:uid="{B82FEACA-FACC-4EA2-AEA3-71925ED3E03E}"/>
    <cellStyle name="Note 25 2 4" xfId="3742" xr:uid="{2BD86FE1-1D57-4CDA-9D49-41D8E5087A3B}"/>
    <cellStyle name="Note 25 2 5" xfId="4556" xr:uid="{0A6204BF-63E0-452E-AD10-54121E5A3A36}"/>
    <cellStyle name="Note 25 2 6" xfId="4731" xr:uid="{7D618A2C-6DED-45AB-8F0D-1AFE6075A206}"/>
    <cellStyle name="Note 25 3" xfId="2177" xr:uid="{00000000-0005-0000-0000-000082080000}"/>
    <cellStyle name="Note 25 3 2" xfId="4235" xr:uid="{71FE6C71-2557-47A0-9A52-EAECC4684D96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557" xr:uid="{AE1BD25E-5BBB-4072-9643-FEACDA923C03}"/>
    <cellStyle name="Note 25 8" xfId="4730" xr:uid="{1F4C7567-CB47-4D90-9EF2-BD7767BA0BD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3" xfId="3536" xr:uid="{2D1E6C0F-D5B7-420F-AD46-77217C05859B}"/>
    <cellStyle name="Note 26 2 4" xfId="3744" xr:uid="{88E6EB8A-E2C4-4593-8399-44BC4BE46C4B}"/>
    <cellStyle name="Note 26 2 5" xfId="4554" xr:uid="{F044F679-BB90-4CBA-8572-51C323F639FE}"/>
    <cellStyle name="Note 26 2 6" xfId="4733" xr:uid="{EF1F622B-7CC5-470F-855E-025BB20303C8}"/>
    <cellStyle name="Note 26 3" xfId="2182" xr:uid="{00000000-0005-0000-0000-000087080000}"/>
    <cellStyle name="Note 26 3 2" xfId="4237" xr:uid="{BBA52B4C-FDD3-4088-B3BE-17870A775A60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555" xr:uid="{B45FFE17-8EEC-4F87-BFD1-AF7386057B8D}"/>
    <cellStyle name="Note 26 8" xfId="4732" xr:uid="{03F7E127-EBBE-4961-BBE3-40A2AAA93532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3" xfId="3534" xr:uid="{5AC444B5-8157-4CFA-814A-AB0DC5DF1653}"/>
    <cellStyle name="Note 27 2 4" xfId="3746" xr:uid="{D6A73D59-906B-4324-960C-C7FDBA7FFB59}"/>
    <cellStyle name="Note 27 2 5" xfId="4553" xr:uid="{4181A033-B369-422E-94B0-B7A8A2CBAD47}"/>
    <cellStyle name="Note 27 2 6" xfId="4735" xr:uid="{349DA5FA-4A32-4B24-841F-DC1E4E2D521D}"/>
    <cellStyle name="Note 27 3" xfId="2187" xr:uid="{00000000-0005-0000-0000-00008C080000}"/>
    <cellStyle name="Note 27 3 2" xfId="4239" xr:uid="{CD793FF9-0369-4705-BE07-56B8AC4A50BF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413" xr:uid="{34C4D2B1-015E-4EE8-B066-3580E4F2F895}"/>
    <cellStyle name="Note 27 8" xfId="4734" xr:uid="{486300B8-6846-4673-B5A7-AB90551E2F3D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3" xfId="3532" xr:uid="{2C4F44AD-B425-4181-B767-C02C4FBC57BD}"/>
    <cellStyle name="Note 28 2 4" xfId="3748" xr:uid="{EB9D02EE-F031-4000-9657-0DD3D4952E06}"/>
    <cellStyle name="Note 28 2 5" xfId="4551" xr:uid="{AD4984D7-FDB6-4CEE-9D3F-8B10D5C594E6}"/>
    <cellStyle name="Note 28 2 6" xfId="4737" xr:uid="{ABEF796C-4CF8-4542-8C39-4B415C160FE1}"/>
    <cellStyle name="Note 28 3" xfId="2192" xr:uid="{00000000-0005-0000-0000-000091080000}"/>
    <cellStyle name="Note 28 3 2" xfId="4241" xr:uid="{12195C52-9C7C-4203-B1CF-B7EA9CF0A572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552" xr:uid="{F25C93E9-E027-4907-BAD1-A8931509CB7E}"/>
    <cellStyle name="Note 28 8" xfId="4736" xr:uid="{21F6DC33-19CB-4B9B-9FC3-2E3F6DCDDDE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3" xfId="3530" xr:uid="{377B2BED-7111-468A-B6CA-7EE79B391CB4}"/>
    <cellStyle name="Note 29 2 4" xfId="3750" xr:uid="{46F3840F-B656-4617-BC84-A6872CE404D0}"/>
    <cellStyle name="Note 29 2 5" xfId="4549" xr:uid="{6B029E0C-6D96-40D2-A954-8F8E43AF46DF}"/>
    <cellStyle name="Note 29 2 6" xfId="4739" xr:uid="{0E70C769-367F-46CE-BB2C-B940B4475576}"/>
    <cellStyle name="Note 29 3" xfId="2197" xr:uid="{00000000-0005-0000-0000-000096080000}"/>
    <cellStyle name="Note 29 3 2" xfId="4243" xr:uid="{5CD5AEB7-654B-4592-AF90-5E66DEBCCA6A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550" xr:uid="{26C10155-3D54-4ADE-847B-F733A34B60B9}"/>
    <cellStyle name="Note 29 8" xfId="4738" xr:uid="{31E9C34F-4437-4198-8EA9-27E60AE0BD6E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3" xfId="3528" xr:uid="{F87C0EF9-6694-49CD-AFB4-7215E914DA68}"/>
    <cellStyle name="Note 3 2 4" xfId="3752" xr:uid="{3BBBAED1-DCCF-47A6-94C4-91ED39175C7A}"/>
    <cellStyle name="Note 3 2 5" xfId="4547" xr:uid="{9242ECBB-CDB8-459E-AD75-DE3B8E2C1BBE}"/>
    <cellStyle name="Note 3 2 6" xfId="4741" xr:uid="{D32137E6-6564-4D64-9648-2D29EA3B7685}"/>
    <cellStyle name="Note 3 3" xfId="2202" xr:uid="{00000000-0005-0000-0000-00009B080000}"/>
    <cellStyle name="Note 3 3 2" xfId="4245" xr:uid="{33F01C1A-0A4B-4C5F-8519-0DAF82933C24}"/>
    <cellStyle name="Note 3 4" xfId="3529" xr:uid="{9DD402F4-2AC4-413C-A7CA-D26262E3B4C4}"/>
    <cellStyle name="Note 3 5" xfId="3751" xr:uid="{EB4E66E2-8410-4190-8F4B-D466415C7E4B}"/>
    <cellStyle name="Note 3 6" xfId="4548" xr:uid="{86D250F7-E95B-4204-99F8-28FB08E5C793}"/>
    <cellStyle name="Note 3 7" xfId="4740" xr:uid="{787668A6-DB7E-4D25-B715-130DB4000C5F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3" xfId="3526" xr:uid="{718712D2-91DD-49F6-9EE3-C39EB3367EB3}"/>
    <cellStyle name="Note 30 2 4" xfId="3754" xr:uid="{98D3EBE0-74B2-491A-AE5B-9FDE3DCE7711}"/>
    <cellStyle name="Note 30 2 5" xfId="4545" xr:uid="{C6414B9B-D3C0-4A12-AF35-8A1DE3FE2721}"/>
    <cellStyle name="Note 30 2 6" xfId="4743" xr:uid="{77DC68A9-D8C3-499F-B179-DC9FCCAA5A50}"/>
    <cellStyle name="Note 30 3" xfId="2207" xr:uid="{00000000-0005-0000-0000-0000A0080000}"/>
    <cellStyle name="Note 30 3 2" xfId="4247" xr:uid="{19B937F8-065E-4D59-B487-26DA9E4F1004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546" xr:uid="{7DDE6B65-3750-4CCB-BBBD-ABEAB62865CC}"/>
    <cellStyle name="Note 30 8" xfId="4742" xr:uid="{DAC7CC60-406C-4F7F-B589-66BF0F130A1F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3" xfId="3525" xr:uid="{08AD6890-C3A9-40DC-B5CB-311C816D66EC}"/>
    <cellStyle name="Note 31 2 4" xfId="3756" xr:uid="{D4AD5B84-24D8-4074-88EC-3DFE55A21D76}"/>
    <cellStyle name="Note 31 2 5" xfId="4543" xr:uid="{B07E78DB-6799-4E59-B040-BD75B103EB9B}"/>
    <cellStyle name="Note 31 2 6" xfId="4745" xr:uid="{C5DC730C-E066-4651-815E-372727271F33}"/>
    <cellStyle name="Note 31 3" xfId="2212" xr:uid="{00000000-0005-0000-0000-0000A5080000}"/>
    <cellStyle name="Note 31 3 2" xfId="4249" xr:uid="{15F3E935-1C17-45D4-BDEF-831FB181ECB1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544" xr:uid="{A320041E-CD16-491B-9FFB-27457F054E33}"/>
    <cellStyle name="Note 31 8" xfId="4744" xr:uid="{30BF5CE4-0BAA-4C4B-82A2-31FDDE46F4D8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3" xfId="3523" xr:uid="{72F5AAFB-3102-4217-9DAF-0E34128A8B23}"/>
    <cellStyle name="Note 32 2 4" xfId="3758" xr:uid="{9FA7BD7E-6913-4B05-AC48-AA4DBDFACDB3}"/>
    <cellStyle name="Note 32 2 5" xfId="4542" xr:uid="{6BAA46A0-0357-4CC3-B239-C240399F88DA}"/>
    <cellStyle name="Note 32 2 6" xfId="4747" xr:uid="{D260E79D-1EB5-4C98-87B6-A686DBCF0C42}"/>
    <cellStyle name="Note 32 3" xfId="2217" xr:uid="{00000000-0005-0000-0000-0000AA080000}"/>
    <cellStyle name="Note 32 3 2" xfId="4251" xr:uid="{DC33180E-E310-489C-8DE9-3A11C211E9D9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412" xr:uid="{F9FFC7B3-97F0-4280-9E99-730FC6667531}"/>
    <cellStyle name="Note 32 8" xfId="4746" xr:uid="{D133966A-2069-499C-88D9-B480F12EEEB6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3" xfId="3521" xr:uid="{CFB16BBE-FA6B-40C1-A198-48497A19FD0F}"/>
    <cellStyle name="Note 33 2 4" xfId="3760" xr:uid="{D73BDA2A-D5BF-480A-8C9B-ACB24E23CDA4}"/>
    <cellStyle name="Note 33 2 5" xfId="4540" xr:uid="{98514860-A0C4-4BD2-A39F-CB58A5667A52}"/>
    <cellStyle name="Note 33 2 6" xfId="4749" xr:uid="{EDA5439A-2897-459C-BAA5-653588A5B385}"/>
    <cellStyle name="Note 33 3" xfId="2222" xr:uid="{00000000-0005-0000-0000-0000AF080000}"/>
    <cellStyle name="Note 33 3 2" xfId="4253" xr:uid="{DDC2A0C4-388F-4284-93A1-2320EBE5817C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541" xr:uid="{24534D8D-603A-4A3F-947E-41E398F1AE9C}"/>
    <cellStyle name="Note 33 8" xfId="4748" xr:uid="{931D422F-4140-42EA-89DA-33291B6492F3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3" xfId="3519" xr:uid="{FB6E9F83-C002-4018-A05E-601C25724F0A}"/>
    <cellStyle name="Note 34 2 4" xfId="3762" xr:uid="{BA99EB05-11E5-496B-A8CF-28B89785D76A}"/>
    <cellStyle name="Note 34 2 5" xfId="4538" xr:uid="{EE8676C8-7F66-45A8-8AD2-8A76D514D55E}"/>
    <cellStyle name="Note 34 2 6" xfId="4751" xr:uid="{443B1E41-17A6-408A-8343-166FAD6CAA8C}"/>
    <cellStyle name="Note 34 3" xfId="2227" xr:uid="{00000000-0005-0000-0000-0000B4080000}"/>
    <cellStyle name="Note 34 3 2" xfId="4255" xr:uid="{7ECCCEDE-9404-4387-BB42-63924A351DA9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539" xr:uid="{79AE1EA8-70BC-42A5-9C29-4E2D0387E976}"/>
    <cellStyle name="Note 34 8" xfId="4750" xr:uid="{D884DE70-BCCD-4A5D-B843-D94516F697ED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3" xfId="3517" xr:uid="{2E613429-9D30-4F72-97F0-E4E74B9F3B7B}"/>
    <cellStyle name="Note 35 2 4" xfId="3764" xr:uid="{68C3A4C9-0C10-40F9-AA64-615FBE1086B4}"/>
    <cellStyle name="Note 35 2 5" xfId="4536" xr:uid="{A3021B0C-E9BE-46EC-B9CE-66FADE7C434E}"/>
    <cellStyle name="Note 35 2 6" xfId="4753" xr:uid="{6DC53318-3383-4919-820D-C0E1544C8045}"/>
    <cellStyle name="Note 35 3" xfId="2232" xr:uid="{00000000-0005-0000-0000-0000B9080000}"/>
    <cellStyle name="Note 35 3 2" xfId="4257" xr:uid="{5D59B7C8-558D-495C-A7FD-05D724A644FE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4537" xr:uid="{03CB1965-8857-4996-AE41-88C69A63AEED}"/>
    <cellStyle name="Note 35 8" xfId="4752" xr:uid="{0BB4D934-24CE-4CC6-BF31-5EF9B573F9C6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3" xfId="3515" xr:uid="{885BC555-C792-429E-A840-B5D521D8B7BE}"/>
    <cellStyle name="Note 36 2 4" xfId="3766" xr:uid="{6EAEBF62-AD97-436C-B9C1-405D98BFED16}"/>
    <cellStyle name="Note 36 2 5" xfId="4534" xr:uid="{E31DA2FD-5F4A-46BE-BD3E-F089C1148E09}"/>
    <cellStyle name="Note 36 2 6" xfId="4755" xr:uid="{D75C5A70-976C-4210-BE74-146CBC496B0F}"/>
    <cellStyle name="Note 36 3" xfId="2237" xr:uid="{00000000-0005-0000-0000-0000BE080000}"/>
    <cellStyle name="Note 36 3 2" xfId="4259" xr:uid="{AA83D08B-3118-41DD-A581-36020A543A48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4535" xr:uid="{78FD2DC1-A388-444A-B04C-F6677DFB01C4}"/>
    <cellStyle name="Note 36 8" xfId="4754" xr:uid="{383EDD40-7AE8-438F-A4ED-C4A353A3EBD5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3" xfId="3514" xr:uid="{4C906F2A-FA0C-4CAE-9F4A-99F52A1C8590}"/>
    <cellStyle name="Note 37 2 4" xfId="3768" xr:uid="{ED70CF91-976A-41DC-AB01-FD1D7ADEA733}"/>
    <cellStyle name="Note 37 2 5" xfId="4532" xr:uid="{33D536DA-D6D7-4A35-B54E-A9457D8A0EB1}"/>
    <cellStyle name="Note 37 2 6" xfId="4757" xr:uid="{D77666E2-0B62-4B5D-AA25-00DDEF1FA0C0}"/>
    <cellStyle name="Note 37 3" xfId="2242" xr:uid="{00000000-0005-0000-0000-0000C3080000}"/>
    <cellStyle name="Note 37 3 2" xfId="4261" xr:uid="{1AE502C8-EC5E-400C-917C-618F4497FCA2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4533" xr:uid="{736DAF74-8A16-4093-9287-E72E84820BD9}"/>
    <cellStyle name="Note 37 8" xfId="4756" xr:uid="{D2A9F01B-F051-434E-9AE7-983DB4F8EBC4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3" xfId="3512" xr:uid="{D16D38EA-B665-40B5-BC2E-2C6B6FE66526}"/>
    <cellStyle name="Note 38 2 4" xfId="3770" xr:uid="{33D4E884-4EA2-4C83-B185-E013031A2735}"/>
    <cellStyle name="Note 38 2 5" xfId="4531" xr:uid="{F92BBC96-133C-4CE9-BBD0-499B73D3B0D6}"/>
    <cellStyle name="Note 38 2 6" xfId="4759" xr:uid="{6F5BAF63-D784-490C-95B8-D4A0A33A67B7}"/>
    <cellStyle name="Note 38 3" xfId="2247" xr:uid="{00000000-0005-0000-0000-0000C8080000}"/>
    <cellStyle name="Note 38 3 2" xfId="4263" xr:uid="{550D9A76-9C4E-4BF0-A859-ED30C1F490C0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4411" xr:uid="{719EC6A0-5FBF-4D31-95A4-E888A0142893}"/>
    <cellStyle name="Note 38 8" xfId="4758" xr:uid="{36519C43-3EEE-42D7-9EF7-4BCC3763DF5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3" xfId="3510" xr:uid="{B794D999-C943-4C52-8CCA-5BE2BE143E4B}"/>
    <cellStyle name="Note 39 2 4" xfId="3772" xr:uid="{8A9B16EE-F3BC-4E1C-AC90-E53BDB02490E}"/>
    <cellStyle name="Note 39 2 5" xfId="4529" xr:uid="{D571BE25-A21E-4486-93B5-63D91E3F06CB}"/>
    <cellStyle name="Note 39 2 6" xfId="4761" xr:uid="{B8A8D5C9-923F-47C7-A0BD-30AA89EB12F6}"/>
    <cellStyle name="Note 39 3" xfId="2252" xr:uid="{00000000-0005-0000-0000-0000CD080000}"/>
    <cellStyle name="Note 39 3 2" xfId="4265" xr:uid="{EDF1E44B-1C90-47AD-AB1D-9F0A7B93E4BA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4530" xr:uid="{0B20EED3-AF1E-407A-A0C6-4A223A8165CA}"/>
    <cellStyle name="Note 39 8" xfId="4760" xr:uid="{73A5D6B4-D5FE-4153-A8A4-66C784CDB63E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3" xfId="3508" xr:uid="{3D876ED0-A5C3-4C14-9E3B-2BCFB76F5D4A}"/>
    <cellStyle name="Note 4 2 4" xfId="3774" xr:uid="{7FE38EE5-769B-413C-85C5-CD7DD8474CDF}"/>
    <cellStyle name="Note 4 2 5" xfId="4527" xr:uid="{10D24CC3-A223-4322-965A-8AED99A3009D}"/>
    <cellStyle name="Note 4 2 6" xfId="4763" xr:uid="{345ACE60-EC7B-4328-99F1-9EC7E034D4AC}"/>
    <cellStyle name="Note 4 3" xfId="2257" xr:uid="{00000000-0005-0000-0000-0000D2080000}"/>
    <cellStyle name="Note 4 3 2" xfId="4267" xr:uid="{1F830F20-8B1B-49E9-93AA-9545BCB1F08F}"/>
    <cellStyle name="Note 4 4" xfId="3509" xr:uid="{089A340B-7B90-4355-96E5-8BC71AF0B48E}"/>
    <cellStyle name="Note 4 5" xfId="3773" xr:uid="{AD92EDDE-3208-4F5A-A0E5-07C972F54460}"/>
    <cellStyle name="Note 4 6" xfId="4528" xr:uid="{BE49EBF5-859B-45ED-95DE-CD1CB807E1D2}"/>
    <cellStyle name="Note 4 7" xfId="4762" xr:uid="{ED66D0A3-33A7-4D79-B061-71522226747A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3" xfId="3506" xr:uid="{F933FB09-42B9-4507-8916-50ABABF60FD7}"/>
    <cellStyle name="Note 40 2 4" xfId="3776" xr:uid="{1972F074-87A6-405E-A1D8-A8C2498F5FCB}"/>
    <cellStyle name="Note 40 2 5" xfId="4525" xr:uid="{180D6B7D-3994-48E6-A50F-7994B0244F16}"/>
    <cellStyle name="Note 40 2 6" xfId="4765" xr:uid="{FF7EC755-D59D-458F-9B22-FE4B1F4446DC}"/>
    <cellStyle name="Note 40 3" xfId="2262" xr:uid="{00000000-0005-0000-0000-0000D7080000}"/>
    <cellStyle name="Note 40 3 2" xfId="4269" xr:uid="{5369A669-E140-44C9-8387-881CD7C47053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4526" xr:uid="{09974F70-D92F-4B77-AB79-398052D9D09A}"/>
    <cellStyle name="Note 40 8" xfId="4764" xr:uid="{19DC5ED5-CE84-4F5D-9568-EB26DE4061D9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3" xfId="3504" xr:uid="{1D9CC0D4-8FA2-47C7-A3A3-ABEBFF6CF84B}"/>
    <cellStyle name="Note 41 2 4" xfId="3778" xr:uid="{8448DE82-F038-4EB3-B3AA-D767D2CFA26A}"/>
    <cellStyle name="Note 41 2 5" xfId="4523" xr:uid="{13BC0C9F-E345-4E94-8E1B-C10B1C0EB1EA}"/>
    <cellStyle name="Note 41 2 6" xfId="4767" xr:uid="{8674B14B-A539-4EF3-9E9E-3E1FA020244A}"/>
    <cellStyle name="Note 41 3" xfId="2267" xr:uid="{00000000-0005-0000-0000-0000DC080000}"/>
    <cellStyle name="Note 41 3 2" xfId="4271" xr:uid="{8FE21F3D-34BF-4D31-BC5C-1ABFE58DE5A8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4524" xr:uid="{D57683F1-DD8A-4DD8-85D3-335AEBFF5AB7}"/>
    <cellStyle name="Note 41 8" xfId="4766" xr:uid="{3D93C6AA-DD0F-41B0-A659-357F14D81331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3" xfId="3503" xr:uid="{153B1233-EC62-442B-89A0-41FB8C806F7F}"/>
    <cellStyle name="Note 42 2 4" xfId="3780" xr:uid="{167E6E77-9CAE-49CD-8183-F95E5913593F}"/>
    <cellStyle name="Note 42 2 5" xfId="4521" xr:uid="{DCDC97B2-E68E-4F59-92EF-046642E3140F}"/>
    <cellStyle name="Note 42 2 6" xfId="4769" xr:uid="{95324DE8-37AF-47C2-A8EB-C03EA8F22ABE}"/>
    <cellStyle name="Note 42 3" xfId="2272" xr:uid="{00000000-0005-0000-0000-0000E1080000}"/>
    <cellStyle name="Note 42 3 2" xfId="4273" xr:uid="{6480D832-2D3D-43A3-94C5-34A459B9D83F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4522" xr:uid="{DAE4D79D-1C3E-4AF5-A641-0886D91737B3}"/>
    <cellStyle name="Note 42 8" xfId="4768" xr:uid="{688164A5-529B-408D-BDC3-8802828C45D5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3" xfId="3501" xr:uid="{4E76DD36-63D5-42EC-92B0-2D4F57F351EA}"/>
    <cellStyle name="Note 43 2 4" xfId="3782" xr:uid="{F310EF74-1721-4F8C-BA94-F44EC629855B}"/>
    <cellStyle name="Note 43 2 5" xfId="4520" xr:uid="{767AAA26-7CEC-41AA-A356-D97A2F4D0AFD}"/>
    <cellStyle name="Note 43 2 6" xfId="4771" xr:uid="{946119FF-5107-413E-A2CC-F8D442E1D500}"/>
    <cellStyle name="Note 43 3" xfId="2277" xr:uid="{00000000-0005-0000-0000-0000E6080000}"/>
    <cellStyle name="Note 43 3 2" xfId="4275" xr:uid="{90127FC5-1028-466F-800A-B15ABCAE5952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4410" xr:uid="{616C8552-31EF-48B2-B234-F1D37AB20C23}"/>
    <cellStyle name="Note 43 8" xfId="4770" xr:uid="{660F6DEF-CDCF-4A67-B43A-43925A12783B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3" xfId="3499" xr:uid="{23BAAFA5-0C22-4091-81C4-F2A5746E5773}"/>
    <cellStyle name="Note 44 2 4" xfId="3784" xr:uid="{C7575516-FCE6-4E85-84F8-93A188CE90F2}"/>
    <cellStyle name="Note 44 2 5" xfId="4518" xr:uid="{D84DDB5C-9344-41E8-85CB-76309993579B}"/>
    <cellStyle name="Note 44 2 6" xfId="4773" xr:uid="{26A32776-903C-4D06-9C31-2CD8D405C2D3}"/>
    <cellStyle name="Note 44 3" xfId="2282" xr:uid="{00000000-0005-0000-0000-0000EB080000}"/>
    <cellStyle name="Note 44 3 2" xfId="4277" xr:uid="{A68C1B42-7829-47B9-AB84-DF2186C9EC16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4519" xr:uid="{A68BE644-CBB2-49C4-8557-0DDEA5AB7A27}"/>
    <cellStyle name="Note 44 8" xfId="4772" xr:uid="{2A0D37AE-D17D-4238-9940-F9FCEEC2689E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3" xfId="3497" xr:uid="{6F2283C3-44BB-44DA-9A03-5E56A4E1B4C8}"/>
    <cellStyle name="Note 45 2 4" xfId="3786" xr:uid="{DD14E96D-1CA3-4A9A-9187-0033578CECCE}"/>
    <cellStyle name="Note 45 2 5" xfId="4516" xr:uid="{4FA090AE-5FD7-4F6B-B513-749D7DE07F14}"/>
    <cellStyle name="Note 45 2 6" xfId="4775" xr:uid="{68354E79-A2D0-41CB-855D-1AB2B80FC373}"/>
    <cellStyle name="Note 45 3" xfId="2287" xr:uid="{00000000-0005-0000-0000-0000F0080000}"/>
    <cellStyle name="Note 45 3 2" xfId="4279" xr:uid="{4B5B1A4F-F59E-4D44-A925-105DA55BD835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4517" xr:uid="{E7922992-4D29-45CF-80B1-49B039A99928}"/>
    <cellStyle name="Note 45 8" xfId="4774" xr:uid="{0CECD2D4-7650-42FC-9AAF-3DF30DB22C7A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3" xfId="3495" xr:uid="{B7F6E97F-9E98-4336-8F74-E517BE17BC83}"/>
    <cellStyle name="Note 46 2 4" xfId="3788" xr:uid="{9A30BB75-68FD-4E72-9C11-8F0A3D55B8FF}"/>
    <cellStyle name="Note 46 2 5" xfId="4514" xr:uid="{1FDA6174-7A79-4AB1-AE12-115D24080039}"/>
    <cellStyle name="Note 46 2 6" xfId="4777" xr:uid="{1036C5DF-23D0-4BE0-A21E-D7912EE17C2A}"/>
    <cellStyle name="Note 46 3" xfId="2292" xr:uid="{00000000-0005-0000-0000-0000F5080000}"/>
    <cellStyle name="Note 46 3 2" xfId="4281" xr:uid="{6642C4A8-B747-44A2-B952-B9792C265E36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4515" xr:uid="{A280FD67-B9D9-468C-8FE8-4FF48EFE561D}"/>
    <cellStyle name="Note 46 8" xfId="4776" xr:uid="{CE002682-CEA0-42B8-8E61-55DE9E5D347A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3" xfId="3493" xr:uid="{35C366E7-8088-44EC-B0AF-2617F0606FA1}"/>
    <cellStyle name="Note 47 2 4" xfId="3790" xr:uid="{470AF73F-416E-4A36-90AA-836FDF5CA7CE}"/>
    <cellStyle name="Note 47 2 5" xfId="4512" xr:uid="{2BB0D685-B764-4D8B-B9FC-E4AD9D4DD0F6}"/>
    <cellStyle name="Note 47 2 6" xfId="4779" xr:uid="{DE4AFEE6-C1D3-4431-87DA-47296F6EA79F}"/>
    <cellStyle name="Note 47 3" xfId="2297" xr:uid="{00000000-0005-0000-0000-0000FA080000}"/>
    <cellStyle name="Note 47 3 2" xfId="4283" xr:uid="{E0662DBC-2C97-49D7-86C9-79FFDFD275D0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4513" xr:uid="{A3253B8A-50BE-44D0-85BB-79F12ED334A6}"/>
    <cellStyle name="Note 47 8" xfId="4778" xr:uid="{A6A0B4CC-98ED-4E74-878E-9A66CC13FC7C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3" xfId="3492" xr:uid="{7CE198DC-0115-464E-A1C4-223E0AAE90AC}"/>
    <cellStyle name="Note 48 2 4" xfId="3792" xr:uid="{89D609BA-3BA0-4D96-A1E1-974508AFE610}"/>
    <cellStyle name="Note 48 2 5" xfId="4510" xr:uid="{9E038468-233E-4E15-969B-9A1C7E198644}"/>
    <cellStyle name="Note 48 2 6" xfId="4781" xr:uid="{30028920-9553-416F-9411-2356CF5D3470}"/>
    <cellStyle name="Note 48 3" xfId="2302" xr:uid="{00000000-0005-0000-0000-0000FF080000}"/>
    <cellStyle name="Note 48 3 2" xfId="4285" xr:uid="{B5F49436-7E02-4FAE-ACAC-8495D6C49FC8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4511" xr:uid="{429A2EA0-B6BE-4167-9A96-9B4A5611A033}"/>
    <cellStyle name="Note 48 8" xfId="4780" xr:uid="{AC596680-0B48-4495-ACC0-3441EA7E4C25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3" xfId="3490" xr:uid="{1B7EAA1F-7834-456F-B2E5-EE0408F86FFA}"/>
    <cellStyle name="Note 49 2 4" xfId="3794" xr:uid="{DFCDA04A-EB78-496B-AAEF-2D24EC7007F1}"/>
    <cellStyle name="Note 49 2 5" xfId="4509" xr:uid="{9D26C885-DB62-40D7-B65A-400C9680F4D9}"/>
    <cellStyle name="Note 49 2 6" xfId="4783" xr:uid="{D35993A9-E780-430E-AC61-50DE2CDF13A9}"/>
    <cellStyle name="Note 49 3" xfId="2307" xr:uid="{00000000-0005-0000-0000-000004090000}"/>
    <cellStyle name="Note 49 3 2" xfId="4287" xr:uid="{2F219C8E-4C01-4C0A-BD43-C31D60DD3768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4409" xr:uid="{64998B7A-4453-4192-B2AD-8353FF990061}"/>
    <cellStyle name="Note 49 8" xfId="4782" xr:uid="{C0D6634C-C4E2-42E3-8445-6DD0F91BE7C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3" xfId="3488" xr:uid="{D0A6A90D-61E6-421D-B78E-AE8B4EEA32A7}"/>
    <cellStyle name="Note 5 2 4" xfId="3796" xr:uid="{5C7B7C29-E063-4758-9FF4-3FC3B0C8E24E}"/>
    <cellStyle name="Note 5 2 5" xfId="4507" xr:uid="{90D431EF-6FA0-4D9F-A4BD-BBE060920FED}"/>
    <cellStyle name="Note 5 2 6" xfId="4785" xr:uid="{22214276-F26B-4DF3-B9B8-FA0E0350399A}"/>
    <cellStyle name="Note 5 3" xfId="2312" xr:uid="{00000000-0005-0000-0000-000009090000}"/>
    <cellStyle name="Note 5 3 2" xfId="4289" xr:uid="{51389C68-ADDB-4005-BA82-6F3AE5EB93AA}"/>
    <cellStyle name="Note 5 4" xfId="3489" xr:uid="{995A962C-CC91-4EF5-A0F3-9CAC9EF2A8CA}"/>
    <cellStyle name="Note 5 5" xfId="3795" xr:uid="{795858D3-D92B-439C-9FED-D5B29D5BFF83}"/>
    <cellStyle name="Note 5 6" xfId="4508" xr:uid="{FFA2C0E9-197D-4119-9B5E-F5E0883F63CC}"/>
    <cellStyle name="Note 5 7" xfId="4784" xr:uid="{43EFFBA9-48F2-4D7D-A243-268E0AC752B6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3" xfId="3486" xr:uid="{3C9DD515-0C38-4E24-B822-8F706051D6A5}"/>
    <cellStyle name="Note 50 2 4" xfId="3798" xr:uid="{CD1C446A-618F-425E-85D4-F95D0A78DD20}"/>
    <cellStyle name="Note 50 2 5" xfId="4505" xr:uid="{4F7D75B9-7932-4A32-A29F-C74416062C6A}"/>
    <cellStyle name="Note 50 2 6" xfId="4787" xr:uid="{C3B4F831-DACE-4BC5-989F-29E6C70C8675}"/>
    <cellStyle name="Note 50 3" xfId="2317" xr:uid="{00000000-0005-0000-0000-00000E090000}"/>
    <cellStyle name="Note 50 3 2" xfId="4291" xr:uid="{D05CEEF8-6E1A-4CCC-A0F1-7B034F7FEDC6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4506" xr:uid="{838C81EA-210C-4A84-8331-2B9A1C168ED6}"/>
    <cellStyle name="Note 50 8" xfId="4786" xr:uid="{8CC2159A-F05E-46E9-A443-54523CA79F1F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3" xfId="3484" xr:uid="{D2F38DBA-96C5-4508-8348-11CD1E2879B9}"/>
    <cellStyle name="Note 51 2 4" xfId="3800" xr:uid="{062DEFCE-F557-432B-BEEB-74BFA5FB3049}"/>
    <cellStyle name="Note 51 2 5" xfId="4503" xr:uid="{E3710FD8-634A-45F9-86BB-654AC7CF287B}"/>
    <cellStyle name="Note 51 2 6" xfId="4789" xr:uid="{35093708-0D6E-44CA-A870-E1535B659B79}"/>
    <cellStyle name="Note 51 3" xfId="2322" xr:uid="{00000000-0005-0000-0000-000013090000}"/>
    <cellStyle name="Note 51 3 2" xfId="4293" xr:uid="{10C3C32C-824E-412D-80F1-1BE7EAE1DC30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4504" xr:uid="{792394CE-09BB-444C-B5AA-52C4B14888A1}"/>
    <cellStyle name="Note 51 8" xfId="4788" xr:uid="{E21362AC-D981-4828-B7B2-0912BE898F8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3" xfId="3482" xr:uid="{1ECF9EF7-5CDC-4842-8EED-7A7158C36454}"/>
    <cellStyle name="Note 52 2 4" xfId="3802" xr:uid="{7FB1FDD6-88C6-438D-9D1A-22DFACA65859}"/>
    <cellStyle name="Note 52 2 5" xfId="4501" xr:uid="{D5261BF3-7AD1-4D14-A233-6CD3AE76E2B9}"/>
    <cellStyle name="Note 52 2 6" xfId="4791" xr:uid="{48AF9F2E-976B-4874-A2C6-9B91CCD44A15}"/>
    <cellStyle name="Note 52 3" xfId="2327" xr:uid="{00000000-0005-0000-0000-000018090000}"/>
    <cellStyle name="Note 52 3 2" xfId="4295" xr:uid="{6233BD20-EA3B-4CA6-A00A-F33C928563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4502" xr:uid="{0014CD6E-07CD-4236-B36E-818B00448C82}"/>
    <cellStyle name="Note 52 8" xfId="4790" xr:uid="{E462F9E0-98FB-4DFF-91A3-4A1BC5C24DE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3" xfId="3481" xr:uid="{E4FD0A0F-AEA7-40CE-B594-83368061886E}"/>
    <cellStyle name="Note 53 2 4" xfId="3804" xr:uid="{9720FAE0-5104-49B6-82D6-C7E06045B1AB}"/>
    <cellStyle name="Note 53 2 5" xfId="4499" xr:uid="{8F4743D0-9CBE-4C28-AC6A-DE2A900F8C13}"/>
    <cellStyle name="Note 53 2 6" xfId="4793" xr:uid="{8C278819-FC9B-4BC6-8F53-994CAE2B26AF}"/>
    <cellStyle name="Note 53 3" xfId="2332" xr:uid="{00000000-0005-0000-0000-00001D090000}"/>
    <cellStyle name="Note 53 3 2" xfId="4297" xr:uid="{A2AA1E76-5504-414A-92A8-88AA1EE21618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4500" xr:uid="{F340FA81-C4D6-4D6F-B722-A1BAA2B282AE}"/>
    <cellStyle name="Note 53 8" xfId="4792" xr:uid="{A2C3AFDC-EF00-48CB-B9DD-7FAA29A6D85B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3" xfId="3479" xr:uid="{990101D9-287F-48E8-A556-C06EE6895E55}"/>
    <cellStyle name="Note 54 2 4" xfId="3806" xr:uid="{DDFAA899-5C3A-4D12-AD4D-75ADF149E9B2}"/>
    <cellStyle name="Note 54 2 5" xfId="4498" xr:uid="{BDF78426-3459-4EB7-86D5-A17CB117C7F9}"/>
    <cellStyle name="Note 54 2 6" xfId="4795" xr:uid="{7472BBAE-C5AC-4754-8448-7994BCEE8569}"/>
    <cellStyle name="Note 54 3" xfId="2337" xr:uid="{00000000-0005-0000-0000-000022090000}"/>
    <cellStyle name="Note 54 3 2" xfId="4299" xr:uid="{64C3C11D-BC72-43CE-BD7B-C33027DB89D0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4408" xr:uid="{E641BCE3-1F8D-43C9-91BF-D5063AD28E6B}"/>
    <cellStyle name="Note 54 8" xfId="4794" xr:uid="{E60EAA07-CEED-42E5-9FC4-E0E3BC074322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3" xfId="3477" xr:uid="{E90D818D-A7FA-4CC4-A9F3-6EBCFF1E604A}"/>
    <cellStyle name="Note 55 2 4" xfId="3808" xr:uid="{1E3255EC-C1C4-4C0B-BB27-614AB08AAA2F}"/>
    <cellStyle name="Note 55 2 5" xfId="4496" xr:uid="{62F254FA-4944-464D-A556-D04BF7FF712E}"/>
    <cellStyle name="Note 55 2 6" xfId="4797" xr:uid="{316CCF90-3AAE-46A5-8AC2-D5B936658969}"/>
    <cellStyle name="Note 55 3" xfId="2342" xr:uid="{00000000-0005-0000-0000-000027090000}"/>
    <cellStyle name="Note 55 3 2" xfId="4301" xr:uid="{A31E4B4D-F777-40BB-A1D9-6C98B803EC61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4497" xr:uid="{A587E097-85FE-4991-8A69-5915443C97B0}"/>
    <cellStyle name="Note 55 8" xfId="4796" xr:uid="{FC142FF5-06C6-4A76-8BDC-EEC16917283F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3" xfId="3475" xr:uid="{AAF47213-36DC-46F2-B03F-A50480979786}"/>
    <cellStyle name="Note 56 2 4" xfId="3810" xr:uid="{329BAC08-0649-4D00-9FDF-DF6523AA9E5B}"/>
    <cellStyle name="Note 56 2 5" xfId="4494" xr:uid="{27D91D6C-9A60-43B2-9BF1-E2337761B0B7}"/>
    <cellStyle name="Note 56 2 6" xfId="4799" xr:uid="{45461DEF-A827-4CD6-ACFA-BD9CB467AED2}"/>
    <cellStyle name="Note 56 3" xfId="2347" xr:uid="{00000000-0005-0000-0000-00002C090000}"/>
    <cellStyle name="Note 56 3 2" xfId="4303" xr:uid="{EB9704C6-1EF3-4C0D-A64E-949189FEF90C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4495" xr:uid="{E70189DC-A7D3-4A24-9BEA-59CC3975B2F1}"/>
    <cellStyle name="Note 56 8" xfId="4798" xr:uid="{E3CFB8A0-A6A6-4513-8FF4-F378808EBE76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3" xfId="3473" xr:uid="{89D3CF2D-DC43-4D24-9CD4-B7275832E265}"/>
    <cellStyle name="Note 57 2 4" xfId="3812" xr:uid="{EAD1D9D9-99AD-40FB-93F3-4A3B33853E08}"/>
    <cellStyle name="Note 57 2 5" xfId="4492" xr:uid="{97B5D47B-9896-43DD-9B6A-35CE107DE58A}"/>
    <cellStyle name="Note 57 2 6" xfId="4801" xr:uid="{03D1E9CD-4DD2-4602-AE55-7752B1559CB3}"/>
    <cellStyle name="Note 57 3" xfId="2352" xr:uid="{00000000-0005-0000-0000-000031090000}"/>
    <cellStyle name="Note 57 3 2" xfId="4305" xr:uid="{4C6F131D-69AD-4362-B698-96565E7AC33A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4493" xr:uid="{EC9BE135-6533-412B-A812-53E9A199E7AB}"/>
    <cellStyle name="Note 57 8" xfId="4800" xr:uid="{661EA344-88E6-4750-8B5A-537B7F1C18B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3" xfId="3471" xr:uid="{3C78692E-5082-40E6-B7C3-C43F58BCCAC2}"/>
    <cellStyle name="Note 58 2 4" xfId="3814" xr:uid="{912DA850-2B74-4B59-BECC-BF680D65EF3A}"/>
    <cellStyle name="Note 58 2 5" xfId="4490" xr:uid="{03619551-2D17-40EE-B1BE-3E7EFA1945D1}"/>
    <cellStyle name="Note 58 2 6" xfId="4803" xr:uid="{EA26F2B5-8C25-414A-BA33-2315E9988EA5}"/>
    <cellStyle name="Note 58 3" xfId="2357" xr:uid="{00000000-0005-0000-0000-000036090000}"/>
    <cellStyle name="Note 58 3 2" xfId="4307" xr:uid="{821BCF80-CC47-4476-A87F-CD8C6A9AFD72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4491" xr:uid="{8CCD8C79-9939-459F-9DCF-B88151A39A16}"/>
    <cellStyle name="Note 58 8" xfId="4802" xr:uid="{F96A80E7-BE4F-47B9-A831-9DE3DB27485E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3" xfId="3470" xr:uid="{2B8C3AA4-8A17-4CB0-8C48-8DFBE13BD1F0}"/>
    <cellStyle name="Note 59 2 4" xfId="3816" xr:uid="{D73B4D2D-2E63-4A5C-BEAC-89108EDD6216}"/>
    <cellStyle name="Note 59 2 5" xfId="4488" xr:uid="{E6AC793E-D5A4-4F30-B65E-08C1020D1C10}"/>
    <cellStyle name="Note 59 2 6" xfId="4805" xr:uid="{07B69B0F-0A9C-452B-8B6E-15D4C1F426BE}"/>
    <cellStyle name="Note 59 3" xfId="2362" xr:uid="{00000000-0005-0000-0000-00003B090000}"/>
    <cellStyle name="Note 59 3 2" xfId="4309" xr:uid="{3FB6D7A1-F8BA-448A-A99D-ED10F832C376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4489" xr:uid="{9CCE74F6-D8F6-420E-833E-1214AFA1E9A8}"/>
    <cellStyle name="Note 59 8" xfId="4804" xr:uid="{BB689244-7678-4B29-A0EF-F04154EE89FE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3" xfId="3468" xr:uid="{97EC34DB-90D0-40F0-8583-4477EFC3B95C}"/>
    <cellStyle name="Note 6 2 4" xfId="3818" xr:uid="{92300398-3963-49A4-8915-9C5B5AB884F5}"/>
    <cellStyle name="Note 6 2 5" xfId="4487" xr:uid="{4B8020C0-5462-49FE-BEDF-01904338CD53}"/>
    <cellStyle name="Note 6 2 6" xfId="4807" xr:uid="{DD73088B-EC2D-453A-8520-6FE83CECFD84}"/>
    <cellStyle name="Note 6 3" xfId="2367" xr:uid="{00000000-0005-0000-0000-000040090000}"/>
    <cellStyle name="Note 6 3 2" xfId="4311" xr:uid="{1B3D2CA9-244E-4774-A872-B6C94509CC24}"/>
    <cellStyle name="Note 6 4" xfId="3469" xr:uid="{B4B897CE-54BF-4873-B498-E92023131A54}"/>
    <cellStyle name="Note 6 5" xfId="3817" xr:uid="{BC032CB4-A068-4FC7-8B5C-389A088A1642}"/>
    <cellStyle name="Note 6 6" xfId="4407" xr:uid="{E91CF340-F9FC-4FF3-BCEE-4784E39B4A77}"/>
    <cellStyle name="Note 6 7" xfId="4806" xr:uid="{60111CF5-26F5-484A-9BE0-CF77EA8EFFD2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3" xfId="3466" xr:uid="{4AA7F023-836A-40A8-806A-A4F62DC226CA}"/>
    <cellStyle name="Note 60 2 4" xfId="3820" xr:uid="{AF4EC94C-CD3C-4971-8C78-1017E88ABA13}"/>
    <cellStyle name="Note 60 2 5" xfId="4485" xr:uid="{4F03B10A-1FCC-4BEF-A6A8-A65C4CBE0B64}"/>
    <cellStyle name="Note 60 2 6" xfId="4809" xr:uid="{3FCEF986-7080-4E68-803A-68002802F095}"/>
    <cellStyle name="Note 60 3" xfId="2372" xr:uid="{00000000-0005-0000-0000-000045090000}"/>
    <cellStyle name="Note 60 3 2" xfId="4313" xr:uid="{CBA1D702-BB9E-49FA-8B6E-DD03FF78A3BC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4486" xr:uid="{469A464A-211B-4342-BC1F-36D2870471A1}"/>
    <cellStyle name="Note 60 8" xfId="4808" xr:uid="{835CE908-4B42-4DF5-B75B-EDC9B64C2CB6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3" xfId="3464" xr:uid="{DDDE5100-46D0-486E-80CF-D7BD87181EE7}"/>
    <cellStyle name="Note 61 2 4" xfId="3822" xr:uid="{66EBCC7F-DAB8-45A0-B165-E680D51691D2}"/>
    <cellStyle name="Note 61 2 5" xfId="4483" xr:uid="{C313C3CD-3BFE-4EAC-94F3-94E9E2948D2C}"/>
    <cellStyle name="Note 61 2 6" xfId="4811" xr:uid="{E11A6777-5AB1-4122-9CFE-8218B3FF68C6}"/>
    <cellStyle name="Note 61 3" xfId="2377" xr:uid="{00000000-0005-0000-0000-00004A090000}"/>
    <cellStyle name="Note 61 3 2" xfId="4315" xr:uid="{1E2A9E4C-C662-4001-9452-B22D6C80C5AD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4484" xr:uid="{EA560100-F0AF-4055-9D48-6BD616E5E792}"/>
    <cellStyle name="Note 61 8" xfId="4810" xr:uid="{17490000-DA3D-4A43-8C64-4197DE4E81D5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3" xfId="3462" xr:uid="{1258BD25-7A58-4C7F-986D-5AAAE1D66947}"/>
    <cellStyle name="Note 62 2 4" xfId="3824" xr:uid="{C0394381-856B-4E2A-856C-2B85FD9E3C78}"/>
    <cellStyle name="Note 62 2 5" xfId="4481" xr:uid="{0132870D-6583-4825-AB34-AB3DAF44B065}"/>
    <cellStyle name="Note 62 2 6" xfId="4813" xr:uid="{1209A24C-44D1-4F8A-BD95-33517DC6C0AC}"/>
    <cellStyle name="Note 62 3" xfId="2382" xr:uid="{00000000-0005-0000-0000-00004F090000}"/>
    <cellStyle name="Note 62 3 2" xfId="4317" xr:uid="{9BF7B899-E718-49BD-AEA5-7A9FA040C3D6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4482" xr:uid="{6975AEF5-9DD1-450E-896B-F405AD22A89E}"/>
    <cellStyle name="Note 62 8" xfId="4812" xr:uid="{F8C9413D-6868-4E45-B4B2-BBDE301C549B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3" xfId="3460" xr:uid="{F029531F-8344-4B58-810E-3D5203E21624}"/>
    <cellStyle name="Note 63 2 4" xfId="3826" xr:uid="{1FB6AD51-60BF-47B0-BA1C-83CDA1B030DD}"/>
    <cellStyle name="Note 63 2 5" xfId="4479" xr:uid="{848DBB0C-DB67-4E1B-BFAB-69A2DA4F04B2}"/>
    <cellStyle name="Note 63 2 6" xfId="4815" xr:uid="{6F5F111F-AE09-405E-9A59-7F91D0311BAC}"/>
    <cellStyle name="Note 63 3" xfId="2387" xr:uid="{00000000-0005-0000-0000-000054090000}"/>
    <cellStyle name="Note 63 3 2" xfId="4319" xr:uid="{9C388A64-83D9-40B3-95CE-E1F790973C2D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4480" xr:uid="{575562CB-389F-4956-B800-1943248CC788}"/>
    <cellStyle name="Note 63 8" xfId="4814" xr:uid="{C90AAF28-F537-455D-A610-5F2322E93F78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3" xfId="3459" xr:uid="{40E0B932-C626-4C4F-9C61-75395C08E8DF}"/>
    <cellStyle name="Note 64 2 4" xfId="3828" xr:uid="{43D7102F-D88C-46F6-89C7-B939854C8691}"/>
    <cellStyle name="Note 64 2 5" xfId="4477" xr:uid="{DEE8FFA8-CAEA-4287-A5A5-0E7B46F0AEAC}"/>
    <cellStyle name="Note 64 2 6" xfId="4817" xr:uid="{19020DCD-3B9B-4BC4-A233-FFF90CAE2B75}"/>
    <cellStyle name="Note 64 3" xfId="2392" xr:uid="{00000000-0005-0000-0000-000059090000}"/>
    <cellStyle name="Note 64 3 2" xfId="4321" xr:uid="{6067FB56-D178-467B-B7AE-2AD726F7B3AC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4478" xr:uid="{0C37FB63-1C12-4A14-8D9A-354802AC662B}"/>
    <cellStyle name="Note 64 8" xfId="4816" xr:uid="{C6A862CF-A673-44BF-8FBF-EDC1C57C93D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3" xfId="3457" xr:uid="{CA92A2EF-0D7A-49C5-8FC6-ACFD0EAED52D}"/>
    <cellStyle name="Note 65 2 4" xfId="3830" xr:uid="{11BF8F55-4D06-414D-8391-1246CBE5827F}"/>
    <cellStyle name="Note 65 2 5" xfId="4476" xr:uid="{1837FE02-8DA5-4C1D-A223-5BAECB89DFAD}"/>
    <cellStyle name="Note 65 2 6" xfId="4819" xr:uid="{2EBD068C-2F4D-490C-8224-0E66DBC280D5}"/>
    <cellStyle name="Note 65 3" xfId="2397" xr:uid="{00000000-0005-0000-0000-00005E090000}"/>
    <cellStyle name="Note 65 3 2" xfId="4323" xr:uid="{582672B0-0B36-45C8-865E-85B5315411ED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4406" xr:uid="{380DB0EB-035B-4DBE-AFB7-A50DE4F0B252}"/>
    <cellStyle name="Note 65 8" xfId="4818" xr:uid="{20A8F270-019A-4156-BA21-E36B59875DA1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3" xfId="3455" xr:uid="{081B59F1-515D-435D-A288-DE6361961218}"/>
    <cellStyle name="Note 66 2 4" xfId="3832" xr:uid="{037AF8C6-EC11-48A2-AC8D-059B870460BB}"/>
    <cellStyle name="Note 66 2 5" xfId="4474" xr:uid="{ACD95616-07F4-40E4-8ABC-35D73CD63193}"/>
    <cellStyle name="Note 66 2 6" xfId="4821" xr:uid="{8EE4BAB9-DE3B-403B-9892-F0D7E8CC2EAD}"/>
    <cellStyle name="Note 66 3" xfId="2402" xr:uid="{00000000-0005-0000-0000-000063090000}"/>
    <cellStyle name="Note 66 3 2" xfId="4325" xr:uid="{6EE4DFCF-3625-4927-86FE-B55FD9039EA7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4475" xr:uid="{EE8F2FE8-CD87-4CA7-B6BB-44CE96B50402}"/>
    <cellStyle name="Note 66 8" xfId="4820" xr:uid="{FE50B48E-7ED1-4B68-BF1D-FA2BF396AC66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3" xfId="3453" xr:uid="{C48223B8-8F65-4898-AE82-DE72A4859E49}"/>
    <cellStyle name="Note 67 2 4" xfId="3834" xr:uid="{84B26C43-B468-43D1-81DA-FD855E5E15A6}"/>
    <cellStyle name="Note 67 2 5" xfId="4472" xr:uid="{C627DF9A-FBCA-4CF0-856C-C86D85D1A704}"/>
    <cellStyle name="Note 67 2 6" xfId="4823" xr:uid="{D68D095E-83E8-4398-8AFB-37DB15E25564}"/>
    <cellStyle name="Note 67 3" xfId="2407" xr:uid="{00000000-0005-0000-0000-000068090000}"/>
    <cellStyle name="Note 67 3 2" xfId="4327" xr:uid="{4800A7B6-8E43-485D-9E3C-8A78BCA87D95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4473" xr:uid="{3623F489-F883-48F8-B3F2-6BCB45EA45A8}"/>
    <cellStyle name="Note 67 8" xfId="4822" xr:uid="{CE0207FB-A51B-41DF-9E90-39F8C8FC7A23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3" xfId="3451" xr:uid="{7608682C-D614-4A73-B7D8-6B9C9E2980FB}"/>
    <cellStyle name="Note 68 2 4" xfId="3836" xr:uid="{162450D7-F95E-4FAD-B544-3E51D8F7D45A}"/>
    <cellStyle name="Note 68 2 5" xfId="4470" xr:uid="{66C028C6-CD93-4083-9DF8-425362BFF759}"/>
    <cellStyle name="Note 68 2 6" xfId="4825" xr:uid="{A6DDDE37-A265-4F38-97FF-C9D7AF72A26A}"/>
    <cellStyle name="Note 68 3" xfId="2412" xr:uid="{00000000-0005-0000-0000-00006D090000}"/>
    <cellStyle name="Note 68 3 2" xfId="4329" xr:uid="{E13F8607-15AB-4201-9FF7-B0ADB4DB5F4F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4471" xr:uid="{4D507BE1-7D5F-4BEC-BBB4-623681B4C7F7}"/>
    <cellStyle name="Note 68 8" xfId="4824" xr:uid="{5B8632AA-1870-4DA9-BF6F-2E27863692D2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3" xfId="3449" xr:uid="{FFCCD98F-4E39-4BBE-9F3A-7C01D55065D7}"/>
    <cellStyle name="Note 69 2 4" xfId="3838" xr:uid="{E89EACE2-33B6-47DE-935C-4A527E5C934F}"/>
    <cellStyle name="Note 69 2 5" xfId="4468" xr:uid="{AFA5D02C-9DFD-46AC-BC93-E66C52DC3649}"/>
    <cellStyle name="Note 69 2 6" xfId="4827" xr:uid="{1A42653A-C9C6-4732-8253-C19D9949FF2B}"/>
    <cellStyle name="Note 69 3" xfId="2417" xr:uid="{00000000-0005-0000-0000-000072090000}"/>
    <cellStyle name="Note 69 3 2" xfId="4331" xr:uid="{D709B28B-EA5C-41E4-BF03-82ED3FFD0FBD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4469" xr:uid="{B9EE81EE-7E69-4086-96E4-998C7145383F}"/>
    <cellStyle name="Note 69 8" xfId="4826" xr:uid="{F478C21C-20DF-4C20-B19C-7B2299CBCD0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3" xfId="3448" xr:uid="{923C6867-DA69-4362-9B42-E45F8A03D181}"/>
    <cellStyle name="Note 7 2 4" xfId="3840" xr:uid="{A0D7EE96-6F9A-48DC-AB8C-6831A57B87A7}"/>
    <cellStyle name="Note 7 2 5" xfId="4466" xr:uid="{69553EA0-5A2A-4AEE-9BA8-3B279E22B963}"/>
    <cellStyle name="Note 7 2 6" xfId="4829" xr:uid="{9BA6DED3-136C-4F10-8B9F-0AE60041D5C9}"/>
    <cellStyle name="Note 7 3" xfId="2422" xr:uid="{00000000-0005-0000-0000-000077090000}"/>
    <cellStyle name="Note 7 3 2" xfId="4333" xr:uid="{C440E3D5-2D49-4664-BD0D-BF2B4AD127EA}"/>
    <cellStyle name="Note 7 4" xfId="3391" xr:uid="{ADAC95AB-0335-44D0-A3AE-7575F66058E7}"/>
    <cellStyle name="Note 7 5" xfId="3839" xr:uid="{0074306A-67FF-4F11-B876-3679BDFF4C5F}"/>
    <cellStyle name="Note 7 6" xfId="4467" xr:uid="{6B854FDD-84EF-4387-8F96-646B301E04AE}"/>
    <cellStyle name="Note 7 7" xfId="4828" xr:uid="{9F6913F4-6B6F-4CE0-8FE4-294B882D010E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3" xfId="3446" xr:uid="{417A6E39-FE34-4312-9F58-6F02602995FE}"/>
    <cellStyle name="Note 70 2 4" xfId="3842" xr:uid="{FA4A274E-6C9A-47C9-9947-4587FBC73319}"/>
    <cellStyle name="Note 70 2 5" xfId="4465" xr:uid="{90C6CB73-B422-45B4-BC79-758B15ADE785}"/>
    <cellStyle name="Note 70 2 6" xfId="4831" xr:uid="{9ADB3842-C9D6-4F29-A550-E9C55A11B2E3}"/>
    <cellStyle name="Note 70 3" xfId="2427" xr:uid="{00000000-0005-0000-0000-00007C090000}"/>
    <cellStyle name="Note 70 3 2" xfId="4335" xr:uid="{7FF1A8AB-50C4-4AC5-8720-75844785699A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4405" xr:uid="{94A56421-8924-43A2-B1E5-8EF55672B26A}"/>
    <cellStyle name="Note 70 8" xfId="4830" xr:uid="{F2137218-7213-466F-830F-CC6A1AF532EB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3" xfId="3444" xr:uid="{7DD1238F-C7D2-417B-8478-7DA968FE23FF}"/>
    <cellStyle name="Note 71 2 4" xfId="3844" xr:uid="{EAD1318D-E4A7-4ACA-9E7E-FCB1EBC627CB}"/>
    <cellStyle name="Note 71 2 5" xfId="4463" xr:uid="{F0DAF7B6-EAC2-45AB-A115-58EC6E21FEC7}"/>
    <cellStyle name="Note 71 2 6" xfId="4833" xr:uid="{BCC60713-8D04-4A0A-AF1C-A6932B1A5C88}"/>
    <cellStyle name="Note 71 3" xfId="2432" xr:uid="{00000000-0005-0000-0000-000081090000}"/>
    <cellStyle name="Note 71 3 2" xfId="4337" xr:uid="{D1F9FB63-33B9-4A8C-9C67-46383462AE67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4464" xr:uid="{B937BD51-ADA8-479D-AE9D-9992870460F0}"/>
    <cellStyle name="Note 71 8" xfId="4832" xr:uid="{FEC1ADD8-6239-484C-A2DA-28B3BB4070AA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3" xfId="3442" xr:uid="{AA1E0486-FDEF-46DE-99BE-362FF04E9F90}"/>
    <cellStyle name="Note 72 2 4" xfId="3846" xr:uid="{AA31320A-46C1-40AD-BB49-16F9AEC066F5}"/>
    <cellStyle name="Note 72 2 5" xfId="4461" xr:uid="{164763F9-1DA4-4AB2-8B79-7C8D8695D60F}"/>
    <cellStyle name="Note 72 2 6" xfId="4835" xr:uid="{39577D5A-F06E-4877-B1E9-080818E8E77E}"/>
    <cellStyle name="Note 72 3" xfId="2437" xr:uid="{00000000-0005-0000-0000-000086090000}"/>
    <cellStyle name="Note 72 3 2" xfId="4339" xr:uid="{A6F6DAC5-284B-4343-B305-1807A6267590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4462" xr:uid="{3AF22DF8-82CC-4AD7-B99F-A76FCE4AA157}"/>
    <cellStyle name="Note 72 8" xfId="4834" xr:uid="{9A66B591-1DCB-4682-A3C9-EE8AF60BFE9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3" xfId="3440" xr:uid="{24B1816B-CE50-40B1-B466-4A7CD878D5AF}"/>
    <cellStyle name="Note 73 2 4" xfId="3848" xr:uid="{1075EE02-CD5E-4D84-9C53-318421321385}"/>
    <cellStyle name="Note 73 2 5" xfId="4459" xr:uid="{74E26F90-9CDF-4A15-8B89-9AC783A4D162}"/>
    <cellStyle name="Note 73 2 6" xfId="4837" xr:uid="{04B65478-098F-4E6C-8F03-8AFC6799C610}"/>
    <cellStyle name="Note 73 3" xfId="2442" xr:uid="{00000000-0005-0000-0000-00008B090000}"/>
    <cellStyle name="Note 73 3 2" xfId="4341" xr:uid="{8A849F18-9A0E-4B7B-A696-2F4E0D23DCA9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4460" xr:uid="{17F18C4E-C3E9-4B5D-A59E-F38E476CED5E}"/>
    <cellStyle name="Note 73 8" xfId="4836" xr:uid="{76A6FF43-AA57-4DDC-BB23-154F7A38A98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3" xfId="3438" xr:uid="{2C949DF1-50AA-4345-9438-D65C5564374F}"/>
    <cellStyle name="Note 74 2 4" xfId="3850" xr:uid="{2D90E540-5BCE-4728-8C71-6949D0940C7A}"/>
    <cellStyle name="Note 74 2 5" xfId="4457" xr:uid="{875A9FB7-C031-4A97-BE41-6D5CD5194D8C}"/>
    <cellStyle name="Note 74 2 6" xfId="4839" xr:uid="{9799B0F3-74F8-43C5-BC89-A933841634AE}"/>
    <cellStyle name="Note 74 3" xfId="2447" xr:uid="{00000000-0005-0000-0000-000090090000}"/>
    <cellStyle name="Note 74 3 2" xfId="4343" xr:uid="{FF881A97-22AD-47BE-85DE-E477D1F0C133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4458" xr:uid="{DC1C656C-0F5C-48AC-9687-CB5A1DF43C9D}"/>
    <cellStyle name="Note 74 8" xfId="4838" xr:uid="{A2AAC1F8-10CA-4329-B0B9-0B65A098FAC2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3" xfId="3437" xr:uid="{14B96D1B-7F2E-4588-A3C6-DD8DE823F93F}"/>
    <cellStyle name="Note 75 2 4" xfId="3852" xr:uid="{4BFF4153-CFB2-4FCB-A428-BDAA4852C4B0}"/>
    <cellStyle name="Note 75 2 5" xfId="4455" xr:uid="{7A752721-C9DF-4CEA-B578-58578166F88A}"/>
    <cellStyle name="Note 75 2 6" xfId="4841" xr:uid="{691ED49C-F567-4FA3-B519-87FAC1D98468}"/>
    <cellStyle name="Note 75 3" xfId="2452" xr:uid="{00000000-0005-0000-0000-000095090000}"/>
    <cellStyle name="Note 75 3 2" xfId="4345" xr:uid="{0D5D9FC0-ADE7-4221-A385-212A05DFDCC7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4456" xr:uid="{1EEB76E4-68A2-4506-8DA8-AC90AA78E07C}"/>
    <cellStyle name="Note 75 8" xfId="4840" xr:uid="{A03850B5-4DD9-4ADA-A120-14CBB46D9E95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3" xfId="3435" xr:uid="{8E43AD71-6F7D-4403-9C05-05DC9E0C9B47}"/>
    <cellStyle name="Note 76 2 4" xfId="3854" xr:uid="{47BFCD3F-AC23-4157-B93C-E5BB2D0E38CF}"/>
    <cellStyle name="Note 76 2 5" xfId="4454" xr:uid="{F0FCF456-BA93-4D3E-A6F9-BB4E94C362B3}"/>
    <cellStyle name="Note 76 2 6" xfId="4843" xr:uid="{80E99789-172F-47E9-98FA-E5D25547AD73}"/>
    <cellStyle name="Note 76 3" xfId="2457" xr:uid="{00000000-0005-0000-0000-00009A090000}"/>
    <cellStyle name="Note 76 3 2" xfId="4347" xr:uid="{7DC4257C-805D-4915-8007-89CBEC2C7677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4404" xr:uid="{0FFE67BE-06D1-47BE-AD8B-F8CBBC194421}"/>
    <cellStyle name="Note 76 8" xfId="4842" xr:uid="{F7EFEF25-D951-4B99-BA16-BB734DD9E978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3" xfId="3433" xr:uid="{0940FEDE-0766-4A11-A202-D085A79BDE95}"/>
    <cellStyle name="Note 77 2 4" xfId="3856" xr:uid="{C26E0A07-6029-44DF-8DFF-4195E532FFE4}"/>
    <cellStyle name="Note 77 2 5" xfId="4452" xr:uid="{E50490A7-5276-4C2E-A83D-AD56A26AAF70}"/>
    <cellStyle name="Note 77 2 6" xfId="4845" xr:uid="{453782FE-861D-4138-80F4-EB4CCC9BC43E}"/>
    <cellStyle name="Note 77 3" xfId="2462" xr:uid="{00000000-0005-0000-0000-00009F090000}"/>
    <cellStyle name="Note 77 3 2" xfId="4349" xr:uid="{899CE4EC-FC74-4A43-B638-0E53695CE3B4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4453" xr:uid="{76C68412-51B1-4AE3-B765-D1815E995E06}"/>
    <cellStyle name="Note 77 8" xfId="4844" xr:uid="{611F0DC5-C9C2-4A87-995A-6DABAB98B232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3" xfId="3431" xr:uid="{83FB903F-87B4-407A-AAD7-B191B3C7BEEE}"/>
    <cellStyle name="Note 78 2 4" xfId="3858" xr:uid="{599DEC17-F1CE-44A6-A138-67D2C384B154}"/>
    <cellStyle name="Note 78 2 5" xfId="4450" xr:uid="{BAB91028-B326-40F2-B4BC-3AE0415BDB0D}"/>
    <cellStyle name="Note 78 2 6" xfId="4847" xr:uid="{F246E5F9-FC15-4FD2-BD89-581905A30D02}"/>
    <cellStyle name="Note 78 3" xfId="2467" xr:uid="{00000000-0005-0000-0000-0000A4090000}"/>
    <cellStyle name="Note 78 3 2" xfId="4351" xr:uid="{0BC94406-FE77-4B9C-8F4F-13C8F0975A34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4451" xr:uid="{AF437380-722B-43FB-B622-D495320DD24A}"/>
    <cellStyle name="Note 78 8" xfId="4846" xr:uid="{A57ACDD5-B9E9-43BD-9589-6B47D2D6420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3" xfId="3429" xr:uid="{F0A438FA-079E-4EF0-8A2C-8E256FCE634C}"/>
    <cellStyle name="Note 8 2 4" xfId="3860" xr:uid="{2BA832EF-8763-4C69-A9D1-1F3C8ADFC82C}"/>
    <cellStyle name="Note 8 2 5" xfId="4448" xr:uid="{B000E41C-A2FE-4EBB-8C90-8CDA5BDA4D4A}"/>
    <cellStyle name="Note 8 2 6" xfId="4849" xr:uid="{14580B92-05DF-45AD-B1B7-7135B1276334}"/>
    <cellStyle name="Note 8 3" xfId="2472" xr:uid="{00000000-0005-0000-0000-0000A9090000}"/>
    <cellStyle name="Note 8 3 2" xfId="4354" xr:uid="{189A8479-6083-44FA-AA1C-6A050CF664FB}"/>
    <cellStyle name="Note 8 4" xfId="3430" xr:uid="{442B1ED4-E270-45F6-B5BE-1D37D8BF2CAF}"/>
    <cellStyle name="Note 8 5" xfId="3859" xr:uid="{9E67279A-3CCB-4525-ACD7-9AD7E6C144BA}"/>
    <cellStyle name="Note 8 6" xfId="4449" xr:uid="{E2345A15-DCE3-4058-B5F3-35C4E072FF5E}"/>
    <cellStyle name="Note 8 7" xfId="4848" xr:uid="{28B06F66-BADF-4033-A756-D6364F878328}"/>
    <cellStyle name="Note 8_TRAFO" xfId="2473" xr:uid="{00000000-0005-0000-0000-0000AA090000}"/>
    <cellStyle name="Note 80" xfId="3408" xr:uid="{4C3C4D5C-8407-419D-B626-BCFFB7297398}"/>
    <cellStyle name="Note 81" xfId="4710" xr:uid="{B311A019-C3FA-4461-AB8D-0A9F58C1BE8B}"/>
    <cellStyle name="Note 82" xfId="4428" xr:uid="{BA11B951-6148-4756-BAD8-5AC084E3164D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3" xfId="3427" xr:uid="{9B3E35A4-5265-4515-AB2E-2DD548422D3D}"/>
    <cellStyle name="Note 9 2 4" xfId="3862" xr:uid="{EB9FB1A4-8DD5-4DC2-8456-04652E426818}"/>
    <cellStyle name="Note 9 2 5" xfId="4446" xr:uid="{F006C90C-6D15-4BBE-B855-FDCD98FE4B5B}"/>
    <cellStyle name="Note 9 2 6" xfId="4851" xr:uid="{6E17AC60-4159-4020-9F37-91EAA22AA43C}"/>
    <cellStyle name="Note 9 3" xfId="2477" xr:uid="{00000000-0005-0000-0000-0000AE090000}"/>
    <cellStyle name="Note 9 3 2" xfId="4356" xr:uid="{F6012477-C903-4383-86DF-63F91D33BD08}"/>
    <cellStyle name="Note 9 4" xfId="3428" xr:uid="{8373F495-11D6-4841-8C75-7D85A5C0603C}"/>
    <cellStyle name="Note 9 5" xfId="3861" xr:uid="{9B20A953-5E2F-4CBE-8833-98B1E3BAF2A9}"/>
    <cellStyle name="Note 9 6" xfId="4447" xr:uid="{3924858C-1254-4568-8BC6-C6DEFCD06D05}"/>
    <cellStyle name="Note 9 7" xfId="4850" xr:uid="{2A377A55-F53D-4E1C-B184-E0F1A4355A7A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3" xfId="3389" xr:uid="{23C879BC-38B1-427B-8072-6D980818F706}"/>
    <cellStyle name="Output 10 4" xfId="3863" xr:uid="{949CC612-1249-44B6-8FC4-805AF5A5F829}"/>
    <cellStyle name="Output 10 5" xfId="4445" xr:uid="{55649BE1-6D35-4F68-BFF4-C492ED5C9442}"/>
    <cellStyle name="Output 10 6" xfId="4852" xr:uid="{FEB4DEBA-ADB6-42F3-8E6C-82CB9F0536BD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3" xfId="3426" xr:uid="{A020EEDD-4438-433A-8CB1-9F0735CDBA2A}"/>
    <cellStyle name="Output 11 4" xfId="3864" xr:uid="{5452D4DE-0056-4A80-9628-747F8C290C30}"/>
    <cellStyle name="Output 11 5" xfId="4444" xr:uid="{BDEDF637-9A4C-4BB3-B2D8-9F7CA55A586D}"/>
    <cellStyle name="Output 11 6" xfId="4853" xr:uid="{3054BB18-8B07-481A-9BCB-8C43EE309149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3" xfId="3425" xr:uid="{FA4F44FE-79C9-4B05-9A78-EB3E9019C4E3}"/>
    <cellStyle name="Output 12 4" xfId="3865" xr:uid="{C7F14499-D015-464F-B86B-CE81A39BEE9E}"/>
    <cellStyle name="Output 12 5" xfId="4443" xr:uid="{2A85922C-7494-40DA-BBCA-0013AB100B89}"/>
    <cellStyle name="Output 12 6" xfId="4854" xr:uid="{0FEDD954-5C9D-485B-B703-90495B77C3CB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3" xfId="3424" xr:uid="{B868EE45-DE53-40D3-81B5-A7DADA0F053C}"/>
    <cellStyle name="Output 13 4" xfId="3866" xr:uid="{C351880F-000F-4E09-8986-90201E6E41A2}"/>
    <cellStyle name="Output 13 5" xfId="4403" xr:uid="{FCEA8340-16A5-4A19-80DC-F49FEF11AB90}"/>
    <cellStyle name="Output 13 6" xfId="4855" xr:uid="{3B6F0EA9-AFF8-4180-A21D-38071ABAF1E3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3" xfId="3423" xr:uid="{AE375810-D614-4DBD-9518-D9FC1010BE67}"/>
    <cellStyle name="Output 14 4" xfId="3867" xr:uid="{74263D2C-30DA-4A7A-99DB-E10AC6C3DEFD}"/>
    <cellStyle name="Output 14 5" xfId="4442" xr:uid="{67BD1273-9CFD-433B-9031-99187EC25802}"/>
    <cellStyle name="Output 14 6" xfId="4856" xr:uid="{B0443172-D771-439E-9424-C44A5E65EA63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3" xfId="3422" xr:uid="{84F4FEC9-15A0-4724-8695-723B8FB7C74C}"/>
    <cellStyle name="Output 15 4" xfId="3868" xr:uid="{74BFF7CF-DB80-4826-8558-9A0BD75E32CE}"/>
    <cellStyle name="Output 15 5" xfId="4441" xr:uid="{BC04CA5D-1F45-4B30-AAF9-9953C34F6521}"/>
    <cellStyle name="Output 15 6" xfId="4857" xr:uid="{2B040162-D5B0-400F-8A4B-5432344C60FD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3" xfId="3421" xr:uid="{A7D3010F-7882-40AE-A427-EB800A28CF7F}"/>
    <cellStyle name="Output 16 4" xfId="3869" xr:uid="{BAF3036D-E1DD-4A51-8BC9-3C0C19898099}"/>
    <cellStyle name="Output 16 5" xfId="4440" xr:uid="{B3E1D96A-0FB8-4204-9BCA-E25F389B1371}"/>
    <cellStyle name="Output 16 6" xfId="4858" xr:uid="{31C0662C-9CFD-4E8C-9E06-FECC8F86F7C7}"/>
    <cellStyle name="Output 17" xfId="3714" xr:uid="{404C3867-F973-4051-BDB4-B19AED654F7A}"/>
    <cellStyle name="Output 18" xfId="3409" xr:uid="{8CBAB434-9761-4EC3-93AB-7411350CCBB5}"/>
    <cellStyle name="Output 19" xfId="4709" xr:uid="{9D554024-F2C8-426A-B883-3730692E8B46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3" xfId="3419" xr:uid="{33193668-AFFE-4918-AA05-18B28EF238A9}"/>
    <cellStyle name="Output 2 2 4" xfId="3871" xr:uid="{D38A73A0-B24C-4CF1-B146-363C66C012C5}"/>
    <cellStyle name="Output 2 2 5" xfId="4438" xr:uid="{301A6F39-0017-4C64-99A3-D92147F3FE0A}"/>
    <cellStyle name="Output 2 2 6" xfId="4860" xr:uid="{E6A00658-D45B-4023-8F45-202366370DE4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3" xfId="3418" xr:uid="{8858D5E1-9166-4003-B730-34FAEF09A2E2}"/>
    <cellStyle name="Output 2 3 4" xfId="3872" xr:uid="{8B54AC59-3240-4F56-B920-BF68BC9F1E19}"/>
    <cellStyle name="Output 2 3 5" xfId="4437" xr:uid="{BE37073C-B666-484F-913A-8C5F1BB98405}"/>
    <cellStyle name="Output 2 3 6" xfId="4861" xr:uid="{5C17DC4B-0DCE-4367-B239-9EF80BF49D2F}"/>
    <cellStyle name="Output 2 4" xfId="2499" xr:uid="{00000000-0005-0000-0000-0000C4090000}"/>
    <cellStyle name="Output 2 4 2" xfId="4366" xr:uid="{30494121-3747-44E5-B18D-F7C3753A8EB6}"/>
    <cellStyle name="Output 2 5" xfId="3420" xr:uid="{2F42F3E0-371E-4E70-886A-882B28D3BE76}"/>
    <cellStyle name="Output 2 6" xfId="3870" xr:uid="{9378770E-67D6-44FC-BC4A-47CD2D9DDDBF}"/>
    <cellStyle name="Output 2 7" xfId="4439" xr:uid="{BF64FF1F-F46D-4FE3-A5F8-58733F171035}"/>
    <cellStyle name="Output 2 8" xfId="4859" xr:uid="{C911614A-1C7A-4A1C-8E86-41589AE3E143}"/>
    <cellStyle name="Output 20" xfId="4429" xr:uid="{338FED60-79CE-48F3-90A0-7D604F50EAA3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3" xfId="3417" xr:uid="{1A6B0C71-374D-4F4D-B326-2162AC375306}"/>
    <cellStyle name="Output 3 4" xfId="3873" xr:uid="{F4617A6D-2393-497B-8C6B-DD8A005DF71D}"/>
    <cellStyle name="Output 3 5" xfId="4436" xr:uid="{DE4C1448-20FB-4DA9-A886-57A50D65FEC6}"/>
    <cellStyle name="Output 3 6" xfId="4862" xr:uid="{D1F1485C-E705-413A-95F3-CA1CA7A8946F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3" xfId="3416" xr:uid="{CE34D8EC-40C0-432D-8B08-AB0B13CE84A2}"/>
    <cellStyle name="Output 4 4" xfId="3874" xr:uid="{7472B21D-2279-42C8-893D-EE22032A765D}"/>
    <cellStyle name="Output 4 5" xfId="4435" xr:uid="{9F93ED44-7DB7-4826-A18F-8407392700D9}"/>
    <cellStyle name="Output 4 6" xfId="4863" xr:uid="{1899D0CF-7656-4D7A-8E8E-92F4CC0EE06F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3" xfId="3415" xr:uid="{367A79ED-81E1-4820-AFE9-BD9D2F9779FA}"/>
    <cellStyle name="Output 5 4" xfId="3875" xr:uid="{FA247623-8A70-4589-A77C-EF0B4FB7D0F6}"/>
    <cellStyle name="Output 5 5" xfId="4434" xr:uid="{47D13CAD-3779-415C-86CD-45F0EC86BB22}"/>
    <cellStyle name="Output 5 6" xfId="4864" xr:uid="{D8A3A829-4D11-4DE8-9BA5-AFA23A94CCE1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3" xfId="3414" xr:uid="{5592B122-96F2-41B4-9F83-873BEAD05476}"/>
    <cellStyle name="Output 6 4" xfId="3876" xr:uid="{613CAC58-BEB1-4191-9793-7610CEE44845}"/>
    <cellStyle name="Output 6 5" xfId="4433" xr:uid="{3F14C346-D7F6-4E38-BE5B-B303EC2225FA}"/>
    <cellStyle name="Output 6 6" xfId="4865" xr:uid="{BBB80C85-9645-4D19-BF03-EB10835F0DF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3" xfId="3413" xr:uid="{AE3389DF-2464-4099-8BB8-158966213727}"/>
    <cellStyle name="Output 7 4" xfId="3877" xr:uid="{10391603-483F-4F78-8174-C0DE624A62FF}"/>
    <cellStyle name="Output 7 5" xfId="4432" xr:uid="{2C666A65-DCFB-4ABB-988E-AE0436468614}"/>
    <cellStyle name="Output 7 6" xfId="4866" xr:uid="{881E2164-03FE-4DDD-9FC4-AACE6A0A0DD4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3" xfId="3412" xr:uid="{F99A4484-96DF-4229-9991-F87C65C67450}"/>
    <cellStyle name="Output 8 4" xfId="3878" xr:uid="{526C98A9-F1E0-4442-BC65-7DD604074A72}"/>
    <cellStyle name="Output 8 5" xfId="4431" xr:uid="{0CFC7A52-270D-4B72-A341-2AF8E72D4096}"/>
    <cellStyle name="Output 8 6" xfId="4867" xr:uid="{CE36C73E-4D5E-4CE4-A927-6EBB78F1DCA5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3" xfId="3411" xr:uid="{23C653BE-F4A1-4F1B-9333-25D34FA1192E}"/>
    <cellStyle name="Output 9 4" xfId="3879" xr:uid="{C4F4F3AA-ACF9-40CF-86BA-D553AFCC6248}"/>
    <cellStyle name="Output 9 5" xfId="4430" xr:uid="{B3CC4897-E06D-4069-ACD9-639519A99D03}"/>
    <cellStyle name="Output 9 6" xfId="4868" xr:uid="{B6AAF3C5-4BBC-4C9A-BA8A-69768C2B914E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2 2" xfId="4377" xr:uid="{A8CDBA88-9486-4BA7-9EA9-9283205D6774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07" xr:uid="{33C3C899-7B96-4B75-920C-A2693EF87AE2}"/>
    <cellStyle name="sbt2 8" xfId="4427" xr:uid="{8A4B40E6-6330-4000-8E41-9F2EA52A7D35}"/>
    <cellStyle name="sbt2 9" xfId="4869" xr:uid="{02EC8EEE-499D-4C78-B738-ACAF3AB332B7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08" xr:uid="{DAFCE75C-5DDE-4972-86CA-6885E99E836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3" xfId="3724" xr:uid="{86E145AE-4552-483F-9E81-C255B03648C9}"/>
    <cellStyle name="Total 10 4" xfId="3882" xr:uid="{47D89516-8FC2-466D-BA5A-5C86D29C9526}"/>
    <cellStyle name="Total 10 5" xfId="4400" xr:uid="{085EA273-1323-496C-9DE8-E3E90C561A3D}"/>
    <cellStyle name="Total 10 6" xfId="4870" xr:uid="{8630F843-55B4-4AAF-A569-41EF1879699C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3" xfId="3725" xr:uid="{13848CE4-A845-48E4-9104-64104333B927}"/>
    <cellStyle name="Total 11 4" xfId="3883" xr:uid="{1C26165E-8C75-4309-ADB3-A0440765934C}"/>
    <cellStyle name="Total 11 5" xfId="4425" xr:uid="{4DDEC54D-65C1-464C-BD23-99C6499EFA11}"/>
    <cellStyle name="Total 11 6" xfId="4871" xr:uid="{0ECFE58E-8BF2-4334-86E3-192639A3B964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3" xfId="3726" xr:uid="{CBD45986-39E9-44A1-B75F-FB781600BF4D}"/>
    <cellStyle name="Total 12 4" xfId="3884" xr:uid="{E6D2A310-C98B-4C22-9965-F07450C3CACD}"/>
    <cellStyle name="Total 12 5" xfId="4715" xr:uid="{66345BF7-D060-4EE3-BC3C-783243891939}"/>
    <cellStyle name="Total 12 6" xfId="4872" xr:uid="{D663FCD7-920A-427E-A41B-515D1374078E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3" xfId="3727" xr:uid="{D4A0B537-429B-4AA2-AAB4-9096E2FBFE18}"/>
    <cellStyle name="Total 13 4" xfId="3885" xr:uid="{54465F3A-9643-49F2-B909-C356D31B87CC}"/>
    <cellStyle name="Total 13 5" xfId="4716" xr:uid="{574FA8BB-3D3E-4369-B40D-90EAB16BB892}"/>
    <cellStyle name="Total 13 6" xfId="4873" xr:uid="{76F9B406-F171-40D1-84DA-7E96933BF511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3" xfId="3728" xr:uid="{F172138A-309D-45C5-8619-65549C71FD94}"/>
    <cellStyle name="Total 14 4" xfId="3886" xr:uid="{F6C4AE91-A886-4693-ACDB-D7D2EABD659E}"/>
    <cellStyle name="Total 14 5" xfId="4717" xr:uid="{2158B9E2-933F-4285-B3E7-86EE7AE16146}"/>
    <cellStyle name="Total 14 6" xfId="4874" xr:uid="{ABA3ACDA-229C-4D55-B4E8-CF55F6B8382E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3" xfId="3729" xr:uid="{8F513A61-49F1-42B1-9005-E596941EBDCD}"/>
    <cellStyle name="Total 15 4" xfId="3887" xr:uid="{841FA0FC-A8FB-4A81-A9A2-6D1E9547489B}"/>
    <cellStyle name="Total 15 5" xfId="4718" xr:uid="{DDF8A070-AE41-4CEC-AC56-EAB9B74CEE63}"/>
    <cellStyle name="Total 15 6" xfId="4875" xr:uid="{84C27A95-14B1-45D1-A208-17E98AFA9EBE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3" xfId="3730" xr:uid="{BAD29367-B061-41D9-B868-4B176FD2C766}"/>
    <cellStyle name="Total 16 4" xfId="3888" xr:uid="{0BBE37B0-847D-43BE-ACB2-D576B2B11AC1}"/>
    <cellStyle name="Total 16 5" xfId="4719" xr:uid="{2BD7F7E2-5182-44BD-AC0F-087D0B5A3EA0}"/>
    <cellStyle name="Total 16 6" xfId="4876" xr:uid="{CF13FCD3-1661-488F-886A-337B45626A3F}"/>
    <cellStyle name="Total 17" xfId="3404" xr:uid="{DFF4C364-18BE-4071-BB53-D1CDA624EC41}"/>
    <cellStyle name="Total 18" xfId="3410" xr:uid="{B9AC091C-9B6F-4475-B592-F1A1B28B63DB}"/>
    <cellStyle name="Total 19" xfId="4420" xr:uid="{2CF0E6F0-0187-469E-8A6F-5FD2A9D4C11B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3" xfId="3732" xr:uid="{87B8E481-9F0D-49CC-9011-3BA0104C3285}"/>
    <cellStyle name="Total 2 2 4" xfId="3890" xr:uid="{4D9D757D-0ECD-465B-AAC0-70CE798DCD55}"/>
    <cellStyle name="Total 2 2 5" xfId="4721" xr:uid="{DED55A74-F1AA-4403-A057-09C72816FDEF}"/>
    <cellStyle name="Total 2 2 6" xfId="4878" xr:uid="{CB7BB854-55BE-4C1C-AC66-4DF2AD5703D2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3" xfId="3733" xr:uid="{8D5F63D0-937F-4AF0-921D-855A2464779B}"/>
    <cellStyle name="Total 2 3 4" xfId="3891" xr:uid="{D2870CC4-1BFE-42E5-85D9-456A83543970}"/>
    <cellStyle name="Total 2 3 5" xfId="4722" xr:uid="{638E359A-DFA4-44FF-990B-B0490B076FE4}"/>
    <cellStyle name="Total 2 3 6" xfId="4879" xr:uid="{F009F8D7-774A-44AB-B224-5FFDA210269B}"/>
    <cellStyle name="Total 2 4" xfId="2636" xr:uid="{00000000-0005-0000-0000-00004E0A0000}"/>
    <cellStyle name="Total 2 4 2" xfId="4389" xr:uid="{846496AC-DB50-4AC7-B661-A83A011FF9E8}"/>
    <cellStyle name="Total 2 5" xfId="3731" xr:uid="{1C2B8D53-325D-4991-9936-4BCEF4AD4213}"/>
    <cellStyle name="Total 2 6" xfId="3889" xr:uid="{07E61543-3F01-446D-A797-705F4854D11C}"/>
    <cellStyle name="Total 2 7" xfId="4720" xr:uid="{22260B09-136E-4929-9045-664433B6E51B}"/>
    <cellStyle name="Total 2 8" xfId="4877" xr:uid="{F5403DAC-9FDD-4E31-87AE-42B4CD06BB3A}"/>
    <cellStyle name="Total 20" xfId="4402" xr:uid="{C42E57C7-3DB5-480C-B80D-32C45738C63E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3" xfId="3734" xr:uid="{8CA0F4EE-DB20-45AA-84B7-DBBB1EA56B3C}"/>
    <cellStyle name="Total 3 4" xfId="3892" xr:uid="{14BAE761-CB6F-47AC-AAC8-D819EC5893E7}"/>
    <cellStyle name="Total 3 5" xfId="4723" xr:uid="{0DF881F6-9610-4CFE-A430-DB284160C36A}"/>
    <cellStyle name="Total 3 6" xfId="4880" xr:uid="{604DF9DD-55EC-48BE-B4C6-7328D6FD6F73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3" xfId="3735" xr:uid="{50748572-3DE8-41E8-8F72-7DA26F91126C}"/>
    <cellStyle name="Total 4 4" xfId="3893" xr:uid="{0003443C-CABE-404B-8D62-01AC10135B4F}"/>
    <cellStyle name="Total 4 5" xfId="4724" xr:uid="{314B30AC-5B3C-474C-8FB7-BCA2DEF87E6E}"/>
    <cellStyle name="Total 4 6" xfId="4881" xr:uid="{63CDDDE0-BBE9-4E8E-9F98-A4FE6E281356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3" xfId="3736" xr:uid="{E925D102-EA0B-4B4E-A617-4B1090109F0F}"/>
    <cellStyle name="Total 5 4" xfId="3894" xr:uid="{05C4FE2C-8570-4A4D-B084-A5F2B6C86664}"/>
    <cellStyle name="Total 5 5" xfId="4725" xr:uid="{A78978A7-7872-49CB-9B4F-9C449EF29325}"/>
    <cellStyle name="Total 5 6" xfId="4882" xr:uid="{52075E66-F60E-48F4-B856-172CDF3F12D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3" xfId="3737" xr:uid="{796C814F-B916-4EB5-8115-19365CAB7E9C}"/>
    <cellStyle name="Total 6 4" xfId="3895" xr:uid="{2B213A10-8D50-4457-AA2C-CE5D122BEB4D}"/>
    <cellStyle name="Total 6 5" xfId="4726" xr:uid="{C6900799-B772-45E0-B305-F8F1C2E71CFB}"/>
    <cellStyle name="Total 6 6" xfId="4883" xr:uid="{475F915B-170D-48D4-922F-3E92F8E1AA3F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3" xfId="3738" xr:uid="{B62579A2-E5C3-4BB9-A18E-94E3ABBB0EA8}"/>
    <cellStyle name="Total 7 4" xfId="3896" xr:uid="{628A1F94-96DC-4085-B6E7-22E7E8E7A51F}"/>
    <cellStyle name="Total 7 5" xfId="4727" xr:uid="{9536C65F-4F89-431B-9AB7-6489882E886F}"/>
    <cellStyle name="Total 7 6" xfId="4884" xr:uid="{E9005338-D8CF-4A3D-87A3-F86EA7890853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3" xfId="3739" xr:uid="{ED68500C-8A82-4E70-AE8E-686FB3784AFE}"/>
    <cellStyle name="Total 8 4" xfId="3897" xr:uid="{99FFA9EE-BE8C-4CF1-BF11-6A6E5D172AD7}"/>
    <cellStyle name="Total 8 5" xfId="4728" xr:uid="{39A74EE3-56E3-4D5E-A24C-355FA0C28206}"/>
    <cellStyle name="Total 8 6" xfId="4885" xr:uid="{B8B32102-9968-45C0-8A3A-388895424C8D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3" xfId="3740" xr:uid="{01213A58-782F-4F90-8277-00B067E72030}"/>
    <cellStyle name="Total 9 4" xfId="3898" xr:uid="{7D06D3A8-4D09-48E9-AB05-EDD12017DCA7}"/>
    <cellStyle name="Total 9 5" xfId="4729" xr:uid="{A142644E-6B05-41C7-B150-285DC6DC7CB8}"/>
    <cellStyle name="Total 9 6" xfId="4886" xr:uid="{57BF7F66-7AEA-4E70-8349-B154993D312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3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3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190500</xdr:colOff>
      <xdr:row>58</xdr:row>
      <xdr:rowOff>168088</xdr:rowOff>
    </xdr:from>
    <xdr:to>
      <xdr:col>10</xdr:col>
      <xdr:colOff>485738</xdr:colOff>
      <xdr:row>62</xdr:row>
      <xdr:rowOff>36019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F39078-6EBD-4815-A54B-65357389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05882" y="11362764"/>
          <a:ext cx="295238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134467</xdr:colOff>
      <xdr:row>9</xdr:row>
      <xdr:rowOff>75267</xdr:rowOff>
    </xdr:from>
    <xdr:to>
      <xdr:col>12</xdr:col>
      <xdr:colOff>141793</xdr:colOff>
      <xdr:row>22</xdr:row>
      <xdr:rowOff>77000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A971644C-4A5D-49FB-88D2-E4026B3CF790}"/>
            </a:ext>
          </a:extLst>
        </xdr:cNvPr>
        <xdr:cNvCxnSpPr/>
      </xdr:nvCxnSpPr>
      <xdr:spPr>
        <a:xfrm>
          <a:off x="4249267" y="1465917"/>
          <a:ext cx="7326" cy="199245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212733</xdr:colOff>
      <xdr:row>2</xdr:row>
      <xdr:rowOff>9525</xdr:rowOff>
    </xdr:from>
    <xdr:to>
      <xdr:col>21</xdr:col>
      <xdr:colOff>305568</xdr:colOff>
      <xdr:row>5</xdr:row>
      <xdr:rowOff>36570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667A3995-DC0E-4483-ABD4-B8D9E58E4A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441372">
          <a:off x="6994533" y="333375"/>
          <a:ext cx="854835" cy="484245"/>
        </a:xfrm>
        <a:prstGeom prst="rect">
          <a:avLst/>
        </a:prstGeom>
      </xdr:spPr>
    </xdr:pic>
    <xdr:clientData/>
  </xdr:twoCellAnchor>
  <xdr:twoCellAnchor>
    <xdr:from>
      <xdr:col>26</xdr:col>
      <xdr:colOff>157675</xdr:colOff>
      <xdr:row>5</xdr:row>
      <xdr:rowOff>50362</xdr:rowOff>
    </xdr:from>
    <xdr:to>
      <xdr:col>29</xdr:col>
      <xdr:colOff>338839</xdr:colOff>
      <xdr:row>17</xdr:row>
      <xdr:rowOff>27190</xdr:rowOff>
    </xdr:to>
    <xdr:grpSp>
      <xdr:nvGrpSpPr>
        <xdr:cNvPr id="126" name="Group 125">
          <a:extLst>
            <a:ext uri="{FF2B5EF4-FFF2-40B4-BE49-F238E27FC236}">
              <a16:creationId xmlns:a16="http://schemas.microsoft.com/office/drawing/2014/main" id="{77081F48-630C-4AD9-8DB3-866209DF4DAD}"/>
            </a:ext>
          </a:extLst>
        </xdr:cNvPr>
        <xdr:cNvGrpSpPr/>
      </xdr:nvGrpSpPr>
      <xdr:grpSpPr>
        <a:xfrm>
          <a:off x="9649057" y="834774"/>
          <a:ext cx="1380194" cy="1859416"/>
          <a:chOff x="9713886" y="808452"/>
          <a:chExt cx="1342558" cy="1766630"/>
        </a:xfrm>
      </xdr:grpSpPr>
      <xdr:grpSp>
        <xdr:nvGrpSpPr>
          <xdr:cNvPr id="127" name="Group 13">
            <a:extLst>
              <a:ext uri="{FF2B5EF4-FFF2-40B4-BE49-F238E27FC236}">
                <a16:creationId xmlns:a16="http://schemas.microsoft.com/office/drawing/2014/main" id="{F39D0D26-0DDA-4A35-90BD-F162D328F87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86" name="Oval 1">
              <a:extLst>
                <a:ext uri="{FF2B5EF4-FFF2-40B4-BE49-F238E27FC236}">
                  <a16:creationId xmlns:a16="http://schemas.microsoft.com/office/drawing/2014/main" id="{72945836-A349-4A21-81D1-F5D9A3105A2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87" name="Straight Connector 3">
              <a:extLst>
                <a:ext uri="{FF2B5EF4-FFF2-40B4-BE49-F238E27FC236}">
                  <a16:creationId xmlns:a16="http://schemas.microsoft.com/office/drawing/2014/main" id="{283625C6-C9DA-454C-9CB5-4B32D6F5439D}"/>
                </a:ext>
              </a:extLst>
            </xdr:cNvPr>
            <xdr:cNvCxnSpPr>
              <a:stCxn id="143" idx="1"/>
              <a:endCxn id="14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8" name="Straight Connector 7">
              <a:extLst>
                <a:ext uri="{FF2B5EF4-FFF2-40B4-BE49-F238E27FC236}">
                  <a16:creationId xmlns:a16="http://schemas.microsoft.com/office/drawing/2014/main" id="{EF64A2A1-F4C7-42C6-BA0E-132863E3D886}"/>
                </a:ext>
              </a:extLst>
            </xdr:cNvPr>
            <xdr:cNvCxnSpPr>
              <a:stCxn id="143" idx="3"/>
              <a:endCxn id="14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8" name="Oval 127">
            <a:extLst>
              <a:ext uri="{FF2B5EF4-FFF2-40B4-BE49-F238E27FC236}">
                <a16:creationId xmlns:a16="http://schemas.microsoft.com/office/drawing/2014/main" id="{A369E1FB-7D28-430D-9290-9C82149E695C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9" name="Group 14">
            <a:extLst>
              <a:ext uri="{FF2B5EF4-FFF2-40B4-BE49-F238E27FC236}">
                <a16:creationId xmlns:a16="http://schemas.microsoft.com/office/drawing/2014/main" id="{125B3D5E-3F77-4051-BE84-16707BFCAC7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83" name="Oval 182">
              <a:extLst>
                <a:ext uri="{FF2B5EF4-FFF2-40B4-BE49-F238E27FC236}">
                  <a16:creationId xmlns:a16="http://schemas.microsoft.com/office/drawing/2014/main" id="{29AFD1C2-A959-4E3A-B127-7FB5B7E9873B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84" name="Straight Connector 183">
              <a:extLst>
                <a:ext uri="{FF2B5EF4-FFF2-40B4-BE49-F238E27FC236}">
                  <a16:creationId xmlns:a16="http://schemas.microsoft.com/office/drawing/2014/main" id="{BB279D34-31F9-4A87-A819-A2A1B5367CBF}"/>
                </a:ext>
              </a:extLst>
            </xdr:cNvPr>
            <xdr:cNvCxnSpPr>
              <a:stCxn id="183" idx="1"/>
              <a:endCxn id="18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85" name="Straight Connector 184">
              <a:extLst>
                <a:ext uri="{FF2B5EF4-FFF2-40B4-BE49-F238E27FC236}">
                  <a16:creationId xmlns:a16="http://schemas.microsoft.com/office/drawing/2014/main" id="{72C937B8-9163-4178-B903-550EA6DA794F}"/>
                </a:ext>
              </a:extLst>
            </xdr:cNvPr>
            <xdr:cNvCxnSpPr>
              <a:stCxn id="183" idx="3"/>
              <a:endCxn id="18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2DAE1363-B0C7-47F8-8F3E-9202635EE11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85422D7C-C7DD-4284-B77A-D022FB9E8BE2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C0872855-C652-4FEA-9F12-90F9617BB302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AB6A5B7C-6B88-4DF9-809F-809E6EC5139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C8FC8C2E-4505-4FAB-A8FE-397B66461E7E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77BCEF6-506F-47D5-BC65-FC9E147423C8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E1745BC8-4BD9-4BAA-98AE-30FAE897FBDD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3E934E2-E131-4825-BB22-9D021A69BA6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A2F9FFF7-82CA-4E41-96B8-EB8748A07BE6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2817D18F-4759-4C5E-8700-B6A28E896DE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792391B3-015B-4BEF-B12F-638503866EE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17F1A4BD-944C-4F4A-A68D-C30605FFEE5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10D3CBE4-667E-4B86-90B4-42A21112669A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50">
            <a:extLst>
              <a:ext uri="{FF2B5EF4-FFF2-40B4-BE49-F238E27FC236}">
                <a16:creationId xmlns:a16="http://schemas.microsoft.com/office/drawing/2014/main" id="{DAC9975F-2D96-4B36-B557-4FDEB95E95A3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3BEE0F11-7C08-4A83-A483-33F41B213742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52">
            <a:extLst>
              <a:ext uri="{FF2B5EF4-FFF2-40B4-BE49-F238E27FC236}">
                <a16:creationId xmlns:a16="http://schemas.microsoft.com/office/drawing/2014/main" id="{66C6A833-3F51-496B-9221-0D95BE966E4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758F4DF0-9408-4A15-90A6-EBDA9B38C0AF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343C6760-4BDF-4D9D-9311-327B13BAB6D7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93AE3E07-A46D-432F-A5D2-314DCD43DDF5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3729778C-475F-4D3B-B6A3-9134BFD0D82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A1C701FE-B89D-44E4-9118-92F00D9121BC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85DCB72B-C604-4BC5-9402-6B14CA09AC3C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FB588128-482E-4658-9A41-ECF00A9E027A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Isosceles Triangle 152">
            <a:extLst>
              <a:ext uri="{FF2B5EF4-FFF2-40B4-BE49-F238E27FC236}">
                <a16:creationId xmlns:a16="http://schemas.microsoft.com/office/drawing/2014/main" id="{514112B8-BC8E-4489-9CB6-096CAED5CDB7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4" name="Isosceles Triangle 153">
            <a:extLst>
              <a:ext uri="{FF2B5EF4-FFF2-40B4-BE49-F238E27FC236}">
                <a16:creationId xmlns:a16="http://schemas.microsoft.com/office/drawing/2014/main" id="{03745C97-852F-4108-92B6-B1ECF86434D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5" name="Group 73">
            <a:extLst>
              <a:ext uri="{FF2B5EF4-FFF2-40B4-BE49-F238E27FC236}">
                <a16:creationId xmlns:a16="http://schemas.microsoft.com/office/drawing/2014/main" id="{9D77E6FC-319A-45A7-AB78-F2892FA13023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BB8A6F41-4984-4404-8F57-47D369D346A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82" name="Straight Connector 181">
              <a:extLst>
                <a:ext uri="{FF2B5EF4-FFF2-40B4-BE49-F238E27FC236}">
                  <a16:creationId xmlns:a16="http://schemas.microsoft.com/office/drawing/2014/main" id="{95A2AA8D-2069-4231-BA27-8A0F25325A03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6" name="Group 74">
            <a:extLst>
              <a:ext uri="{FF2B5EF4-FFF2-40B4-BE49-F238E27FC236}">
                <a16:creationId xmlns:a16="http://schemas.microsoft.com/office/drawing/2014/main" id="{8FACD1AB-4624-43A3-B420-9338C506EF72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79" name="TextBox 178">
              <a:extLst>
                <a:ext uri="{FF2B5EF4-FFF2-40B4-BE49-F238E27FC236}">
                  <a16:creationId xmlns:a16="http://schemas.microsoft.com/office/drawing/2014/main" id="{E863AA7C-E12B-4A22-AF58-9411C526FB7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80" name="Straight Connector 179">
              <a:extLst>
                <a:ext uri="{FF2B5EF4-FFF2-40B4-BE49-F238E27FC236}">
                  <a16:creationId xmlns:a16="http://schemas.microsoft.com/office/drawing/2014/main" id="{F781B20B-E95F-47DA-9F6A-299C2F8C8ED9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7" name="Group 89">
            <a:extLst>
              <a:ext uri="{FF2B5EF4-FFF2-40B4-BE49-F238E27FC236}">
                <a16:creationId xmlns:a16="http://schemas.microsoft.com/office/drawing/2014/main" id="{33F9036C-D942-4B44-9ADF-409FA808D6F1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5" name="Straight Connector 174">
              <a:extLst>
                <a:ext uri="{FF2B5EF4-FFF2-40B4-BE49-F238E27FC236}">
                  <a16:creationId xmlns:a16="http://schemas.microsoft.com/office/drawing/2014/main" id="{56591F1B-5CEA-49A2-8C8A-7BDD02AD48F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6" name="Straight Connector 79">
              <a:extLst>
                <a:ext uri="{FF2B5EF4-FFF2-40B4-BE49-F238E27FC236}">
                  <a16:creationId xmlns:a16="http://schemas.microsoft.com/office/drawing/2014/main" id="{99E6F22C-98A9-4A08-AD43-795C9750664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7" name="Straight Connector 80">
              <a:extLst>
                <a:ext uri="{FF2B5EF4-FFF2-40B4-BE49-F238E27FC236}">
                  <a16:creationId xmlns:a16="http://schemas.microsoft.com/office/drawing/2014/main" id="{82607690-291D-4528-8BE8-806CF9C29D7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8" name="Straight Connector 88">
              <a:extLst>
                <a:ext uri="{FF2B5EF4-FFF2-40B4-BE49-F238E27FC236}">
                  <a16:creationId xmlns:a16="http://schemas.microsoft.com/office/drawing/2014/main" id="{A511865A-13FE-4E19-8CB2-B7455530BC3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8" name="Group 90">
            <a:extLst>
              <a:ext uri="{FF2B5EF4-FFF2-40B4-BE49-F238E27FC236}">
                <a16:creationId xmlns:a16="http://schemas.microsoft.com/office/drawing/2014/main" id="{B1BEEC8B-9AE7-4FD5-A90D-BAA53FAB7758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BD97C1D2-33AA-45C0-94E3-5DFBDCF0514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58D532E1-8077-4138-93DB-44EDDFBA457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3" name="Straight Connector 172">
              <a:extLst>
                <a:ext uri="{FF2B5EF4-FFF2-40B4-BE49-F238E27FC236}">
                  <a16:creationId xmlns:a16="http://schemas.microsoft.com/office/drawing/2014/main" id="{FFE3B001-033A-4B92-8B95-16B43C3D4CDD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4" name="Straight Connector 173">
              <a:extLst>
                <a:ext uri="{FF2B5EF4-FFF2-40B4-BE49-F238E27FC236}">
                  <a16:creationId xmlns:a16="http://schemas.microsoft.com/office/drawing/2014/main" id="{7932598A-79F6-417C-9CC8-EEDED561FC2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52CAD387-0BAB-4DC1-8F9E-7659D346045E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3568CC2F-97B8-418C-A723-4707BF4E894A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Arrow Connector 160">
            <a:extLst>
              <a:ext uri="{FF2B5EF4-FFF2-40B4-BE49-F238E27FC236}">
                <a16:creationId xmlns:a16="http://schemas.microsoft.com/office/drawing/2014/main" id="{31BF752D-1CCC-49ED-9DF5-1A32AA6F5021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79D7A1EF-BB03-4310-A2E3-BCFB4EB7718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3" name="Group 155">
            <a:extLst>
              <a:ext uri="{FF2B5EF4-FFF2-40B4-BE49-F238E27FC236}">
                <a16:creationId xmlns:a16="http://schemas.microsoft.com/office/drawing/2014/main" id="{140AF5B0-3E5A-4F44-8F46-9A7B9C223DFE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68" name="Isosceles Triangle 167">
              <a:extLst>
                <a:ext uri="{FF2B5EF4-FFF2-40B4-BE49-F238E27FC236}">
                  <a16:creationId xmlns:a16="http://schemas.microsoft.com/office/drawing/2014/main" id="{41C90E94-9B68-4C8A-9AC9-49868685FC5A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9" name="Isosceles Triangle 168">
              <a:extLst>
                <a:ext uri="{FF2B5EF4-FFF2-40B4-BE49-F238E27FC236}">
                  <a16:creationId xmlns:a16="http://schemas.microsoft.com/office/drawing/2014/main" id="{9EE67063-4220-457B-A944-B9F3CCD7C983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70" name="Isosceles Triangle 169">
              <a:extLst>
                <a:ext uri="{FF2B5EF4-FFF2-40B4-BE49-F238E27FC236}">
                  <a16:creationId xmlns:a16="http://schemas.microsoft.com/office/drawing/2014/main" id="{84448215-6E68-45C6-AB90-18EABD2CB604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64" name="Group 134">
            <a:extLst>
              <a:ext uri="{FF2B5EF4-FFF2-40B4-BE49-F238E27FC236}">
                <a16:creationId xmlns:a16="http://schemas.microsoft.com/office/drawing/2014/main" id="{BEA2F3D2-34F9-4C1E-82F9-5049874A759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65" name="Isosceles Triangle 164">
              <a:extLst>
                <a:ext uri="{FF2B5EF4-FFF2-40B4-BE49-F238E27FC236}">
                  <a16:creationId xmlns:a16="http://schemas.microsoft.com/office/drawing/2014/main" id="{91DFE205-A855-4011-8572-22980D4A821B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6" name="Isosceles Triangle 165">
              <a:extLst>
                <a:ext uri="{FF2B5EF4-FFF2-40B4-BE49-F238E27FC236}">
                  <a16:creationId xmlns:a16="http://schemas.microsoft.com/office/drawing/2014/main" id="{D7BDF986-B8FE-4380-A56A-2FB61D57DB5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67" name="Isosceles Triangle 166">
              <a:extLst>
                <a:ext uri="{FF2B5EF4-FFF2-40B4-BE49-F238E27FC236}">
                  <a16:creationId xmlns:a16="http://schemas.microsoft.com/office/drawing/2014/main" id="{59D51BC9-780B-430C-8E78-3AF6822BD5B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</xdr:col>
      <xdr:colOff>247650</xdr:colOff>
      <xdr:row>11</xdr:row>
      <xdr:rowOff>152134</xdr:rowOff>
    </xdr:from>
    <xdr:to>
      <xdr:col>4</xdr:col>
      <xdr:colOff>65020</xdr:colOff>
      <xdr:row>17</xdr:row>
      <xdr:rowOff>46461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F98DCFE-ADE9-4F45-A5A8-EC51F4234506}"/>
            </a:ext>
          </a:extLst>
        </xdr:cNvPr>
        <xdr:cNvSpPr txBox="1"/>
      </xdr:nvSpPr>
      <xdr:spPr>
        <a:xfrm>
          <a:off x="438150" y="1847584"/>
          <a:ext cx="693670" cy="81825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7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TURUN DAYA</a:t>
          </a:r>
        </a:p>
        <a:p>
          <a:pPr algn="ctr"/>
          <a:r>
            <a:rPr lang="en-US" sz="700" b="1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H NUR ROHMAD</a:t>
          </a:r>
        </a:p>
      </xdr:txBody>
    </xdr:sp>
    <xdr:clientData/>
  </xdr:twoCellAnchor>
  <xdr:twoCellAnchor>
    <xdr:from>
      <xdr:col>5</xdr:col>
      <xdr:colOff>114781</xdr:colOff>
      <xdr:row>12</xdr:row>
      <xdr:rowOff>119197</xdr:rowOff>
    </xdr:from>
    <xdr:to>
      <xdr:col>11</xdr:col>
      <xdr:colOff>287704</xdr:colOff>
      <xdr:row>12</xdr:row>
      <xdr:rowOff>122295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AC3B3E1F-6639-464E-9C44-2F9AD76CB7BE}"/>
            </a:ext>
          </a:extLst>
        </xdr:cNvPr>
        <xdr:cNvCxnSpPr>
          <a:stCxn id="192" idx="2"/>
          <a:endCxn id="203" idx="6"/>
        </xdr:cNvCxnSpPr>
      </xdr:nvCxnSpPr>
      <xdr:spPr>
        <a:xfrm flipH="1" flipV="1">
          <a:off x="1562581" y="1967047"/>
          <a:ext cx="2458923" cy="3098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287704</xdr:colOff>
      <xdr:row>12</xdr:row>
      <xdr:rowOff>53338</xdr:rowOff>
    </xdr:from>
    <xdr:to>
      <xdr:col>12</xdr:col>
      <xdr:colOff>25347</xdr:colOff>
      <xdr:row>13</xdr:row>
      <xdr:rowOff>25599</xdr:rowOff>
    </xdr:to>
    <xdr:grpSp>
      <xdr:nvGrpSpPr>
        <xdr:cNvPr id="191" name="Group 190">
          <a:extLst>
            <a:ext uri="{FF2B5EF4-FFF2-40B4-BE49-F238E27FC236}">
              <a16:creationId xmlns:a16="http://schemas.microsoft.com/office/drawing/2014/main" id="{E4867F34-EB1B-4F85-82C5-681FD7F3A790}"/>
            </a:ext>
          </a:extLst>
        </xdr:cNvPr>
        <xdr:cNvGrpSpPr/>
      </xdr:nvGrpSpPr>
      <xdr:grpSpPr>
        <a:xfrm>
          <a:off x="4030469" y="1935926"/>
          <a:ext cx="118643" cy="12914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2" name="Oval 191">
            <a:extLst>
              <a:ext uri="{FF2B5EF4-FFF2-40B4-BE49-F238E27FC236}">
                <a16:creationId xmlns:a16="http://schemas.microsoft.com/office/drawing/2014/main" id="{4A486D8A-BC9B-44B5-B830-992B44D5C9C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EAECDA44-A3BC-48A8-B3E7-38CB1C56485A}"/>
              </a:ext>
            </a:extLst>
          </xdr:cNvPr>
          <xdr:cNvCxnSpPr>
            <a:stCxn id="192" idx="1"/>
            <a:endCxn id="1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30D6444D-BB79-449E-84F2-A25CD578A5FA}"/>
              </a:ext>
            </a:extLst>
          </xdr:cNvPr>
          <xdr:cNvCxnSpPr>
            <a:stCxn id="192" idx="3"/>
            <a:endCxn id="1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347026</xdr:colOff>
      <xdr:row>13</xdr:row>
      <xdr:rowOff>25599</xdr:rowOff>
    </xdr:from>
    <xdr:to>
      <xdr:col>11</xdr:col>
      <xdr:colOff>361601</xdr:colOff>
      <xdr:row>18</xdr:row>
      <xdr:rowOff>55486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058817D6-A29A-4288-80CB-EA0EE8B797E4}"/>
            </a:ext>
          </a:extLst>
        </xdr:cNvPr>
        <xdr:cNvCxnSpPr>
          <a:stCxn id="192" idx="4"/>
        </xdr:cNvCxnSpPr>
      </xdr:nvCxnSpPr>
      <xdr:spPr>
        <a:xfrm>
          <a:off x="4080826" y="2035374"/>
          <a:ext cx="14575" cy="791887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345482</xdr:colOff>
      <xdr:row>9</xdr:row>
      <xdr:rowOff>75267</xdr:rowOff>
    </xdr:from>
    <xdr:to>
      <xdr:col>11</xdr:col>
      <xdr:colOff>346947</xdr:colOff>
      <xdr:row>12</xdr:row>
      <xdr:rowOff>54019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D03AF256-1521-4EFC-8601-D15717A4AC60}"/>
            </a:ext>
          </a:extLst>
        </xdr:cNvPr>
        <xdr:cNvCxnSpPr/>
      </xdr:nvCxnSpPr>
      <xdr:spPr>
        <a:xfrm flipH="1">
          <a:off x="4079282" y="1465917"/>
          <a:ext cx="1465" cy="435952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269181</xdr:colOff>
      <xdr:row>12</xdr:row>
      <xdr:rowOff>42173</xdr:rowOff>
    </xdr:from>
    <xdr:to>
      <xdr:col>8</xdr:col>
      <xdr:colOff>379699</xdr:colOff>
      <xdr:row>13</xdr:row>
      <xdr:rowOff>11535</xdr:rowOff>
    </xdr:to>
    <xdr:grpSp>
      <xdr:nvGrpSpPr>
        <xdr:cNvPr id="197" name="Group 196">
          <a:extLst>
            <a:ext uri="{FF2B5EF4-FFF2-40B4-BE49-F238E27FC236}">
              <a16:creationId xmlns:a16="http://schemas.microsoft.com/office/drawing/2014/main" id="{3AC044A8-7445-4E55-8281-715ACF7D5A53}"/>
            </a:ext>
          </a:extLst>
        </xdr:cNvPr>
        <xdr:cNvGrpSpPr/>
      </xdr:nvGrpSpPr>
      <xdr:grpSpPr>
        <a:xfrm>
          <a:off x="2868946" y="1924761"/>
          <a:ext cx="110518" cy="1262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8" name="Oval 197">
            <a:extLst>
              <a:ext uri="{FF2B5EF4-FFF2-40B4-BE49-F238E27FC236}">
                <a16:creationId xmlns:a16="http://schemas.microsoft.com/office/drawing/2014/main" id="{FCAADB67-6EA0-4C7A-91D4-2095FBD2069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DAD31086-AC22-4329-8119-37B9538EE781}"/>
              </a:ext>
            </a:extLst>
          </xdr:cNvPr>
          <xdr:cNvCxnSpPr>
            <a:stCxn id="198" idx="1"/>
            <a:endCxn id="19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6F96C9FF-FAD9-4C99-8893-1DFA0EA4B1F3}"/>
              </a:ext>
            </a:extLst>
          </xdr:cNvPr>
          <xdr:cNvCxnSpPr>
            <a:stCxn id="198" idx="3"/>
            <a:endCxn id="19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60945</xdr:colOff>
      <xdr:row>12</xdr:row>
      <xdr:rowOff>65741</xdr:rowOff>
    </xdr:from>
    <xdr:to>
      <xdr:col>13</xdr:col>
      <xdr:colOff>266101</xdr:colOff>
      <xdr:row>17</xdr:row>
      <xdr:rowOff>22314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448B394-25B0-4A89-B168-253A1DAC04BC}"/>
            </a:ext>
          </a:extLst>
        </xdr:cNvPr>
        <xdr:cNvSpPr txBox="1"/>
      </xdr:nvSpPr>
      <xdr:spPr>
        <a:xfrm>
          <a:off x="4175745" y="1913591"/>
          <a:ext cx="586156" cy="72809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KDS 03</a:t>
          </a:r>
        </a:p>
        <a:p>
          <a:pPr algn="ctr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K3-210/106</a:t>
          </a:r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 DAN</a:t>
          </a:r>
        </a:p>
        <a:p>
          <a:pPr algn="l"/>
          <a:r>
            <a:rPr lang="id-ID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 312A</a:t>
          </a:r>
          <a:endParaRPr lang="id-ID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377138</xdr:colOff>
      <xdr:row>12</xdr:row>
      <xdr:rowOff>50240</xdr:rowOff>
    </xdr:from>
    <xdr:to>
      <xdr:col>5</xdr:col>
      <xdr:colOff>114781</xdr:colOff>
      <xdr:row>13</xdr:row>
      <xdr:rowOff>26228</xdr:rowOff>
    </xdr:to>
    <xdr:grpSp>
      <xdr:nvGrpSpPr>
        <xdr:cNvPr id="202" name="Group 201">
          <a:extLst>
            <a:ext uri="{FF2B5EF4-FFF2-40B4-BE49-F238E27FC236}">
              <a16:creationId xmlns:a16="http://schemas.microsoft.com/office/drawing/2014/main" id="{FA2BB741-DCA1-41CA-8C22-5B2AE859A99F}"/>
            </a:ext>
          </a:extLst>
        </xdr:cNvPr>
        <xdr:cNvGrpSpPr/>
      </xdr:nvGrpSpPr>
      <xdr:grpSpPr>
        <a:xfrm>
          <a:off x="1452903" y="1932828"/>
          <a:ext cx="118643" cy="1328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3" name="Oval 202">
            <a:extLst>
              <a:ext uri="{FF2B5EF4-FFF2-40B4-BE49-F238E27FC236}">
                <a16:creationId xmlns:a16="http://schemas.microsoft.com/office/drawing/2014/main" id="{F84496B1-0278-4BA0-B97A-4696E6D71DC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B3E7E245-7519-471E-B2CC-D6A3D294638E}"/>
              </a:ext>
            </a:extLst>
          </xdr:cNvPr>
          <xdr:cNvCxnSpPr>
            <a:stCxn id="203" idx="1"/>
            <a:endCxn id="20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85F47FCA-8CE6-4ABA-94BC-14505E5D6E85}"/>
              </a:ext>
            </a:extLst>
          </xdr:cNvPr>
          <xdr:cNvCxnSpPr>
            <a:stCxn id="203" idx="3"/>
            <a:endCxn id="20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172695</xdr:colOff>
      <xdr:row>12</xdr:row>
      <xdr:rowOff>110913</xdr:rowOff>
    </xdr:from>
    <xdr:to>
      <xdr:col>4</xdr:col>
      <xdr:colOff>377138</xdr:colOff>
      <xdr:row>12</xdr:row>
      <xdr:rowOff>110914</xdr:rowOff>
    </xdr:to>
    <xdr:cxnSp macro="">
      <xdr:nvCxnSpPr>
        <xdr:cNvPr id="206" name="Straight Arrow Connector 205">
          <a:extLst>
            <a:ext uri="{FF2B5EF4-FFF2-40B4-BE49-F238E27FC236}">
              <a16:creationId xmlns:a16="http://schemas.microsoft.com/office/drawing/2014/main" id="{0FD2DC87-F8C2-4310-A6A3-1019E70065E5}"/>
            </a:ext>
          </a:extLst>
        </xdr:cNvPr>
        <xdr:cNvCxnSpPr>
          <a:stCxn id="203" idx="2"/>
        </xdr:cNvCxnSpPr>
      </xdr:nvCxnSpPr>
      <xdr:spPr>
        <a:xfrm flipH="1" flipV="1">
          <a:off x="1239495" y="1958763"/>
          <a:ext cx="204443" cy="1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148711</xdr:colOff>
      <xdr:row>11</xdr:row>
      <xdr:rowOff>22064</xdr:rowOff>
    </xdr:from>
    <xdr:to>
      <xdr:col>11</xdr:col>
      <xdr:colOff>281233</xdr:colOff>
      <xdr:row>12</xdr:row>
      <xdr:rowOff>22064</xdr:rowOff>
    </xdr:to>
    <xdr:sp macro="" textlink="">
      <xdr:nvSpPr>
        <xdr:cNvPr id="207" name="Isosceles Triangle 206">
          <a:extLst>
            <a:ext uri="{FF2B5EF4-FFF2-40B4-BE49-F238E27FC236}">
              <a16:creationId xmlns:a16="http://schemas.microsoft.com/office/drawing/2014/main" id="{2B2F81F3-3B07-4004-8317-10EBB67AC9E1}"/>
            </a:ext>
          </a:extLst>
        </xdr:cNvPr>
        <xdr:cNvSpPr/>
      </xdr:nvSpPr>
      <xdr:spPr>
        <a:xfrm>
          <a:off x="3882511" y="1717514"/>
          <a:ext cx="132522" cy="15240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49320</xdr:colOff>
      <xdr:row>11</xdr:row>
      <xdr:rowOff>149617</xdr:rowOff>
    </xdr:from>
    <xdr:to>
      <xdr:col>4</xdr:col>
      <xdr:colOff>107299</xdr:colOff>
      <xdr:row>13</xdr:row>
      <xdr:rowOff>25378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71003B44-498F-4FBE-8742-D6417002C585}"/>
            </a:ext>
          </a:extLst>
        </xdr:cNvPr>
        <xdr:cNvSpPr/>
      </xdr:nvSpPr>
      <xdr:spPr>
        <a:xfrm>
          <a:off x="1116120" y="1845067"/>
          <a:ext cx="57979" cy="190086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327728</xdr:colOff>
      <xdr:row>12</xdr:row>
      <xdr:rowOff>16983</xdr:rowOff>
    </xdr:from>
    <xdr:to>
      <xdr:col>7</xdr:col>
      <xdr:colOff>350485</xdr:colOff>
      <xdr:row>13</xdr:row>
      <xdr:rowOff>69784</xdr:rowOff>
    </xdr:to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FD2DEABD-D2E8-4F66-8B69-C4F347CF8640}"/>
            </a:ext>
          </a:extLst>
        </xdr:cNvPr>
        <xdr:cNvSpPr txBox="1"/>
      </xdr:nvSpPr>
      <xdr:spPr>
        <a:xfrm>
          <a:off x="2156528" y="1864833"/>
          <a:ext cx="403757" cy="214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>
    <xdr:from>
      <xdr:col>9</xdr:col>
      <xdr:colOff>140541</xdr:colOff>
      <xdr:row>12</xdr:row>
      <xdr:rowOff>31892</xdr:rowOff>
    </xdr:from>
    <xdr:to>
      <xdr:col>10</xdr:col>
      <xdr:colOff>163298</xdr:colOff>
      <xdr:row>13</xdr:row>
      <xdr:rowOff>81380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949CD4C1-284F-4501-AFA9-58EBB6541D12}"/>
            </a:ext>
          </a:extLst>
        </xdr:cNvPr>
        <xdr:cNvSpPr txBox="1"/>
      </xdr:nvSpPr>
      <xdr:spPr>
        <a:xfrm>
          <a:off x="3112341" y="1879742"/>
          <a:ext cx="403757" cy="211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 editAs="oneCell">
    <xdr:from>
      <xdr:col>9</xdr:col>
      <xdr:colOff>158513</xdr:colOff>
      <xdr:row>32</xdr:row>
      <xdr:rowOff>25378</xdr:rowOff>
    </xdr:from>
    <xdr:to>
      <xdr:col>21</xdr:col>
      <xdr:colOff>2226</xdr:colOff>
      <xdr:row>53</xdr:row>
      <xdr:rowOff>21360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CF9F7068-A053-4B56-8F42-975A0B9E1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30313" y="4921228"/>
          <a:ext cx="4415713" cy="33202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16" sqref="C16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6" t="s">
        <v>1134</v>
      </c>
      <c r="C4" s="506"/>
      <c r="D4" s="506"/>
      <c r="E4" s="506"/>
      <c r="F4" s="506"/>
      <c r="G4" s="506"/>
      <c r="H4" s="50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7" t="s">
        <v>0</v>
      </c>
      <c r="C7" s="507" t="s">
        <v>1</v>
      </c>
      <c r="D7" s="508" t="s">
        <v>42</v>
      </c>
      <c r="E7" s="508" t="s">
        <v>43</v>
      </c>
      <c r="F7" s="508" t="s">
        <v>1135</v>
      </c>
      <c r="G7" s="509" t="s">
        <v>41</v>
      </c>
      <c r="H7" s="505" t="s">
        <v>1042</v>
      </c>
      <c r="I7" s="505" t="s">
        <v>1137</v>
      </c>
      <c r="J7" s="505" t="s">
        <v>1026</v>
      </c>
      <c r="K7" s="499" t="s">
        <v>1024</v>
      </c>
      <c r="L7" s="500"/>
    </row>
    <row r="8" spans="1:12" ht="15" customHeight="1">
      <c r="B8" s="507"/>
      <c r="C8" s="507"/>
      <c r="D8" s="508"/>
      <c r="E8" s="508"/>
      <c r="F8" s="508"/>
      <c r="G8" s="509"/>
      <c r="H8" s="505"/>
      <c r="I8" s="505"/>
      <c r="J8" s="505"/>
      <c r="K8" s="501"/>
      <c r="L8" s="502"/>
    </row>
    <row r="9" spans="1:12" ht="15" customHeight="1">
      <c r="B9" s="507"/>
      <c r="C9" s="507"/>
      <c r="D9" s="508"/>
      <c r="E9" s="508"/>
      <c r="F9" s="508"/>
      <c r="G9" s="509"/>
      <c r="H9" s="505"/>
      <c r="I9" s="505"/>
      <c r="J9" s="505"/>
      <c r="K9" s="503"/>
      <c r="L9" s="50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2 x 10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35</v>
      </c>
      <c r="G14" s="41">
        <f ca="1">IF(ISERROR(OFFSET('HARGA SATUAN'!$I$6,MATCH(C14,'HARGA SATUAN'!$C$7:$C$1492,0),0)),"",OFFSET('HARGA SATUAN'!$I$6,MATCH(C14,'HARGA SATUAN'!$C$7:$C$1492,0),0))</f>
        <v>4300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 t="str">
        <f t="shared" ca="1" si="0"/>
        <v/>
      </c>
      <c r="C15" s="109" t="str">
        <f t="shared" ca="1" si="1"/>
        <v/>
      </c>
      <c r="D15" s="101" t="str">
        <f ca="1">IF(ISERROR(OFFSET('HARGA SATUAN'!$D$6,MATCH(C15,'HARGA SATUAN'!$C$7:$C$1492,0),0)),"",OFFSET('HARGA SATUAN'!$D$6,MATCH(C15,'HARGA SATUAN'!$C$7:$C$1492,0),0))</f>
        <v/>
      </c>
      <c r="E15" s="101">
        <f ca="1">IF(B15="+","Unit",IF(ISERROR(OFFSET('HARGA SATUAN'!$E$6,MATCH(C15,'HARGA SATUAN'!$C$7:$C$1492,0),0)),"",OFFSET('HARGA SATUAN'!$E$6,MATCH(C15,'HARGA SATUAN'!$C$7:$C$1492,0),0)))</f>
        <v>0</v>
      </c>
      <c r="F15" s="138" t="str">
        <f t="shared" ca="1" si="2"/>
        <v/>
      </c>
      <c r="G15" s="41">
        <f ca="1">IF(ISERROR(OFFSET('HARGA SATUAN'!$I$6,MATCH(C15,'HARGA SATUAN'!$C$7:$C$1492,0),0)),"",OFFSET('HARGA SATUAN'!$I$6,MATCH(C15,'HARGA SATUAN'!$C$7:$C$1492,0),0))</f>
        <v>0</v>
      </c>
      <c r="H15" s="136" t="str">
        <f ca="1">IF(B15="","",#REF!)</f>
        <v/>
      </c>
      <c r="I15" s="136" t="str">
        <f ca="1">IF(B15="","",#REF!)</f>
        <v/>
      </c>
      <c r="J15" s="136" t="str">
        <f ca="1">IF(B15="","",#REF!)</f>
        <v/>
      </c>
      <c r="K15" s="136" t="str">
        <f ca="1">IF(B15="","",#REF!)</f>
        <v/>
      </c>
      <c r="L15" s="136" t="str">
        <f ca="1">IF(C15="","",#REF!)</f>
        <v/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SUMIFS(RAB!$F$14:$F$42,RAB!$C$14:$C$42,C714)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SUMIFS(RAB!$F$14:$F$42,RAB!$C$14:$C$42,C715)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SUMIFS(RAB!$F$14:$F$42,RAB!$C$14:$C$42,C716)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SUMIFS(RAB!$F$14:$F$42,RAB!$C$14:$C$42,C717)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SUMIFS(RAB!$F$14:$F$42,RAB!$C$14:$C$42,C718)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SUMIFS(RAB!$F$14:$F$42,RAB!$C$14:$C$42,C719)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SUMIFS(RAB!$F$14:$F$42,RAB!$C$14:$C$42,C720)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SUMIFS(RAB!$F$14:$F$42,RAB!$C$14:$C$42,C721)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SUMIFS(RAB!$F$14:$F$42,RAB!$C$14:$C$42,C722)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SUMIFS(RAB!$F$14:$F$42,RAB!$C$14:$C$42,C723)</f>
        <v>1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SUMIFS(RAB!$F$14:$F$42,RAB!$C$14:$C$42,C724)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SUMIFS(RAB!$F$14:$F$42,RAB!$C$14:$C$42,C725)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SUMIFS(RAB!$F$14:$F$42,RAB!$C$14:$C$42,C726)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SUMIFS(RAB!$F$14:$F$42,RAB!$C$14:$C$42,C727)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SUMIFS(RAB!$F$14:$F$42,RAB!$C$14:$C$42,C728)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SUMIFS(RAB!$F$14:$F$42,RAB!$C$14:$C$42,C729)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SUMIFS(RAB!$F$14:$F$42,RAB!$C$14:$C$42,C730)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SUMIFS(RAB!$F$14:$F$42,RAB!$C$14:$C$42,C731)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SUMIFS(RAB!$F$14:$F$42,RAB!$C$14:$C$42,C732)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SUMIFS(RAB!$F$14:$F$42,RAB!$C$14:$C$42,C733)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SUMIFS(RAB!$F$14:$F$42,RAB!$C$14:$C$42,C734)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SUMIFS(RAB!$F$14:$F$42,RAB!$C$14:$C$42,C735)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SUMIFS(RAB!$F$14:$F$42,RAB!$C$14:$C$42,C736)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SUMIFS(RAB!$F$14:$F$42,RAB!$C$14:$C$42,C737)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SUMIFS(RAB!$F$14:$F$42,RAB!$C$14:$C$42,C738)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SUMIFS(RAB!$F$14:$F$42,RAB!$C$14:$C$42,C739)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SUMIFS(RAB!$F$14:$F$42,RAB!$C$14:$C$42,C740)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SUMIFS(RAB!$F$14:$F$42,RAB!$C$14:$C$42,C741)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SUMIFS(RAB!$F$14:$F$42,RAB!$C$14:$C$42,C742)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SUMIFS(RAB!$F$14:$F$42,RAB!$C$14:$C$42,C743)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SUMIFS(RAB!$F$14:$F$42,RAB!$C$14:$C$42,C744)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SUMIFS(RAB!$F$14:$F$42,RAB!$C$14:$C$42,C745)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SUMIFS(RAB!$F$14:$F$42,RAB!$C$14:$C$42,C746)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SUMIFS(RAB!$F$14:$F$42,RAB!$C$14:$C$42,C747)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SUMIFS(RAB!$F$14:$F$42,RAB!$C$14:$C$42,C748)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SUMIFS(RAB!$F$14:$F$42,RAB!$C$14:$C$42,C749)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SUMIFS(RAB!$F$14:$F$42,RAB!$C$14:$C$42,C750)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SUMIFS(RAB!$F$14:$F$42,RAB!$C$14:$C$42,C751)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SUMIFS(RAB!$F$14:$F$42,RAB!$C$14:$C$42,C752)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SUMIFS(RAB!$F$14:$F$42,RAB!$C$14:$C$42,C753)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SUMIFS(RAB!$F$14:$F$42,RAB!$C$14:$C$42,C754)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SUMIFS(RAB!$F$14:$F$42,RAB!$C$14:$C$42,C755)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SUMIFS(RAB!$F$14:$F$42,RAB!$C$14:$C$42,C756)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SUMIFS(RAB!$F$14:$F$42,RAB!$C$14:$C$42,C757)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SUMIFS(RAB!$F$14:$F$42,RAB!$C$14:$C$42,C758)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SUMIFS(RAB!$F$14:$F$42,RAB!$C$14:$C$42,C759)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SUMIFS(RAB!$F$14:$F$42,RAB!$C$14:$C$42,C760)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SUMIFS(RAB!$F$14:$F$42,RAB!$C$14:$C$42,C761)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SUMIFS(RAB!$F$14:$F$42,RAB!$C$14:$C$42,C762)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SUMIFS(RAB!$F$14:$F$42,RAB!$C$14:$C$42,C763)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SUMIFS(RAB!$F$14:$F$42,RAB!$C$14:$C$42,C764)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SUMIFS(RAB!$F$14:$F$42,RAB!$C$14:$C$42,C765)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SUMIFS(RAB!$F$14:$F$42,RAB!$C$14:$C$42,C766)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SUMIFS(RAB!$F$14:$F$42,RAB!$C$14:$C$42,C767)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SUMIFS(RAB!$F$14:$F$42,RAB!$C$14:$C$42,C768)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SUMIFS(RAB!$F$14:$F$42,RAB!$C$14:$C$42,C769)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SUMIFS(RAB!$F$14:$F$42,RAB!$C$14:$C$42,C770)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SUMIFS(RAB!$F$14:$F$42,RAB!$C$14:$C$42,C771)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SUMIFS(RAB!$F$14:$F$42,RAB!$C$14:$C$42,C772)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SUMIFS(RAB!$F$14:$F$42,RAB!$C$14:$C$42,C773)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SUMIFS(RAB!$F$14:$F$42,RAB!$C$14:$C$42,C774)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SUMIFS(RAB!$F$14:$F$42,RAB!$C$14:$C$42,C775)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SUMIFS(RAB!$F$14:$F$42,RAB!$C$14:$C$42,C776)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SUMIFS(RAB!$F$14:$F$42,RAB!$C$14:$C$42,C777)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SUMIFS(RAB!$F$14:$F$42,RAB!$C$14:$C$42,C778)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SUMIFS(RAB!$F$14:$F$42,RAB!$C$14:$C$42,C779)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SUMIFS(RAB!$F$14:$F$42,RAB!$C$14:$C$42,C780)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SUMIFS(RAB!$F$14:$F$42,RAB!$C$14:$C$42,C781)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SUMIFS(RAB!$F$14:$F$42,RAB!$C$14:$C$42,C782)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SUMIFS(RAB!$F$14:$F$42,RAB!$C$14:$C$42,C783)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SUMIFS(RAB!$F$14:$F$42,RAB!$C$14:$C$42,C784)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SUMIFS(RAB!$F$14:$F$42,RAB!$C$14:$C$42,C785)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SUMIFS(RAB!$F$14:$F$42,RAB!$C$14:$C$42,C786)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SUMIFS(RAB!$F$14:$F$42,RAB!$C$14:$C$42,C787)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SUMIFS(RAB!$F$14:$F$42,RAB!$C$14:$C$42,C788)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SUMIFS(RAB!$F$14:$F$42,RAB!$C$14:$C$42,C789)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SUMIFS(RAB!$F$14:$F$42,RAB!$C$14:$C$42,C790)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SUMIFS(RAB!$F$14:$F$42,RAB!$C$14:$C$42,C791)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SUMIFS(RAB!$F$14:$F$42,RAB!$C$14:$C$42,C792)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SUMIFS(RAB!$F$14:$F$42,RAB!$C$14:$C$42,C793)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SUMIFS(RAB!$F$14:$F$42,RAB!$C$14:$C$42,C794)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SUMIFS(RAB!$F$14:$F$42,RAB!$C$14:$C$42,C795)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SUMIFS(RAB!$F$14:$F$42,RAB!$C$14:$C$42,C796)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SUMIFS(RAB!$F$14:$F$42,RAB!$C$14:$C$42,C797)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SUMIFS(RAB!$F$14:$F$42,RAB!$C$14:$C$42,C798)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SUMIFS(RAB!$F$14:$F$42,RAB!$C$14:$C$42,C799)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SUMIFS(RAB!$F$14:$F$42,RAB!$C$14:$C$42,C800)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SUMIFS(RAB!$F$14:$F$42,RAB!$C$14:$C$42,C801)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SUMIFS(RAB!$F$14:$F$42,RAB!$C$14:$C$42,C802)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SUMIFS(RAB!$F$14:$F$42,RAB!$C$14:$C$42,C803)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SUMIFS(RAB!$F$14:$F$42,RAB!$C$14:$C$42,C804)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SUMIFS(RAB!$F$14:$F$42,RAB!$C$14:$C$42,C805)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SUMIFS(RAB!$F$14:$F$42,RAB!$C$14:$C$42,C806)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SUMIFS(RAB!$F$14:$F$42,RAB!$C$14:$C$42,C807)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SUMIFS(RAB!$F$14:$F$42,RAB!$C$14:$C$42,C808)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SUMIFS(RAB!$F$14:$F$42,RAB!$C$14:$C$42,C809)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SUMIFS(RAB!$F$14:$F$42,RAB!$C$14:$C$42,C810)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SUMIFS(RAB!$F$14:$F$42,RAB!$C$14:$C$42,C811)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SUMIFS(RAB!$F$14:$F$42,RAB!$C$14:$C$42,C812)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SUMIFS(RAB!$F$14:$F$42,RAB!$C$14:$C$42,C813)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SUMIFS(RAB!$F$14:$F$42,RAB!$C$14:$C$42,C814)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SUMIFS(RAB!$F$14:$F$42,RAB!$C$14:$C$42,C815)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SUMIFS(RAB!$F$14:$F$42,RAB!$C$14:$C$42,C816)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SUMIFS(RAB!$F$14:$F$42,RAB!$C$14:$C$42,C817)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SUMIFS(RAB!$F$14:$F$42,RAB!$C$14:$C$42,C818)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SUMIFS(RAB!$F$14:$F$42,RAB!$C$14:$C$42,C819)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SUMIFS(RAB!$F$14:$F$42,RAB!$C$14:$C$42,C820)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SUMIFS(RAB!$F$14:$F$42,RAB!$C$14:$C$42,C821)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SUMIFS(RAB!$F$14:$F$42,RAB!$C$14:$C$42,C822)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SUMIFS(RAB!$F$14:$F$42,RAB!$C$14:$C$42,C823)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SUMIFS(RAB!$F$14:$F$42,RAB!$C$14:$C$42,C824)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SUMIFS(RAB!$F$14:$F$42,RAB!$C$14:$C$42,C825)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SUMIFS(RAB!$F$14:$F$42,RAB!$C$14:$C$42,C826)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SUMIFS(RAB!$F$14:$F$42,RAB!$C$14:$C$42,C827)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SUMIFS(RAB!$F$14:$F$42,RAB!$C$14:$C$42,C828)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SUMIFS(RAB!$F$14:$F$42,RAB!$C$14:$C$42,C829)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SUMIFS(RAB!$F$14:$F$42,RAB!$C$14:$C$42,C830)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SUMIFS(RAB!$F$14:$F$42,RAB!$C$14:$C$42,C831)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SUMIFS(RAB!$F$14:$F$42,RAB!$C$14:$C$42,C832)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SUMIFS(RAB!$F$14:$F$42,RAB!$C$14:$C$42,C833)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SUMIFS(RAB!$F$14:$F$42,RAB!$C$14:$C$42,C834)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SUMIFS(RAB!$F$14:$F$42,RAB!$C$14:$C$42,C835)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SUMIFS(RAB!$F$14:$F$42,RAB!$C$14:$C$42,C836)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SUMIFS(RAB!$F$14:$F$42,RAB!$C$14:$C$42,C837)</f>
        <v>35</v>
      </c>
      <c r="E837" s="26">
        <f t="shared" ca="1" si="34"/>
        <v>1</v>
      </c>
      <c r="F837" s="26">
        <f ca="1">IF(D837=0,0,SUM($E$713:E837))</f>
        <v>3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SUMIFS(RAB!$F$14:$F$42,RAB!$C$14:$C$42,C838)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SUMIFS(RAB!$F$14:$F$42,RAB!$C$14:$C$42,C839)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SUMIFS(RAB!$F$14:$F$42,RAB!$C$14:$C$42,C840)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SUMIFS(RAB!$F$14:$F$42,RAB!$C$14:$C$42,C841)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SUMIFS(RAB!$F$14:$F$42,RAB!$C$14:$C$42,C842)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SUMIFS(RAB!$F$14:$F$42,RAB!$C$14:$C$42,C843)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SUMIFS(RAB!$F$14:$F$42,RAB!$C$14:$C$42,C844)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SUMIFS(RAB!$F$14:$F$42,RAB!$C$14:$C$42,C845)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SUMIFS(RAB!$F$14:$F$42,RAB!$C$14:$C$42,C846)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SUMIFS(RAB!$F$14:$F$42,RAB!$C$14:$C$42,C847)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SUMIFS(RAB!$F$14:$F$42,RAB!$C$14:$C$42,C848)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SUMIFS(RAB!$F$14:$F$42,RAB!$C$14:$C$42,C849)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SUMIFS(RAB!$F$14:$F$42,RAB!$C$14:$C$42,C850)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SUMIFS(RAB!$F$14:$F$42,RAB!$C$14:$C$42,C851)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SUMIFS(RAB!$F$14:$F$42,RAB!$C$14:$C$42,C852)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SUMIFS(RAB!$F$14:$F$42,RAB!$C$14:$C$42,C853)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SUMIFS(RAB!$F$14:$F$42,RAB!$C$14:$C$42,C854)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SUMIFS(RAB!$F$14:$F$42,RAB!$C$14:$C$42,C855)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SUMIFS(RAB!$F$14:$F$42,RAB!$C$14:$C$42,C856)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SUMIFS(RAB!$F$14:$F$42,RAB!$C$14:$C$42,C857)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SUMIFS(RAB!$F$14:$F$42,RAB!$C$14:$C$42,C858)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SUMIFS(RAB!$F$14:$F$42,RAB!$C$14:$C$42,C859)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SUMIFS(RAB!$F$14:$F$42,RAB!$C$14:$C$42,C860)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SUMIFS(RAB!$F$14:$F$42,RAB!$C$14:$C$42,C861)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SUMIFS(RAB!$F$14:$F$42,RAB!$C$14:$C$42,C862)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SUMIFS(RAB!$F$14:$F$42,RAB!$C$14:$C$42,C863)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SUMIFS(RAB!$F$14:$F$42,RAB!$C$14:$C$42,C864)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SUMIFS(RAB!$F$14:$F$42,RAB!$C$14:$C$42,C865)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SUMIFS(RAB!$F$14:$F$42,RAB!$C$14:$C$42,C866)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SUMIFS(RAB!$F$14:$F$42,RAB!$C$14:$C$42,C867)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SUMIFS(RAB!$F$14:$F$42,RAB!$C$14:$C$42,C868)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SUMIFS(RAB!$F$14:$F$42,RAB!$C$14:$C$42,C869)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SUMIFS(RAB!$F$14:$F$42,RAB!$C$14:$C$42,C870)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SUMIFS(RAB!$F$14:$F$42,RAB!$C$14:$C$42,C871)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SUMIFS(RAB!$F$14:$F$42,RAB!$C$14:$C$42,C872)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SUMIFS(RAB!$F$14:$F$42,RAB!$C$14:$C$42,C873)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SUMIFS(RAB!$F$14:$F$42,RAB!$C$14:$C$42,C874)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SUMIFS(RAB!$F$14:$F$42,RAB!$C$14:$C$42,C875)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SUMIFS(RAB!$F$14:$F$42,RAB!$C$14:$C$42,C876)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SUMIFS(RAB!$F$14:$F$42,RAB!$C$14:$C$42,C877)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SUMIFS(RAB!$F$14:$F$42,RAB!$C$14:$C$42,C878)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SUMIFS(RAB!$F$14:$F$42,RAB!$C$14:$C$42,C879)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SUMIFS(RAB!$F$14:$F$42,RAB!$C$14:$C$42,C880)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SUMIFS(RAB!$F$14:$F$42,RAB!$C$14:$C$42,C881)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SUMIFS(RAB!$F$14:$F$42,RAB!$C$14:$C$42,C882)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SUMIFS(RAB!$F$14:$F$42,RAB!$C$14:$C$42,C883)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SUMIFS(RAB!$F$14:$F$42,RAB!$C$14:$C$42,C884)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SUMIFS(RAB!$F$14:$F$42,RAB!$C$14:$C$42,C885)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SUMIFS(RAB!$F$14:$F$42,RAB!$C$14:$C$42,C886)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SUMIFS(RAB!$F$14:$F$42,RAB!$C$14:$C$42,C887)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SUMIFS(RAB!$F$14:$F$42,RAB!$C$14:$C$42,C888)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SUMIFS(RAB!$F$14:$F$42,RAB!$C$14:$C$42,C889)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SUMIFS(RAB!$F$14:$F$42,RAB!$C$14:$C$42,C890)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SUMIFS(RAB!$F$14:$F$42,RAB!$C$14:$C$42,C891)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SUMIFS(RAB!$F$14:$F$42,RAB!$C$14:$C$42,C892)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SUMIFS(RAB!$F$14:$F$42,RAB!$C$14:$C$42,C893)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SUMIFS(RAB!$F$14:$F$42,RAB!$C$14:$C$42,C894)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SUMIFS(RAB!$F$14:$F$42,RAB!$C$14:$C$42,C895)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SUMIFS(RAB!$F$14:$F$42,RAB!$C$14:$C$42,C896)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SUMIFS(RAB!$F$14:$F$42,RAB!$C$14:$C$42,C897)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SUMIFS(RAB!$F$14:$F$42,RAB!$C$14:$C$42,C898)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SUMIFS(RAB!$F$14:$F$42,RAB!$C$14:$C$42,C899)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SUMIFS(RAB!$F$14:$F$42,RAB!$C$14:$C$42,C900)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SUMIFS(RAB!$F$14:$F$42,RAB!$C$14:$C$42,C901)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SUMIFS(RAB!$F$14:$F$42,RAB!$C$14:$C$42,C902)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SUMIFS(RAB!$F$14:$F$42,RAB!$C$14:$C$42,C903)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SUMIFS(RAB!$F$14:$F$42,RAB!$C$14:$C$42,C904)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SUMIFS(RAB!$F$14:$F$42,RAB!$C$14:$C$42,C905)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SUMIFS(RAB!$F$14:$F$42,RAB!$C$14:$C$42,C906)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SUMIFS(RAB!$F$14:$F$42,RAB!$C$14:$C$42,C907)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SUMIFS(RAB!$F$14:$F$42,RAB!$C$14:$C$42,C908)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SUMIFS(RAB!$F$14:$F$42,RAB!$C$14:$C$42,C909)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SUMIFS(RAB!$F$14:$F$42,RAB!$C$14:$C$42,C910)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SUMIFS(RAB!$F$14:$F$42,RAB!$C$14:$C$42,C911)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SUMIFS(RAB!$F$14:$F$42,RAB!$C$14:$C$42,C912)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SUMIFS(RAB!$F$14:$F$42,RAB!$C$14:$C$42,C913)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SUMIFS(RAB!$F$14:$F$42,RAB!$C$14:$C$42,C914)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SUMIFS(RAB!$F$14:$F$42,RAB!$C$14:$C$42,C915)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SUMIFS(RAB!$F$14:$F$42,RAB!$C$14:$C$42,C916)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SUMIFS(RAB!$F$14:$F$42,RAB!$C$14:$C$42,C917)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SUMIFS(RAB!$F$14:$F$42,RAB!$C$14:$C$42,C918)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SUMIFS(RAB!$F$14:$F$42,RAB!$C$14:$C$42,C919)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SUMIFS(RAB!$F$14:$F$42,RAB!$C$14:$C$42,C920)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SUMIFS(RAB!$F$14:$F$42,RAB!$C$14:$C$42,C921)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SUMIFS(RAB!$F$14:$F$42,RAB!$C$14:$C$42,C922)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SUMIFS(RAB!$F$14:$F$42,RAB!$C$14:$C$42,C923)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SUMIFS(RAB!$F$14:$F$42,RAB!$C$14:$C$42,C924)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SUMIFS(RAB!$F$14:$F$42,RAB!$C$14:$C$42,C925)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SUMIFS(RAB!$F$14:$F$42,RAB!$C$14:$C$42,C926)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SUMIFS(RAB!$F$14:$F$42,RAB!$C$14:$C$42,C927)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SUMIFS(RAB!$F$14:$F$42,RAB!$C$14:$C$42,C928)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SUMIFS(RAB!$F$14:$F$42,RAB!$C$14:$C$42,C929)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SUMIFS(RAB!$F$14:$F$42,RAB!$C$14:$C$42,C930)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SUMIFS(RAB!$F$14:$F$42,RAB!$C$14:$C$42,C931)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SUMIFS(RAB!$F$14:$F$42,RAB!$C$14:$C$42,C932)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SUMIFS(RAB!$F$14:$F$42,RAB!$C$14:$C$42,C933)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SUMIFS(RAB!$F$14:$F$42,RAB!$C$14:$C$42,C934)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SUMIFS(RAB!$F$14:$F$42,RAB!$C$14:$C$42,C935)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SUMIFS(RAB!$F$14:$F$42,RAB!$C$14:$C$42,C936)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SUMIFS(RAB!$F$14:$F$42,RAB!$C$14:$C$42,C937)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SUMIFS(RAB!$F$14:$F$42,RAB!$C$14:$C$42,C938)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SUMIFS(RAB!$F$14:$F$42,RAB!$C$14:$C$42,C939)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SUMIFS(RAB!$F$14:$F$42,RAB!$C$14:$C$42,C940)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SUMIFS(RAB!$F$14:$F$42,RAB!$C$14:$C$42,C941)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SUMIFS(RAB!$F$14:$F$42,RAB!$C$14:$C$42,C942)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SUMIFS(RAB!$F$14:$F$42,RAB!$C$14:$C$42,C943)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SUMIFS(RAB!$F$14:$F$42,RAB!$C$14:$C$42,C944)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SUMIFS(RAB!$F$14:$F$42,RAB!$C$14:$C$42,C945)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SUMIFS(RAB!$F$14:$F$42,RAB!$C$14:$C$42,C946)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SUMIFS(RAB!$F$14:$F$42,RAB!$C$14:$C$42,C947)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SUMIFS(RAB!$F$14:$F$42,RAB!$C$14:$C$42,C948)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SUMIFS(RAB!$F$14:$F$42,RAB!$C$14:$C$42,C949)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SUMIFS(RAB!$F$14:$F$42,RAB!$C$14:$C$42,C950)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SUMIFS(RAB!$F$14:$F$42,RAB!$C$14:$C$42,C951)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SUMIFS(RAB!$F$14:$F$42,RAB!$C$14:$C$42,C952)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SUMIFS(RAB!$F$14:$F$42,RAB!$C$14:$C$42,C953)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SUMIFS(RAB!$F$14:$F$42,RAB!$C$14:$C$42,C954)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SUMIFS(RAB!$F$14:$F$42,RAB!$C$14:$C$42,C955)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SUMIFS(RAB!$F$14:$F$42,RAB!$C$14:$C$42,C956)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SUMIFS(RAB!$F$14:$F$42,RAB!$C$14:$C$42,C957)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SUMIFS(RAB!$F$14:$F$42,RAB!$C$14:$C$42,C958)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SUMIFS(RAB!$F$14:$F$42,RAB!$C$14:$C$42,C959)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SUMIFS(RAB!$F$14:$F$42,RAB!$C$14:$C$42,C960)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SUMIFS(RAB!$F$14:$F$42,RAB!$C$14:$C$42,C961)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SUMIFS(RAB!$F$14:$F$42,RAB!$C$14:$C$42,C962)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SUMIFS(RAB!$F$14:$F$42,RAB!$C$14:$C$42,C963)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SUMIFS(RAB!$F$14:$F$42,RAB!$C$14:$C$42,C964)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SUMIFS(RAB!$F$14:$F$42,RAB!$C$14:$C$42,C965)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SUMIFS(RAB!$F$14:$F$42,RAB!$C$14:$C$42,C966)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SUMIFS(RAB!$F$14:$F$42,RAB!$C$14:$C$42,C967)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SUMIFS(RAB!$F$14:$F$42,RAB!$C$14:$C$42,C968)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SUMIFS(RAB!$F$14:$F$42,RAB!$C$14:$C$42,C969)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SUMIFS(RAB!$F$14:$F$42,RAB!$C$14:$C$42,C970)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SUMIFS(RAB!$F$14:$F$42,RAB!$C$14:$C$42,C971)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SUMIFS(RAB!$F$14:$F$42,RAB!$C$14:$C$42,C972)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SUMIFS(RAB!$F$14:$F$42,RAB!$C$14:$C$42,C973)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SUMIFS(RAB!$F$14:$F$42,RAB!$C$14:$C$42,C974)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SUMIFS(RAB!$F$14:$F$42,RAB!$C$14:$C$42,C975)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SUMIFS(RAB!$F$14:$F$42,RAB!$C$14:$C$42,C976)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SUMIFS(RAB!$F$14:$F$42,RAB!$C$14:$C$42,C977)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SUMIFS(RAB!$F$14:$F$42,RAB!$C$14:$C$42,C978)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SUMIFS(RAB!$F$14:$F$42,RAB!$C$14:$C$42,C979)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SUMIFS(RAB!$F$14:$F$42,RAB!$C$14:$C$42,C980)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SUMIFS(RAB!$F$14:$F$42,RAB!$C$14:$C$42,C981)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SUMIFS(RAB!$F$14:$F$42,RAB!$C$14:$C$42,C982)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SUMIFS(RAB!$F$14:$F$42,RAB!$C$14:$C$42,C983)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SUMIFS(RAB!$F$14:$F$42,RAB!$C$14:$C$42,C984)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SUMIFS(RAB!$F$14:$F$42,RAB!$C$14:$C$42,C985)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SUMIFS(RAB!$F$14:$F$42,RAB!$C$14:$C$42,C986)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SUMIFS(RAB!$F$14:$F$42,RAB!$C$14:$C$42,C987)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SUMIFS(RAB!$F$14:$F$42,RAB!$C$14:$C$42,C988)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SUMIFS(RAB!$F$14:$F$42,RAB!$C$14:$C$42,C989)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SUMIFS(RAB!$F$14:$F$42,RAB!$C$14:$C$42,C990)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SUMIFS(RAB!$F$14:$F$42,RAB!$C$14:$C$42,C991)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SUMIFS(RAB!$F$14:$F$42,RAB!$C$14:$C$42,C992)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SUMIFS(RAB!$F$14:$F$42,RAB!$C$14:$C$42,C993)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SUMIFS(RAB!$F$14:$F$42,RAB!$C$14:$C$42,C994)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SUMIFS(RAB!$F$14:$F$42,RAB!$C$14:$C$42,C995)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SUMIFS(RAB!$F$14:$F$42,RAB!$C$14:$C$42,C996)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SUMIFS(RAB!$F$14:$F$42,RAB!$C$14:$C$42,C997)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SUMIFS(RAB!$F$14:$F$42,RAB!$C$14:$C$42,C998)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SUMIFS(RAB!$F$14:$F$42,RAB!$C$14:$C$42,C999)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SUMIFS(RAB!$F$14:$F$42,RAB!$C$14:$C$42,C1000)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SUMIFS(RAB!$F$14:$F$42,RAB!$C$14:$C$42,C1001)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SUMIFS(RAB!$F$14:$F$42,RAB!$C$14:$C$42,C1002)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SUMIFS(RAB!$F$14:$F$42,RAB!$C$14:$C$42,C1003)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SUMIFS(RAB!$F$14:$F$42,RAB!$C$14:$C$42,C1004)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SUMIFS(RAB!$F$14:$F$42,RAB!$C$14:$C$42,C1005)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SUMIFS(RAB!$F$14:$F$42,RAB!$C$14:$C$42,C1006)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SUMIFS(RAB!$F$14:$F$42,RAB!$C$14:$C$42,C1007)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SUMIFS(RAB!$F$14:$F$42,RAB!$C$14:$C$42,C1008)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SUMIFS(RAB!$F$14:$F$42,RAB!$C$14:$C$42,C1009)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SUMIFS(RAB!$F$14:$F$42,RAB!$C$14:$C$42,C1010)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SUMIFS(RAB!$F$14:$F$42,RAB!$C$14:$C$42,C1011)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SUMIFS(RAB!$F$14:$F$42,RAB!$C$14:$C$42,C1012)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SUMIFS(RAB!$F$14:$F$42,RAB!$C$14:$C$42,C1013)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SUMIFS(RAB!$F$14:$F$42,RAB!$C$14:$C$42,C1014)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SUMIFS(RAB!$F$14:$F$42,RAB!$C$14:$C$42,C1015)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SUMIFS(RAB!$F$14:$F$42,RAB!$C$14:$C$42,C1016)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SUMIFS(RAB!$F$14:$F$42,RAB!$C$14:$C$42,C1017)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SUMIFS(RAB!$F$14:$F$42,RAB!$C$14:$C$42,C1018)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SUMIFS(RAB!$F$14:$F$42,RAB!$C$14:$C$42,C1019)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SUMIFS(RAB!$F$14:$F$42,RAB!$C$14:$C$42,C1020)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SUMIFS(RAB!$F$14:$F$42,RAB!$C$14:$C$42,C1021)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SUMIFS(RAB!$F$14:$F$42,RAB!$C$14:$C$42,C1022)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SUMIFS(RAB!$F$14:$F$42,RAB!$C$14:$C$42,C1023)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SUMIFS(RAB!$F$14:$F$42,RAB!$C$14:$C$42,C1024)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SUMIFS(RAB!$F$14:$F$42,RAB!$C$14:$C$42,C1025)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SUMIFS(RAB!$F$14:$F$42,RAB!$C$14:$C$42,C1026)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SUMIFS(RAB!$F$14:$F$42,RAB!$C$14:$C$42,C1027)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SUMIFS(RAB!$F$14:$F$42,RAB!$C$14:$C$42,C1028)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SUMIFS(RAB!$F$14:$F$42,RAB!$C$14:$C$42,C1029)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SUMIFS(RAB!$F$14:$F$42,RAB!$C$14:$C$42,C1030)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SUMIFS(RAB!$F$14:$F$42,RAB!$C$14:$C$42,C1031)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SUMIFS(RAB!$F$14:$F$42,RAB!$C$14:$C$42,C1032)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SUMIFS(RAB!$F$14:$F$42,RAB!$C$14:$C$42,C1033)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SUMIFS(RAB!$F$14:$F$42,RAB!$C$14:$C$42,C1034)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SUMIFS(RAB!$F$14:$F$42,RAB!$C$14:$C$42,C1035)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SUMIFS(RAB!$F$14:$F$42,RAB!$C$14:$C$42,C1036)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SUMIFS(RAB!$F$14:$F$42,RAB!$C$14:$C$42,C1037)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SUMIFS(RAB!$F$14:$F$42,RAB!$C$14:$C$42,C1038)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SUMIFS(RAB!$F$14:$F$42,RAB!$C$14:$C$42,C1039)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SUMIFS(RAB!$F$14:$F$42,RAB!$C$14:$C$42,C1040)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SUMIFS(RAB!$F$14:$F$42,RAB!$C$14:$C$42,C1041)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SUMIFS(RAB!$F$14:$F$42,RAB!$C$14:$C$42,C1042)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SUMIFS(RAB!$F$14:$F$42,RAB!$C$14:$C$42,C1043)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SUMIFS(RAB!$F$14:$F$42,RAB!$C$14:$C$42,C1044)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SUMIFS(RAB!$F$14:$F$42,RAB!$C$14:$C$42,C1045)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SUMIFS(RAB!$F$14:$F$42,RAB!$C$14:$C$42,C1046)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SUMIFS(RAB!$F$14:$F$42,RAB!$C$14:$C$42,C1047)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SUMIFS(RAB!$F$14:$F$42,RAB!$C$14:$C$42,C1048)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SUMIFS(RAB!$F$14:$F$42,RAB!$C$14:$C$42,C1049)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SUMIFS(RAB!$F$14:$F$42,RAB!$C$14:$C$42,C1050)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SUMIFS(RAB!$F$14:$F$42,RAB!$C$14:$C$42,C1051)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SUMIFS(RAB!$F$14:$F$42,RAB!$C$14:$C$42,C1052)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SUMIFS(RAB!$F$14:$F$42,RAB!$C$14:$C$42,C1053)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SUMIFS(RAB!$F$14:$F$42,RAB!$C$14:$C$42,C1054)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SUMIFS(RAB!$F$14:$F$42,RAB!$C$14:$C$42,C1055)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SUMIFS(RAB!$F$14:$F$42,RAB!$C$14:$C$42,C1056)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SUMIFS(RAB!$F$14:$F$42,RAB!$C$14:$C$42,C1057)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SUMIFS(RAB!$F$14:$F$42,RAB!$C$14:$C$42,C1058)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SUMIFS(RAB!$F$14:$F$42,RAB!$C$14:$C$42,C1059)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SUMIFS(RAB!$F$14:$F$42,RAB!$C$14:$C$42,C1060)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SUMIFS(RAB!$F$14:$F$42,RAB!$C$14:$C$42,C1061)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SUMIFS(RAB!$F$14:$F$42,RAB!$C$14:$C$42,C1062)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SUMIFS(RAB!$F$14:$F$42,RAB!$C$14:$C$42,C1063)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SUMIFS(RAB!$F$14:$F$42,RAB!$C$14:$C$42,C1064)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SUMIFS(RAB!$F$14:$F$42,RAB!$C$14:$C$42,C1065)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SUMIFS(RAB!$F$14:$F$42,RAB!$C$14:$C$42,C1066)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SUMIFS(RAB!$F$14:$F$42,RAB!$C$14:$C$42,C1067)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SUMIFS(RAB!$F$14:$F$42,RAB!$C$14:$C$42,C1068)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SUMIFS(RAB!$F$14:$F$42,RAB!$C$14:$C$42,C1069)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SUMIFS(RAB!$F$14:$F$42,RAB!$C$14:$C$42,C1070)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SUMIFS(RAB!$F$14:$F$42,RAB!$C$14:$C$42,C1071)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SUMIFS(RAB!$F$14:$F$42,RAB!$C$14:$C$42,C1072)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SUMIFS(RAB!$F$14:$F$42,RAB!$C$14:$C$42,C1073)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SUMIFS(RAB!$F$14:$F$42,RAB!$C$14:$C$42,C1074)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SUMIFS(RAB!$F$14:$F$42,RAB!$C$14:$C$42,C1075)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SUMIFS(RAB!$F$14:$F$42,RAB!$C$14:$C$42,C1076)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SUMIFS(RAB!$F$14:$F$42,RAB!$C$14:$C$42,C1077)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SUMIFS(RAB!$F$14:$F$42,RAB!$C$14:$C$42,C1078)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SUMIFS(RAB!$F$14:$F$42,RAB!$C$14:$C$42,C1079)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SUMIFS(RAB!$F$14:$F$42,RAB!$C$14:$C$42,C1080)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SUMIFS(RAB!$F$14:$F$42,RAB!$C$14:$C$42,C1081)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SUMIFS(RAB!$F$14:$F$42,RAB!$C$14:$C$42,C1082)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SUMIFS(RAB!$F$14:$F$42,RAB!$C$14:$C$42,C1083)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SUMIFS(RAB!$F$14:$F$42,RAB!$C$14:$C$42,C1084)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SUMIFS(RAB!$F$14:$F$42,RAB!$C$14:$C$42,C1085)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SUMIFS(RAB!$F$14:$F$42,RAB!$C$14:$C$42,C1086)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SUMIFS(RAB!$F$14:$F$42,RAB!$C$14:$C$42,C1087)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SUMIFS(RAB!$F$14:$F$42,RAB!$C$14:$C$42,C1088)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SUMIFS(RAB!$F$14:$F$42,RAB!$C$14:$C$42,C1089)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SUMIFS(RAB!$F$14:$F$42,RAB!$C$14:$C$42,C1090)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SUMIFS(RAB!$F$14:$F$42,RAB!$C$14:$C$42,C1091)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SUMIFS(RAB!$F$14:$F$42,RAB!$C$14:$C$42,C1092)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SUMIFS(RAB!$F$14:$F$42,RAB!$C$14:$C$42,C1093)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SUMIFS(RAB!$F$14:$F$42,RAB!$C$14:$C$42,C1094)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SUMIFS(RAB!$F$14:$F$42,RAB!$C$14:$C$42,C1095)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SUMIFS(RAB!$F$14:$F$42,RAB!$C$14:$C$42,C1096)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SUMIFS(RAB!$F$14:$F$42,RAB!$C$14:$C$42,C1097)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SUMIFS(RAB!$F$14:$F$42,RAB!$C$14:$C$42,C1098)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SUMIFS(RAB!$F$14:$F$42,RAB!$C$14:$C$42,C1099)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SUMIFS(RAB!$F$14:$F$42,RAB!$C$14:$C$42,C1100)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SUMIFS(RAB!$F$14:$F$42,RAB!$C$14:$C$42,C1101)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SUMIFS(RAB!$F$14:$F$42,RAB!$C$14:$C$42,C1102)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SUMIFS(RAB!$F$14:$F$42,RAB!$C$14:$C$42,C1103)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SUMIFS(RAB!$F$14:$F$42,RAB!$C$14:$C$42,C1104)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SUMIFS(RAB!$F$14:$F$42,RAB!$C$14:$C$42,C1105)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SUMIFS(RAB!$F$14:$F$42,RAB!$C$14:$C$42,C1106)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SUMIFS(RAB!$F$14:$F$42,RAB!$C$14:$C$42,C1107)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SUMIFS(RAB!$F$14:$F$42,RAB!$C$14:$C$42,C1108)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SUMIFS(RAB!$F$14:$F$42,RAB!$C$14:$C$42,C1109)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SUMIFS(RAB!$F$14:$F$42,RAB!$C$14:$C$42,C1110)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SUMIFS(RAB!$F$14:$F$42,RAB!$C$14:$C$42,C1111)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SUMIFS(RAB!$F$14:$F$42,RAB!$C$14:$C$42,C1112)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SUMIFS(RAB!$F$14:$F$42,RAB!$C$14:$C$42,C1113)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SUMIFS(RAB!$F$14:$F$42,RAB!$C$14:$C$42,C1114)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SUMIFS(RAB!$F$14:$F$42,RAB!$C$14:$C$42,C1115)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SUMIFS(RAB!$F$14:$F$42,RAB!$C$14:$C$42,C1116)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SUMIFS(RAB!$F$14:$F$42,RAB!$C$14:$C$42,C1117)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SUMIFS(RAB!$F$14:$F$42,RAB!$C$14:$C$42,C1118)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SUMIFS(RAB!$F$14:$F$42,RAB!$C$14:$C$42,C1119)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SUMIFS(RAB!$F$14:$F$42,RAB!$C$14:$C$42,C1120)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SUMIFS(RAB!$F$14:$F$42,RAB!$C$14:$C$42,C1121)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SUMIFS(RAB!$F$14:$F$42,RAB!$C$14:$C$42,C1122)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SUMIFS(RAB!$F$14:$F$42,RAB!$C$14:$C$42,C1123)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SUMIFS(RAB!$F$14:$F$42,RAB!$C$14:$C$42,C1124)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SUMIFS(RAB!$F$14:$F$42,RAB!$C$14:$C$42,C1125)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SUMIFS(RAB!$F$14:$F$42,RAB!$C$14:$C$42,C1126)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SUMIFS(RAB!$F$14:$F$42,RAB!$C$14:$C$42,C1127)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SUMIFS(RAB!$F$14:$F$42,RAB!$C$14:$C$42,C1128)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SUMIFS(RAB!$F$14:$F$42,RAB!$C$14:$C$42,C1129)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SUMIFS(RAB!$F$14:$F$42,RAB!$C$14:$C$42,C1130)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SUMIFS(RAB!$F$14:$F$42,RAB!$C$14:$C$42,C1131)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SUMIFS(RAB!$F$14:$F$42,RAB!$C$14:$C$42,C1132)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SUMIFS(RAB!$F$14:$F$42,RAB!$C$14:$C$42,C1133)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SUMIFS(RAB!$F$14:$F$42,RAB!$C$14:$C$42,C1134)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SUMIFS(RAB!$F$14:$F$42,RAB!$C$14:$C$42,C1135)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SUMIFS(RAB!$F$14:$F$42,RAB!$C$14:$C$42,C1136)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SUMIFS(RAB!$F$14:$F$42,RAB!$C$14:$C$42,C1137)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SUMIFS(RAB!$F$14:$F$42,RAB!$C$14:$C$42,C1138)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SUMIFS(RAB!$F$14:$F$42,RAB!$C$14:$C$42,C1139)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SUMIFS(RAB!$F$14:$F$42,RAB!$C$14:$C$42,C1140)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SUMIFS(RAB!$F$14:$F$42,RAB!$C$14:$C$42,C1141)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SUMIFS(RAB!$F$14:$F$42,RAB!$C$14:$C$42,C1142)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SUMIFS(RAB!$F$14:$F$42,RAB!$C$14:$C$42,C1143)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SUMIFS(RAB!$F$14:$F$42,RAB!$C$14:$C$42,C1144)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SUMIFS(RAB!$F$14:$F$42,RAB!$C$14:$C$42,C1145)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SUMIFS(RAB!$F$14:$F$42,RAB!$C$14:$C$42,C1146)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SUMIFS(RAB!$F$14:$F$42,RAB!$C$14:$C$42,C1147)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SUMIFS(RAB!$F$14:$F$42,RAB!$C$14:$C$42,C1148)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SUMIFS(RAB!$F$14:$F$42,RAB!$C$14:$C$42,C1149)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SUMIFS(RAB!$F$14:$F$42,RAB!$C$14:$C$42,C1150)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SUMIFS(RAB!$F$14:$F$42,RAB!$C$14:$C$42,C1151)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SUMIFS(RAB!$F$14:$F$42,RAB!$C$14:$C$42,C1152)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SUMIFS(RAB!$F$14:$F$42,RAB!$C$14:$C$42,C1153)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SUMIFS(RAB!$F$14:$F$42,RAB!$C$14:$C$42,C1154)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SUMIFS(RAB!$F$14:$F$42,RAB!$C$14:$C$42,C1155)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SUMIFS(RAB!$F$14:$F$42,RAB!$C$14:$C$42,C1156)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SUMIFS(RAB!$F$14:$F$42,RAB!$C$14:$C$42,C1157)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SUMIFS(RAB!$F$14:$F$42,RAB!$C$14:$C$42,C1158)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SUMIFS(RAB!$F$14:$F$42,RAB!$C$14:$C$42,C1159)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SUMIFS(RAB!$F$14:$F$42,RAB!$C$14:$C$42,C1160)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SUMIFS(RAB!$F$14:$F$42,RAB!$C$14:$C$42,C1161)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SUMIFS(RAB!$F$14:$F$42,RAB!$C$14:$C$42,C1162)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SUMIFS(RAB!$F$14:$F$42,RAB!$C$14:$C$42,C1163)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SUMIFS(RAB!$F$14:$F$42,RAB!$C$14:$C$42,C1164)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SUMIFS(RAB!$F$14:$F$42,RAB!$C$14:$C$42,C1165)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SUMIFS(RAB!$F$14:$F$42,RAB!$C$14:$C$42,C1166)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SUMIFS(RAB!$F$14:$F$42,RAB!$C$14:$C$42,C1167)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SUMIFS(RAB!$F$14:$F$42,RAB!$C$14:$C$42,C1168)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SUMIFS(RAB!$F$14:$F$42,RAB!$C$14:$C$42,C1169)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SUMIFS(RAB!$F$14:$F$42,RAB!$C$14:$C$42,C1170)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SUMIFS(RAB!$F$14:$F$42,RAB!$C$14:$C$42,C1171)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SUMIFS(RAB!$F$14:$F$42,RAB!$C$14:$C$42,C1172)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SUMIFS(RAB!$F$14:$F$42,RAB!$C$14:$C$42,C1173)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SUMIFS(RAB!$F$14:$F$42,RAB!$C$14:$C$42,C1174)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SUMIFS(RAB!$F$14:$F$42,RAB!$C$14:$C$42,C1175)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SUMIFS(RAB!$F$14:$F$42,RAB!$C$14:$C$42,C1176)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SUMIFS(RAB!$F$14:$F$42,RAB!$C$14:$C$42,C1177)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SUMIFS(RAB!$F$14:$F$42,RAB!$C$14:$C$42,C1178)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SUMIFS(RAB!$F$14:$F$42,RAB!$C$14:$C$42,C1179)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SUMIFS(RAB!$F$14:$F$42,RAB!$C$14:$C$42,C1180)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SUMIFS(RAB!$F$14:$F$42,RAB!$C$14:$C$42,C1181)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SUMIFS(RAB!$F$14:$F$42,RAB!$C$14:$C$42,C1182)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SUMIFS(RAB!$F$14:$F$42,RAB!$C$14:$C$42,C1183)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SUMIFS(RAB!$F$14:$F$42,RAB!$C$14:$C$42,C1184)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SUMIFS(RAB!$F$14:$F$42,RAB!$C$14:$C$42,C1185)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SUMIFS(RAB!$F$14:$F$42,RAB!$C$14:$C$42,C1186)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SUMIFS(RAB!$F$14:$F$42,RAB!$C$14:$C$42,C1187)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SUMIFS(RAB!$F$14:$F$42,RAB!$C$14:$C$42,C1188)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SUMIFS(RAB!$F$14:$F$42,RAB!$C$14:$C$42,C1189)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SUMIFS(RAB!$F$14:$F$42,RAB!$C$14:$C$42,C1190)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SUMIFS(RAB!$F$14:$F$42,RAB!$C$14:$C$42,C1191)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SUMIFS(RAB!$F$14:$F$42,RAB!$C$14:$C$42,C1192)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SUMIFS(RAB!$F$14:$F$42,RAB!$C$14:$C$42,C1193)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SUMIFS(RAB!$F$14:$F$42,RAB!$C$14:$C$42,C1194)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SUMIFS(RAB!$F$14:$F$42,RAB!$C$14:$C$42,C1195)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SUMIFS(RAB!$F$14:$F$42,RAB!$C$14:$C$42,C1196)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SUMIFS(RAB!$F$14:$F$42,RAB!$C$14:$C$42,C1197)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SUMIFS(RAB!$F$14:$F$42,RAB!$C$14:$C$42,C1198)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SUMIFS(RAB!$F$14:$F$42,RAB!$C$14:$C$42,C1199)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SUMIFS(RAB!$F$14:$F$42,RAB!$C$14:$C$42,C1200)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SUMIFS(RAB!$F$14:$F$42,RAB!$C$14:$C$42,C1201)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SUMIFS(RAB!$F$14:$F$42,RAB!$C$14:$C$42,C1202)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SUMIFS(RAB!$F$14:$F$42,RAB!$C$14:$C$42,C1203)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SUMIFS(RAB!$F$14:$F$42,RAB!$C$14:$C$42,C1204)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SUMIFS(RAB!$F$14:$F$42,RAB!$C$14:$C$42,C1205)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SUMIFS(RAB!$F$14:$F$42,RAB!$C$14:$C$42,C1206)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SUMIFS(RAB!$F$14:$F$42,RAB!$C$14:$C$42,C1207)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SUMIFS(RAB!$F$14:$F$42,RAB!$C$14:$C$42,C1208)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SUMIFS(RAB!$F$14:$F$42,RAB!$C$14:$C$42,C1209)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SUMIFS(RAB!$F$14:$F$42,RAB!$C$14:$C$42,C1210)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SUMIFS(RAB!$F$14:$F$42,RAB!$C$14:$C$42,C1211)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SUMIFS(RAB!$F$14:$F$42,RAB!$C$14:$C$42,C1212)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SUMIFS(RAB!$F$14:$F$42,RAB!$C$14:$C$42,C1213)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SUMIFS(RAB!$F$14:$F$42,RAB!$C$14:$C$42,C1214)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SUMIFS(RAB!$F$14:$F$42,RAB!$C$14:$C$42,C1215)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SUMIFS(RAB!$F$14:$F$42,RAB!$C$14:$C$42,C1216)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SUMIFS(RAB!$F$14:$F$42,RAB!$C$14:$C$42,C1217)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SUMIFS(RAB!$F$14:$F$42,RAB!$C$14:$C$42,C1218)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SUMIFS(RAB!$F$14:$F$42,RAB!$C$14:$C$42,C1219)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SUMIFS(RAB!$F$14:$F$42,RAB!$C$14:$C$42,C1220)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SUMIFS(RAB!$F$14:$F$42,RAB!$C$14:$C$42,C1221)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SUMIFS(RAB!$F$14:$F$42,RAB!$C$14:$C$42,C1222)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SUMIFS(RAB!$F$14:$F$42,RAB!$C$14:$C$42,C1223)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SUMIFS(RAB!$F$14:$F$42,RAB!$C$14:$C$42,C1224)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SUMIFS(RAB!$F$14:$F$42,RAB!$C$14:$C$42,C1225)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SUMIFS(RAB!$F$14:$F$42,RAB!$C$14:$C$42,C1226)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SUMIFS(RAB!$F$14:$F$42,RAB!$C$14:$C$42,C1227)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SUMIFS(RAB!$F$14:$F$42,RAB!$C$14:$C$42,C1228)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SUMIFS(RAB!$F$14:$F$42,RAB!$C$14:$C$42,C1229)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SUMIFS(RAB!$F$14:$F$42,RAB!$C$14:$C$42,C1230)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SUMIFS(RAB!$F$14:$F$42,RAB!$C$14:$C$42,C1231)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SUMIFS(RAB!$F$14:$F$42,RAB!$C$14:$C$42,C1232)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SUMIFS(RAB!$F$14:$F$42,RAB!$C$14:$C$42,C1233)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SUMIFS(RAB!$F$14:$F$42,RAB!$C$14:$C$42,C1234)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SUMIFS(RAB!$F$14:$F$42,RAB!$C$14:$C$42,C1235)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SUMIFS(RAB!$F$14:$F$42,RAB!$C$14:$C$42,C1236)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SUMIFS(RAB!$F$14:$F$42,RAB!$C$14:$C$42,C1237)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SUMIFS(RAB!$F$14:$F$42,RAB!$C$14:$C$42,C1238)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SUMIFS(RAB!$F$14:$F$42,RAB!$C$14:$C$42,C1239)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SUMIFS(RAB!$F$14:$F$42,RAB!$C$14:$C$42,C1240)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SUMIFS(RAB!$F$14:$F$42,RAB!$C$14:$C$42,C1241)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SUMIFS(RAB!$F$14:$F$42,RAB!$C$14:$C$42,C1242)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SUMIFS(RAB!$F$14:$F$42,RAB!$C$14:$C$42,C1243)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SUMIFS(RAB!$F$14:$F$42,RAB!$C$14:$C$42,C1244)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SUMIFS(RAB!$F$14:$F$42,RAB!$C$14:$C$42,C1245)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SUMIFS(RAB!$F$14:$F$42,RAB!$C$14:$C$42,C1246)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SUMIFS(RAB!$F$14:$F$42,RAB!$C$14:$C$42,C1247)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SUMIFS(RAB!$F$14:$F$42,RAB!$C$14:$C$42,C1248)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SUMIFS(RAB!$F$14:$F$42,RAB!$C$14:$C$42,C1249)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SUMIFS(RAB!$F$14:$F$42,RAB!$C$14:$C$42,C1250)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SUMIFS(RAB!$F$14:$F$42,RAB!$C$14:$C$42,C1251)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SUMIFS(RAB!$F$14:$F$42,RAB!$C$14:$C$42,C1252)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SUMIFS(RAB!$F$14:$F$42,RAB!$C$14:$C$42,C1253)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SUMIFS(RAB!$F$14:$F$42,RAB!$C$14:$C$42,C1254)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SUMIFS(RAB!$F$14:$F$42,RAB!$C$14:$C$42,C1255)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SUMIFS(RAB!$F$14:$F$42,RAB!$C$14:$C$42,C1256)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SUMIFS(RAB!$F$14:$F$42,RAB!$C$14:$C$42,C1257)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SUMIFS(RAB!$F$14:$F$42,RAB!$C$14:$C$42,C1258)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SUMIFS(RAB!$F$14:$F$42,RAB!$C$14:$C$42,C1259)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SUMIFS(RAB!$F$14:$F$42,RAB!$C$14:$C$42,C1260)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SUMIFS(RAB!$F$14:$F$42,RAB!$C$14:$C$42,C1261)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SUMIFS(RAB!$F$14:$F$42,RAB!$C$14:$C$42,C1262)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SUMIFS(RAB!$F$14:$F$42,RAB!$C$14:$C$42,C1263)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SUMIFS(RAB!$F$14:$F$42,RAB!$C$14:$C$42,C1264)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SUMIFS(RAB!$F$14:$F$42,RAB!$C$14:$C$42,C1265)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SUMIFS(RAB!$F$14:$F$42,RAB!$C$14:$C$42,C1266)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SUMIFS(RAB!$F$14:$F$42,RAB!$C$14:$C$42,C1267)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SUMIFS(RAB!$F$14:$F$42,RAB!$C$14:$C$42,C1268)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SUMIFS(RAB!$F$14:$F$42,RAB!$C$14:$C$42,C1269)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SUMIFS(RAB!$F$14:$F$42,RAB!$C$14:$C$42,C1270)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SUMIFS(RAB!$F$14:$F$42,RAB!$C$14:$C$42,C1271)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SUMIFS(RAB!$F$14:$F$42,RAB!$C$14:$C$42,C1272)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SUMIFS(RAB!$F$14:$F$42,RAB!$C$14:$C$42,C1273)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SUMIFS(RAB!$F$14:$F$42,RAB!$C$14:$C$42,C1274)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SUMIFS(RAB!$F$14:$F$42,RAB!$C$14:$C$42,C1275)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SUMIFS(RAB!$F$14:$F$42,RAB!$C$14:$C$42,C1276)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SUMIFS(RAB!$F$14:$F$42,RAB!$C$14:$C$42,C1277)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SUMIFS(RAB!$F$14:$F$42,RAB!$C$14:$C$42,C1278)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SUMIFS(RAB!$F$14:$F$42,RAB!$C$14:$C$42,C1279)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SUMIFS(RAB!$F$14:$F$42,RAB!$C$14:$C$42,C1280)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SUMIFS(RAB!$F$14:$F$42,RAB!$C$14:$C$42,C1281)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SUMIFS(RAB!$F$14:$F$42,RAB!$C$14:$C$42,C1282)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SUMIFS(RAB!$F$14:$F$42,RAB!$C$14:$C$42,C1283)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SUMIFS(RAB!$F$14:$F$42,RAB!$C$14:$C$42,C1284)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SUMIFS(RAB!$F$14:$F$42,RAB!$C$14:$C$42,C1285)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SUMIFS(RAB!$F$14:$F$42,RAB!$C$14:$C$42,C1286)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SUMIFS(RAB!$F$14:$F$42,RAB!$C$14:$C$42,C1287)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SUMIFS(RAB!$F$14:$F$42,RAB!$C$14:$C$42,C1288)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SUMIFS(RAB!$F$14:$F$42,RAB!$C$14:$C$42,C1289)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SUMIFS(RAB!$F$14:$F$42,RAB!$C$14:$C$42,C1290)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SUMIFS(RAB!$F$14:$F$42,RAB!$C$14:$C$42,C1291)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SUMIFS(RAB!$F$14:$F$42,RAB!$C$14:$C$42,C1292)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SUMIFS(RAB!$F$14:$F$42,RAB!$C$14:$C$42,C1293)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SUMIFS(RAB!$F$14:$F$42,RAB!$C$14:$C$42,C1294)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SUMIFS(RAB!$F$14:$F$42,RAB!$C$14:$C$42,C1295)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SUMIFS(RAB!$F$14:$F$42,RAB!$C$14:$C$42,C1296)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SUMIFS(RAB!$F$14:$F$42,RAB!$C$14:$C$42,C1297)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SUMIFS(RAB!$F$14:$F$42,RAB!$C$14:$C$42,C1298)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SUMIFS(RAB!$F$14:$F$42,RAB!$C$14:$C$42,C1299)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SUMIFS(RAB!$F$14:$F$42,RAB!$C$14:$C$42,C1300)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SUMIFS(RAB!$F$14:$F$42,RAB!$C$14:$C$42,C1301)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SUMIFS(RAB!$F$14:$F$42,RAB!$C$14:$C$42,C1302)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SUMIFS(RAB!$F$14:$F$42,RAB!$C$14:$C$42,C1303)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SUMIFS(RAB!$F$14:$F$42,RAB!$C$14:$C$42,C1304)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SUMIFS(RAB!$F$14:$F$42,RAB!$C$14:$C$42,C1305)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SUMIFS(RAB!$F$14:$F$42,RAB!$C$14:$C$42,C1306)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SUMIFS(RAB!$F$14:$F$42,RAB!$C$14:$C$42,C1307)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SUMIFS(RAB!$F$14:$F$42,RAB!$C$14:$C$42,C1308)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SUMIFS(RAB!$F$14:$F$42,RAB!$C$14:$C$42,C1309)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SUMIFS(RAB!$F$14:$F$42,RAB!$C$14:$C$42,C1310)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SUMIFS(RAB!$F$14:$F$42,RAB!$C$14:$C$42,C1311)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SUMIFS(RAB!$F$14:$F$42,RAB!$C$14:$C$42,C1312)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SUMIFS(RAB!$F$14:$F$42,RAB!$C$14:$C$42,C1313)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SUMIFS(RAB!$F$14:$F$42,RAB!$C$14:$C$42,C1314)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SUMIFS(RAB!$F$14:$F$42,RAB!$C$14:$C$42,C1315)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SUMIFS(RAB!$F$14:$F$42,RAB!$C$14:$C$42,C1316)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SUMIFS(RAB!$F$14:$F$42,RAB!$C$14:$C$42,C1317)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SUMIFS(RAB!$F$14:$F$42,RAB!$C$14:$C$42,C1318)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SUMIFS(RAB!$F$14:$F$42,RAB!$C$14:$C$42,C1319)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SUMIFS(RAB!$F$14:$F$42,RAB!$C$14:$C$42,C1320)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6" t="s">
        <v>1127</v>
      </c>
      <c r="C4" s="526"/>
      <c r="D4" s="526"/>
      <c r="E4" s="526"/>
      <c r="F4" s="526"/>
      <c r="G4" s="526"/>
      <c r="H4" s="526"/>
      <c r="I4" s="526"/>
      <c r="J4" s="526"/>
      <c r="K4" s="52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19" t="str">
        <f>RAB!G6</f>
        <v>TD H NUR ROHMAD</v>
      </c>
      <c r="H6" s="519"/>
      <c r="I6" s="519"/>
      <c r="J6" s="519"/>
      <c r="K6" s="51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GENENG, KEC MIJEN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7" t="s">
        <v>0</v>
      </c>
      <c r="C11" s="529" t="s">
        <v>1</v>
      </c>
      <c r="D11" s="532" t="s">
        <v>42</v>
      </c>
      <c r="E11" s="532" t="s">
        <v>43</v>
      </c>
      <c r="F11" s="532" t="s">
        <v>2</v>
      </c>
      <c r="G11" s="533" t="s">
        <v>41</v>
      </c>
      <c r="H11" s="532" t="s">
        <v>3</v>
      </c>
      <c r="I11" s="532"/>
      <c r="J11" s="532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8"/>
      <c r="C12" s="530"/>
      <c r="D12" s="522"/>
      <c r="E12" s="522"/>
      <c r="F12" s="522"/>
      <c r="G12" s="534"/>
      <c r="H12" s="524" t="s">
        <v>46</v>
      </c>
      <c r="I12" s="524" t="s">
        <v>5</v>
      </c>
      <c r="J12" s="522" t="s">
        <v>47</v>
      </c>
      <c r="K12" s="52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8"/>
      <c r="C13" s="531"/>
      <c r="D13" s="522"/>
      <c r="E13" s="522"/>
      <c r="F13" s="522"/>
      <c r="G13" s="535"/>
      <c r="H13" s="525"/>
      <c r="I13" s="525"/>
      <c r="J13" s="522"/>
      <c r="K13" s="52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0" t="s">
        <v>1008</v>
      </c>
      <c r="D38" s="520"/>
      <c r="E38" s="520"/>
      <c r="F38" s="52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1" t="s">
        <v>462</v>
      </c>
      <c r="D39" s="521"/>
      <c r="E39" s="521"/>
      <c r="F39" s="52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0" t="s">
        <v>463</v>
      </c>
      <c r="D40" s="510"/>
      <c r="E40" s="510"/>
      <c r="F40" s="51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3" t="e">
        <f ca="1">"Terbilang : ( "&amp;L42&amp;" Rupiah )"</f>
        <v>#NAME?</v>
      </c>
      <c r="C41" s="514"/>
      <c r="D41" s="514"/>
      <c r="E41" s="514"/>
      <c r="F41" s="514"/>
      <c r="G41" s="514"/>
      <c r="H41" s="514"/>
      <c r="I41" s="514"/>
      <c r="J41" s="514"/>
      <c r="K41" s="515"/>
      <c r="L41" s="44"/>
      <c r="R41" s="58"/>
      <c r="S41" s="58"/>
      <c r="T41" s="58"/>
    </row>
    <row r="42" spans="1:20" s="36" customFormat="1">
      <c r="A42" s="30"/>
      <c r="B42" s="516"/>
      <c r="C42" s="517"/>
      <c r="D42" s="517"/>
      <c r="E42" s="517"/>
      <c r="F42" s="517"/>
      <c r="G42" s="517"/>
      <c r="H42" s="517"/>
      <c r="I42" s="517"/>
      <c r="J42" s="517"/>
      <c r="K42" s="51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1"/>
      <c r="I45" s="511"/>
      <c r="J45" s="512"/>
      <c r="K45" s="51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1"/>
      <c r="I46" s="511"/>
      <c r="J46" s="512"/>
      <c r="K46" s="51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1"/>
      <c r="I47" s="511"/>
      <c r="J47" s="512"/>
      <c r="K47" s="51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1"/>
      <c r="I52" s="511"/>
      <c r="J52" s="512"/>
      <c r="K52" s="51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SUMIFS(RAB!$F$14:$F$42,RAB!$C$14:$C$42,'REKAP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SUMIFS(RAB!$F$14:$F$42,RAB!$C$14:$C$42,'REKAP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SUMIFS(RAB!$F$14:$F$42,RAB!$C$14:$C$42,'REKAP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SUMIFS(RAB!$F$14:$F$42,RAB!$C$14:$C$42,'REKAP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SUMIFS(RAB!$F$14:$F$42,RAB!$C$14:$C$42,'REKAP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SUMIFS(RAB!$F$14:$F$42,RAB!$C$14:$C$42,'REKAP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SUMIFS(RAB!$F$14:$F$42,RAB!$C$14:$C$42,'REKAP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SUMIFS(RAB!$F$14:$F$42,RAB!$C$14:$C$42,'REKAP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SUMIFS(RAB!$F$14:$F$42,RAB!$C$14:$C$42,'REKAP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SUMIFS(RAB!$F$14:$F$42,RAB!$C$14:$C$42,'REKAP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SUMIFS(RAB!$F$14:$F$42,RAB!$C$14:$C$42,'REKAP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SUMIFS(RAB!$F$14:$F$42,RAB!$C$14:$C$42,'REKAP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SUMIFS(RAB!$F$14:$F$42,RAB!$C$14:$C$42,'REKAP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SUMIFS(RAB!$F$14:$F$42,RAB!$C$14:$C$42,'REKAP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SUMIFS(RAB!$F$14:$F$42,RAB!$C$14:$C$42,'REKAP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SUMIFS(RAB!$F$14:$F$42,RAB!$C$14:$C$42,'REKAP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SUMIFS(RAB!$F$14:$F$42,RAB!$C$14:$C$42,'REKAP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SUMIFS(RAB!$F$14:$F$42,RAB!$C$14:$C$42,'REKAP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SUMIFS(RAB!$F$14:$F$42,RAB!$C$14:$C$42,'REKAP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SUMIFS(RAB!$F$14:$F$42,RAB!$C$14:$C$42,'REKAP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19" sqref="D1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6" t="s">
        <v>1034</v>
      </c>
      <c r="C4" s="526"/>
      <c r="D4" s="526"/>
      <c r="E4" s="526"/>
      <c r="F4" s="526"/>
      <c r="G4" s="526"/>
      <c r="H4" s="526"/>
      <c r="I4" s="526"/>
      <c r="J4" s="526"/>
      <c r="K4" s="52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19" t="str">
        <f>RAB!G6</f>
        <v>TD H NUR ROHMAD</v>
      </c>
      <c r="H6" s="519"/>
      <c r="I6" s="519"/>
      <c r="J6" s="519"/>
      <c r="K6" s="51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GENENG, KEC MIJEN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7" t="s">
        <v>0</v>
      </c>
      <c r="C11" s="529" t="s">
        <v>1</v>
      </c>
      <c r="D11" s="532" t="s">
        <v>42</v>
      </c>
      <c r="E11" s="532" t="s">
        <v>43</v>
      </c>
      <c r="F11" s="532" t="s">
        <v>2</v>
      </c>
      <c r="G11" s="533" t="s">
        <v>41</v>
      </c>
      <c r="H11" s="532" t="s">
        <v>3</v>
      </c>
      <c r="I11" s="532"/>
      <c r="J11" s="532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8"/>
      <c r="C12" s="530"/>
      <c r="D12" s="522"/>
      <c r="E12" s="522"/>
      <c r="F12" s="522"/>
      <c r="G12" s="534"/>
      <c r="H12" s="524" t="s">
        <v>46</v>
      </c>
      <c r="I12" s="524" t="s">
        <v>5</v>
      </c>
      <c r="J12" s="522" t="s">
        <v>47</v>
      </c>
      <c r="K12" s="52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8"/>
      <c r="C13" s="531"/>
      <c r="D13" s="522"/>
      <c r="E13" s="522"/>
      <c r="F13" s="522"/>
      <c r="G13" s="535"/>
      <c r="H13" s="525"/>
      <c r="I13" s="525"/>
      <c r="J13" s="522"/>
      <c r="K13" s="52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2 x 10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35</v>
      </c>
      <c r="G18" s="41">
        <f ca="1">IF(ISERROR(OFFSET('HARGA SATUAN'!$I$6,MATCH(C18,'HARGA SATUAN'!$C$7:$C$1492,0),0)),"",OFFSET('HARGA SATUAN'!$I$6,MATCH(C18,'HARGA SATUAN'!$C$7:$C$1492,0),0))</f>
        <v>4300</v>
      </c>
      <c r="H18" s="42">
        <f t="shared" ca="1" si="1"/>
        <v>150500</v>
      </c>
      <c r="I18" s="42">
        <f t="shared" ca="1" si="2"/>
        <v>0</v>
      </c>
      <c r="J18" s="42">
        <f t="shared" ca="1" si="3"/>
        <v>0</v>
      </c>
      <c r="K18" s="43">
        <f t="shared" ca="1" si="0"/>
        <v>150500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0" t="s">
        <v>1008</v>
      </c>
      <c r="D168" s="520"/>
      <c r="E168" s="520"/>
      <c r="F168" s="520"/>
      <c r="G168" s="77" t="s">
        <v>9</v>
      </c>
      <c r="H168" s="55">
        <f ca="1">SUM(H14:H167)</f>
        <v>517100</v>
      </c>
      <c r="I168" s="55">
        <f ca="1">SUM(I14:I167)</f>
        <v>0</v>
      </c>
      <c r="J168" s="55">
        <f ca="1">SUM(J14:J167)</f>
        <v>0</v>
      </c>
      <c r="K168" s="55">
        <f ca="1">SUM(K14:K167)</f>
        <v>517100</v>
      </c>
      <c r="L168" s="44"/>
      <c r="R168" s="99"/>
      <c r="S168" s="99"/>
      <c r="T168" s="99"/>
    </row>
    <row r="169" spans="1:20" s="36" customFormat="1">
      <c r="A169" s="30"/>
      <c r="B169" s="56"/>
      <c r="C169" s="521" t="s">
        <v>462</v>
      </c>
      <c r="D169" s="521"/>
      <c r="E169" s="521"/>
      <c r="F169" s="521"/>
      <c r="G169" s="59" t="s">
        <v>9</v>
      </c>
      <c r="H169" s="60">
        <f ca="1">H168*0.1</f>
        <v>51710</v>
      </c>
      <c r="I169" s="60">
        <f ca="1">I168*0.1</f>
        <v>0</v>
      </c>
      <c r="J169" s="60">
        <f ca="1">J168*0.1</f>
        <v>0</v>
      </c>
      <c r="K169" s="60">
        <f ca="1">K168*0.1</f>
        <v>51710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0" t="s">
        <v>463</v>
      </c>
      <c r="D170" s="510"/>
      <c r="E170" s="510"/>
      <c r="F170" s="510"/>
      <c r="G170" s="61" t="s">
        <v>9</v>
      </c>
      <c r="H170" s="78">
        <f ca="1">SUM(H168:H169)</f>
        <v>568810</v>
      </c>
      <c r="I170" s="78">
        <f ca="1">SUM(I168:I169)</f>
        <v>0</v>
      </c>
      <c r="J170" s="61">
        <f ca="1">SUM(J168:J169)</f>
        <v>0</v>
      </c>
      <c r="K170" s="61">
        <f ca="1">SUM(K168:K169)</f>
        <v>568810</v>
      </c>
      <c r="L170" s="44"/>
      <c r="R170" s="99"/>
      <c r="S170" s="99"/>
      <c r="T170" s="99"/>
    </row>
    <row r="171" spans="1:20" s="36" customFormat="1">
      <c r="A171" s="30"/>
      <c r="B171" s="513" t="e">
        <f ca="1">"Terbilang : ( "&amp;L172&amp;" Rupiah )"</f>
        <v>#NAME?</v>
      </c>
      <c r="C171" s="514"/>
      <c r="D171" s="514"/>
      <c r="E171" s="514"/>
      <c r="F171" s="514"/>
      <c r="G171" s="514"/>
      <c r="H171" s="514"/>
      <c r="I171" s="514"/>
      <c r="J171" s="514"/>
      <c r="K171" s="515"/>
      <c r="L171" s="44"/>
      <c r="R171" s="58"/>
      <c r="S171" s="58"/>
      <c r="T171" s="58"/>
    </row>
    <row r="172" spans="1:20" s="36" customFormat="1">
      <c r="A172" s="30"/>
      <c r="B172" s="516"/>
      <c r="C172" s="517"/>
      <c r="D172" s="517"/>
      <c r="E172" s="517"/>
      <c r="F172" s="517"/>
      <c r="G172" s="517"/>
      <c r="H172" s="517"/>
      <c r="I172" s="517"/>
      <c r="J172" s="517"/>
      <c r="K172" s="51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1"/>
      <c r="I175" s="511"/>
      <c r="J175" s="512"/>
      <c r="K175" s="51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1"/>
      <c r="I176" s="511"/>
      <c r="J176" s="512"/>
      <c r="K176" s="51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1"/>
      <c r="I177" s="511"/>
      <c r="J177" s="512"/>
      <c r="K177" s="51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1"/>
      <c r="I182" s="511"/>
      <c r="J182" s="512"/>
      <c r="K182" s="51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SUMIFS(RAB!$F$14:$F$42,RAB!$C$14:$C$42,C224)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SUMIFS(RAB!$F$14:$F$42,RAB!$C$14:$C$42,C225)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SUMIFS(RAB!$F$14:$F$42,RAB!$C$14:$C$42,C226)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SUMIFS(RAB!$F$14:$F$42,RAB!$C$14:$C$42,C227)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SUMIFS(RAB!$F$14:$F$42,RAB!$C$14:$C$42,C228)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SUMIFS(RAB!$F$14:$F$42,RAB!$C$14:$C$42,C229)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SUMIFS(RAB!$F$14:$F$42,RAB!$C$14:$C$42,C230)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SUMIFS(RAB!$F$14:$F$42,RAB!$C$14:$C$42,C231)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SUMIFS(RAB!$F$14:$F$42,RAB!$C$14:$C$42,C232)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SUMIFS(RAB!$F$14:$F$42,RAB!$C$14:$C$42,C233)</f>
        <v>1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SUMIFS(RAB!$F$14:$F$42,RAB!$C$14:$C$42,C234)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SUMIFS(RAB!$F$14:$F$42,RAB!$C$14:$C$42,C235)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SUMIFS(RAB!$F$14:$F$42,RAB!$C$14:$C$42,C236)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SUMIFS(RAB!$F$14:$F$42,RAB!$C$14:$C$42,C237)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SUMIFS(RAB!$F$14:$F$42,RAB!$C$14:$C$42,C238)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SUMIFS(RAB!$F$14:$F$42,RAB!$C$14:$C$42,C239)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SUMIFS(RAB!$F$14:$F$42,RAB!$C$14:$C$42,C240)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SUMIFS(RAB!$F$14:$F$42,RAB!$C$14:$C$42,C241)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SUMIFS(RAB!$F$14:$F$42,RAB!$C$14:$C$42,C242)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SUMIFS(RAB!$F$14:$F$42,RAB!$C$14:$C$42,C243)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SUMIFS(RAB!$F$14:$F$42,RAB!$C$14:$C$42,C244)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SUMIFS(RAB!$F$14:$F$42,RAB!$C$14:$C$42,C245)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SUMIFS(RAB!$F$14:$F$42,RAB!$C$14:$C$42,C246)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SUMIFS(RAB!$F$14:$F$42,RAB!$C$14:$C$42,C247)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SUMIFS(RAB!$F$14:$F$42,RAB!$C$14:$C$42,C248)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SUMIFS(RAB!$F$14:$F$42,RAB!$C$14:$C$42,C249)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SUMIFS(RAB!$F$14:$F$42,RAB!$C$14:$C$42,C250)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SUMIFS(RAB!$F$14:$F$42,RAB!$C$14:$C$42,C251)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SUMIFS(RAB!$F$14:$F$42,RAB!$C$14:$C$42,C252)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SUMIFS(RAB!$F$14:$F$42,RAB!$C$14:$C$42,C253)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SUMIFS(RAB!$F$14:$F$42,RAB!$C$14:$C$42,C254)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SUMIFS(RAB!$F$14:$F$42,RAB!$C$14:$C$42,C255)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SUMIFS(RAB!$F$14:$F$42,RAB!$C$14:$C$42,C256)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SUMIFS(RAB!$F$14:$F$42,RAB!$C$14:$C$42,C257)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SUMIFS(RAB!$F$14:$F$42,RAB!$C$14:$C$42,C258)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SUMIFS(RAB!$F$14:$F$42,RAB!$C$14:$C$42,C259)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SUMIFS(RAB!$F$14:$F$42,RAB!$C$14:$C$42,C260)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SUMIFS(RAB!$F$14:$F$42,RAB!$C$14:$C$42,C261)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SUMIFS(RAB!$F$14:$F$42,RAB!$C$14:$C$42,C262)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SUMIFS(RAB!$F$14:$F$42,RAB!$C$14:$C$42,C263)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SUMIFS(RAB!$F$14:$F$42,RAB!$C$14:$C$42,C264)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SUMIFS(RAB!$F$14:$F$42,RAB!$C$14:$C$42,C265)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SUMIFS(RAB!$F$14:$F$42,RAB!$C$14:$C$42,C266)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SUMIFS(RAB!$F$14:$F$42,RAB!$C$14:$C$42,C267)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SUMIFS(RAB!$F$14:$F$42,RAB!$C$14:$C$42,C268)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SUMIFS(RAB!$F$14:$F$42,RAB!$C$14:$C$42,C269)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SUMIFS(RAB!$F$14:$F$42,RAB!$C$14:$C$42,C270)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SUMIFS(RAB!$F$14:$F$42,RAB!$C$14:$C$42,C271)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SUMIFS(RAB!$F$14:$F$42,RAB!$C$14:$C$42,C272)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SUMIFS(RAB!$F$14:$F$42,RAB!$C$14:$C$42,C273)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SUMIFS(RAB!$F$14:$F$42,RAB!$C$14:$C$42,C274)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SUMIFS(RAB!$F$14:$F$42,RAB!$C$14:$C$42,C275)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SUMIFS(RAB!$F$14:$F$42,RAB!$C$14:$C$42,C276)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SUMIFS(RAB!$F$14:$F$42,RAB!$C$14:$C$42,C277)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SUMIFS(RAB!$F$14:$F$42,RAB!$C$14:$C$42,C278)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SUMIFS(RAB!$F$14:$F$42,RAB!$C$14:$C$42,C279)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SUMIFS(RAB!$F$14:$F$42,RAB!$C$14:$C$42,C280)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SUMIFS(RAB!$F$14:$F$42,RAB!$C$14:$C$42,C281)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SUMIFS(RAB!$F$14:$F$42,RAB!$C$14:$C$42,C282)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SUMIFS(RAB!$F$14:$F$42,RAB!$C$14:$C$42,C283)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SUMIFS(RAB!$F$14:$F$42,RAB!$C$14:$C$42,C284)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SUMIFS(RAB!$F$14:$F$42,RAB!$C$14:$C$42,C285)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SUMIFS(RAB!$F$14:$F$42,RAB!$C$14:$C$42,C286)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SUMIFS(RAB!$F$14:$F$42,RAB!$C$14:$C$42,C287)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SUMIFS(RAB!$F$14:$F$42,RAB!$C$14:$C$42,C288)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SUMIFS(RAB!$F$14:$F$42,RAB!$C$14:$C$42,C289)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SUMIFS(RAB!$F$14:$F$42,RAB!$C$14:$C$42,C290)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SUMIFS(RAB!$F$14:$F$42,RAB!$C$14:$C$42,C291)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SUMIFS(RAB!$F$14:$F$42,RAB!$C$14:$C$42,C292)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SUMIFS(RAB!$F$14:$F$42,RAB!$C$14:$C$42,C293)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SUMIFS(RAB!$F$14:$F$42,RAB!$C$14:$C$42,C294)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SUMIFS(RAB!$F$14:$F$42,RAB!$C$14:$C$42,C295)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SUMIFS(RAB!$F$14:$F$42,RAB!$C$14:$C$42,C296)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SUMIFS(RAB!$F$14:$F$42,RAB!$C$14:$C$42,C297)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SUMIFS(RAB!$F$14:$F$42,RAB!$C$14:$C$42,C298)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SUMIFS(RAB!$F$14:$F$42,RAB!$C$14:$C$42,C299)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SUMIFS(RAB!$F$14:$F$42,RAB!$C$14:$C$42,C300)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SUMIFS(RAB!$F$14:$F$42,RAB!$C$14:$C$42,C301)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SUMIFS(RAB!$F$14:$F$42,RAB!$C$14:$C$42,C302)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SUMIFS(RAB!$F$14:$F$42,RAB!$C$14:$C$42,C303)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SUMIFS(RAB!$F$14:$F$42,RAB!$C$14:$C$42,C304)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SUMIFS(RAB!$F$14:$F$42,RAB!$C$14:$C$42,C305)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SUMIFS(RAB!$F$14:$F$42,RAB!$C$14:$C$42,C306)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SUMIFS(RAB!$F$14:$F$42,RAB!$C$14:$C$42,C307)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SUMIFS(RAB!$F$14:$F$42,RAB!$C$14:$C$42,C308)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SUMIFS(RAB!$F$14:$F$42,RAB!$C$14:$C$42,C309)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SUMIFS(RAB!$F$14:$F$42,RAB!$C$14:$C$42,C310)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SUMIFS(RAB!$F$14:$F$42,RAB!$C$14:$C$42,C311)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SUMIFS(RAB!$F$14:$F$42,RAB!$C$14:$C$42,C312)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SUMIFS(RAB!$F$14:$F$42,RAB!$C$14:$C$42,C313)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SUMIFS(RAB!$F$14:$F$42,RAB!$C$14:$C$42,C314)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SUMIFS(RAB!$F$14:$F$42,RAB!$C$14:$C$42,C315)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SUMIFS(RAB!$F$14:$F$42,RAB!$C$14:$C$42,C316)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SUMIFS(RAB!$F$14:$F$42,RAB!$C$14:$C$42,C317)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SUMIFS(RAB!$F$14:$F$42,RAB!$C$14:$C$42,C318)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SUMIFS(RAB!$F$14:$F$42,RAB!$C$14:$C$42,C319)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SUMIFS(RAB!$F$14:$F$42,RAB!$C$14:$C$42,C320)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SUMIFS(RAB!$F$14:$F$42,RAB!$C$14:$C$42,C321)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SUMIFS(RAB!$F$14:$F$42,RAB!$C$14:$C$42,C322)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SUMIFS(RAB!$F$14:$F$42,RAB!$C$14:$C$42,C323)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SUMIFS(RAB!$F$14:$F$42,RAB!$C$14:$C$42,C324)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SUMIFS(RAB!$F$14:$F$42,RAB!$C$14:$C$42,C325)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SUMIFS(RAB!$F$14:$F$42,RAB!$C$14:$C$42,C326)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SUMIFS(RAB!$F$14:$F$42,RAB!$C$14:$C$42,C327)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SUMIFS(RAB!$F$14:$F$42,RAB!$C$14:$C$42,C328)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SUMIFS(RAB!$F$14:$F$42,RAB!$C$14:$C$42,C329)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SUMIFS(RAB!$F$14:$F$42,RAB!$C$14:$C$42,C330)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SUMIFS(RAB!$F$14:$F$42,RAB!$C$14:$C$42,C331)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SUMIFS(RAB!$F$14:$F$42,RAB!$C$14:$C$42,C332)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SUMIFS(RAB!$F$14:$F$42,RAB!$C$14:$C$42,C333)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SUMIFS(RAB!$F$14:$F$42,RAB!$C$14:$C$42,C334)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SUMIFS(RAB!$F$14:$F$42,RAB!$C$14:$C$42,C335)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SUMIFS(RAB!$F$14:$F$42,RAB!$C$14:$C$42,C336)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SUMIFS(RAB!$F$14:$F$42,RAB!$C$14:$C$42,C337)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SUMIFS(RAB!$F$14:$F$42,RAB!$C$14:$C$42,C338)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SUMIFS(RAB!$F$14:$F$42,RAB!$C$14:$C$42,C339)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SUMIFS(RAB!$F$14:$F$42,RAB!$C$14:$C$42,C340)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SUMIFS(RAB!$F$14:$F$42,RAB!$C$14:$C$42,C341)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SUMIFS(RAB!$F$14:$F$42,RAB!$C$14:$C$42,C342)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SUMIFS(RAB!$F$14:$F$42,RAB!$C$14:$C$42,C343)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SUMIFS(RAB!$F$14:$F$42,RAB!$C$14:$C$42,C344)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SUMIFS(RAB!$F$14:$F$42,RAB!$C$14:$C$42,C345)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SUMIFS(RAB!$F$14:$F$42,RAB!$C$14:$C$42,C346)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SUMIFS(RAB!$F$14:$F$42,RAB!$C$14:$C$42,C347)</f>
        <v>35</v>
      </c>
      <c r="E347" s="24">
        <f t="shared" ca="1" si="22"/>
        <v>1</v>
      </c>
      <c r="F347" s="24">
        <f ca="1">IF(D347=0,0,SUM($E$223:E347))</f>
        <v>3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SUMIFS(RAB!$F$14:$F$42,RAB!$C$14:$C$42,C348)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SUMIFS(RAB!$F$14:$F$42,RAB!$C$14:$C$42,C349)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SUMIFS(RAB!$F$14:$F$42,RAB!$C$14:$C$42,C350)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SUMIFS(RAB!$F$14:$F$42,RAB!$C$14:$C$42,C351)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SUMIFS(RAB!$F$14:$F$42,RAB!$C$14:$C$42,C352)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SUMIFS(RAB!$F$14:$F$42,RAB!$C$14:$C$42,C353)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SUMIFS(RAB!$F$14:$F$42,RAB!$C$14:$C$42,C354)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SUMIFS(RAB!$F$14:$F$42,RAB!$C$14:$C$42,C355)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SUMIFS(RAB!$F$14:$F$42,RAB!$C$14:$C$42,C356)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SUMIFS(RAB!$F$14:$F$42,RAB!$C$14:$C$42,C357)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SUMIFS(RAB!$F$14:$F$42,RAB!$C$14:$C$42,C358)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SUMIFS(RAB!$F$14:$F$42,RAB!$C$14:$C$42,C359)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SUMIFS(RAB!$F$14:$F$42,RAB!$C$14:$C$42,C360)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SUMIFS(RAB!$F$14:$F$42,RAB!$C$14:$C$42,C361)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SUMIFS(RAB!$F$14:$F$42,RAB!$C$14:$C$42,C362)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SUMIFS(RAB!$F$14:$F$42,RAB!$C$14:$C$42,C363)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SUMIFS(RAB!$F$14:$F$42,RAB!$C$14:$C$42,C364)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SUMIFS(RAB!$F$14:$F$42,RAB!$C$14:$C$42,C365)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SUMIFS(RAB!$F$14:$F$42,RAB!$C$14:$C$42,C366)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SUMIFS(RAB!$F$14:$F$42,RAB!$C$14:$C$42,C367)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SUMIFS(RAB!$F$14:$F$42,RAB!$C$14:$C$42,C368)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SUMIFS(RAB!$F$14:$F$42,RAB!$C$14:$C$42,C369)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SUMIFS(RAB!$F$14:$F$42,RAB!$C$14:$C$42,C370)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SUMIFS(RAB!$F$14:$F$42,RAB!$C$14:$C$42,C371)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SUMIFS(RAB!$F$14:$F$42,RAB!$C$14:$C$42,C372)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SUMIFS(RAB!$F$14:$F$42,RAB!$C$14:$C$42,C373)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G1:G115 E6:E15 H12:I12 N13 F14:F15 H14:K115 E166:K166 G166:G223 E167:F167 H167:K167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0"/>
    </row>
    <row r="4" spans="4:4" ht="57" customHeight="1">
      <c r="D4" s="450">
        <v>3</v>
      </c>
    </row>
    <row r="5" spans="4:4" ht="57" customHeight="1">
      <c r="D5" s="45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76" activePane="bottomRight" state="frozen"/>
      <selection activeCell="D209" sqref="D209"/>
      <selection pane="topRight" activeCell="D209" sqref="D209"/>
      <selection pane="bottomLeft" activeCell="D209" sqref="D209"/>
      <selection pane="bottomRight" activeCell="C1305" sqref="C130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8" t="s">
        <v>41</v>
      </c>
      <c r="C2" s="53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9" t="s">
        <v>23</v>
      </c>
      <c r="C4" s="540" t="s">
        <v>1012</v>
      </c>
      <c r="D4" s="540" t="s">
        <v>42</v>
      </c>
      <c r="E4" s="539" t="s">
        <v>43</v>
      </c>
      <c r="F4" s="108" t="s">
        <v>1607</v>
      </c>
      <c r="G4" s="108" t="s">
        <v>1606</v>
      </c>
      <c r="H4" s="53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9"/>
      <c r="C5" s="540"/>
      <c r="D5" s="540"/>
      <c r="E5" s="539"/>
      <c r="F5" s="93"/>
      <c r="G5" s="93"/>
      <c r="H5" s="537"/>
      <c r="I5" s="193" t="s">
        <v>1606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1550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1551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1552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1553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1554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1555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1556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1557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6" t="s">
        <v>44</v>
      </c>
      <c r="E116" s="277" t="s">
        <v>525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6" t="s">
        <v>44</v>
      </c>
      <c r="E117" s="277" t="s">
        <v>525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6" t="s">
        <v>44</v>
      </c>
      <c r="E118" s="277" t="s">
        <v>525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6" t="s">
        <v>44</v>
      </c>
      <c r="E119" s="277" t="s">
        <v>525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6" t="s">
        <v>44</v>
      </c>
      <c r="E120" s="277" t="s">
        <v>525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6" t="s">
        <v>44</v>
      </c>
      <c r="E121" s="277" t="s">
        <v>525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6" t="s">
        <v>44</v>
      </c>
      <c r="E123" s="277" t="s">
        <v>525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6" t="s">
        <v>44</v>
      </c>
      <c r="E127" s="277" t="s">
        <v>525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6" t="s">
        <v>44</v>
      </c>
      <c r="E128" s="277" t="s">
        <v>525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6" t="s">
        <v>45</v>
      </c>
      <c r="E129" s="277" t="s">
        <v>525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1558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1559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1560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1561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1562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1563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1564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1565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1566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1567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1568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1569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1570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1571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1572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1573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1574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1575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1576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1577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1578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1579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1580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1581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1582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1583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1584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1585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1586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1587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1588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1589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1590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1591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1592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1593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1594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1595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1596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1597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1598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1599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1600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1601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73" t="s">
        <v>598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73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6" t="s">
        <v>45</v>
      </c>
      <c r="E599" s="277" t="s">
        <v>1090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6" t="s">
        <v>45</v>
      </c>
      <c r="E600" s="277" t="s">
        <v>1090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6" t="s">
        <v>45</v>
      </c>
      <c r="E601" s="277" t="s">
        <v>1090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6" t="s">
        <v>45</v>
      </c>
      <c r="E602" s="277" t="s">
        <v>1090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6" t="s">
        <v>45</v>
      </c>
      <c r="E603" s="277" t="s">
        <v>1090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6" t="s">
        <v>45</v>
      </c>
      <c r="E605" s="277" t="s">
        <v>1090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6" t="s">
        <v>47</v>
      </c>
      <c r="E636" s="277" t="s">
        <v>1121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6" t="s">
        <v>47</v>
      </c>
      <c r="E637" s="277" t="s">
        <v>1122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6" t="s">
        <v>47</v>
      </c>
      <c r="E638" s="277" t="s">
        <v>1123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6" t="s">
        <v>47</v>
      </c>
      <c r="E639" s="277" t="s">
        <v>1123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6" t="s">
        <v>45</v>
      </c>
      <c r="E640" s="277" t="s">
        <v>1123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6" t="s">
        <v>45</v>
      </c>
      <c r="E641" s="277" t="s">
        <v>1123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6" t="s">
        <v>45</v>
      </c>
      <c r="E642" s="277" t="s">
        <v>1123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6" t="s">
        <v>45</v>
      </c>
      <c r="E643" s="277" t="s">
        <v>1123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6" t="s">
        <v>45</v>
      </c>
      <c r="E644" s="277" t="s">
        <v>1124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6" t="s">
        <v>47</v>
      </c>
      <c r="E648" s="277" t="s">
        <v>1123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6" t="s">
        <v>47</v>
      </c>
      <c r="E649" s="277" t="s">
        <v>1123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1511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1512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1513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1514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1515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1517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1602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6" t="s">
        <v>47</v>
      </c>
      <c r="E927" s="277" t="s">
        <v>1102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6" t="s">
        <v>47</v>
      </c>
      <c r="E928" s="277" t="s">
        <v>1102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6" t="s">
        <v>47</v>
      </c>
      <c r="E929" s="277" t="s">
        <v>1102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6" t="s">
        <v>47</v>
      </c>
      <c r="E930" s="277" t="s">
        <v>1102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6" t="s">
        <v>47</v>
      </c>
      <c r="E931" s="277" t="s">
        <v>1102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6" t="s">
        <v>47</v>
      </c>
      <c r="E932" s="277" t="s">
        <v>1102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6" t="s">
        <v>47</v>
      </c>
      <c r="E933" s="277" t="s">
        <v>1102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6" t="s">
        <v>47</v>
      </c>
      <c r="E934" s="277" t="s">
        <v>1102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6" t="s">
        <v>47</v>
      </c>
      <c r="E935" s="277" t="s">
        <v>1102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6" t="s">
        <v>47</v>
      </c>
      <c r="E936" s="277" t="s">
        <v>1102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6" t="s">
        <v>47</v>
      </c>
      <c r="E937" s="277" t="s">
        <v>1102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6" t="s">
        <v>47</v>
      </c>
      <c r="E938" s="277" t="s">
        <v>1102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6" t="s">
        <v>47</v>
      </c>
      <c r="E939" s="277" t="s">
        <v>1102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6" t="s">
        <v>47</v>
      </c>
      <c r="E940" s="277" t="s">
        <v>1102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6" t="s">
        <v>47</v>
      </c>
      <c r="E941" s="277" t="s">
        <v>1102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6" t="s">
        <v>47</v>
      </c>
      <c r="E942" s="277" t="s">
        <v>1102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6" t="s">
        <v>47</v>
      </c>
      <c r="E943" s="277" t="s">
        <v>1102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6" t="s">
        <v>47</v>
      </c>
      <c r="E944" s="277" t="s">
        <v>1102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6" t="s">
        <v>47</v>
      </c>
      <c r="E945" s="277" t="s">
        <v>1102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6" t="s">
        <v>47</v>
      </c>
      <c r="E946" s="277" t="s">
        <v>1102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6" t="s">
        <v>47</v>
      </c>
      <c r="E947" s="277" t="s">
        <v>1102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6" t="s">
        <v>47</v>
      </c>
      <c r="E948" s="277" t="s">
        <v>1102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6" t="s">
        <v>47</v>
      </c>
      <c r="E949" s="277" t="s">
        <v>1102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6" t="s">
        <v>47</v>
      </c>
      <c r="E950" s="277" t="s">
        <v>1102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6" t="s">
        <v>47</v>
      </c>
      <c r="E951" s="277" t="s">
        <v>1102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6" t="s">
        <v>47</v>
      </c>
      <c r="E952" s="277" t="s">
        <v>1102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6" t="s">
        <v>47</v>
      </c>
      <c r="E953" s="277" t="s">
        <v>1102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6" t="s">
        <v>47</v>
      </c>
      <c r="E954" s="277" t="s">
        <v>1102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6" t="s">
        <v>47</v>
      </c>
      <c r="E955" s="277" t="s">
        <v>1102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6" t="s">
        <v>47</v>
      </c>
      <c r="E956" s="277" t="s">
        <v>1102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6" t="s">
        <v>47</v>
      </c>
      <c r="E957" s="277" t="s">
        <v>1102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6" t="s">
        <v>47</v>
      </c>
      <c r="E958" s="277" t="s">
        <v>1102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6" t="s">
        <v>47</v>
      </c>
      <c r="E959" s="277" t="s">
        <v>1102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6" t="s">
        <v>47</v>
      </c>
      <c r="E960" s="277" t="s">
        <v>1102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6" t="s">
        <v>47</v>
      </c>
      <c r="E961" s="277" t="s">
        <v>1102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6" t="s">
        <v>47</v>
      </c>
      <c r="E962" s="277" t="s">
        <v>1102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6" t="s">
        <v>47</v>
      </c>
      <c r="E963" s="277" t="s">
        <v>1102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6" t="s">
        <v>47</v>
      </c>
      <c r="E964" s="277" t="s">
        <v>1102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6" t="s">
        <v>47</v>
      </c>
      <c r="E965" s="277" t="s">
        <v>1102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6" t="s">
        <v>47</v>
      </c>
      <c r="E966" s="277" t="s">
        <v>1102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6" t="s">
        <v>47</v>
      </c>
      <c r="E967" s="277" t="s">
        <v>1102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6" t="s">
        <v>47</v>
      </c>
      <c r="E968" s="277" t="s">
        <v>1102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6" t="s">
        <v>47</v>
      </c>
      <c r="E969" s="277" t="s">
        <v>1102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6" t="s">
        <v>47</v>
      </c>
      <c r="E970" s="277" t="s">
        <v>1102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6" t="s">
        <v>47</v>
      </c>
      <c r="E971" s="277" t="s">
        <v>1102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6" t="s">
        <v>47</v>
      </c>
      <c r="E972" s="277" t="s">
        <v>1102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6" t="s">
        <v>47</v>
      </c>
      <c r="E973" s="277" t="s">
        <v>1102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6" t="s">
        <v>47</v>
      </c>
      <c r="E974" s="277" t="s">
        <v>1102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6" t="s">
        <v>47</v>
      </c>
      <c r="E975" s="277" t="s">
        <v>1102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6" t="s">
        <v>47</v>
      </c>
      <c r="E976" s="277" t="s">
        <v>1102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6" t="s">
        <v>47</v>
      </c>
      <c r="E977" s="277" t="s">
        <v>1102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6" t="s">
        <v>47</v>
      </c>
      <c r="E978" s="277" t="s">
        <v>1102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6" t="s">
        <v>47</v>
      </c>
      <c r="E979" s="277" t="s">
        <v>1102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6" t="s">
        <v>47</v>
      </c>
      <c r="E980" s="277" t="s">
        <v>1102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6" t="s">
        <v>47</v>
      </c>
      <c r="E981" s="277" t="s">
        <v>1102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6" t="s">
        <v>47</v>
      </c>
      <c r="E984" s="277" t="s">
        <v>1102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6" t="s">
        <v>47</v>
      </c>
      <c r="E985" s="277" t="s">
        <v>1102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6" t="s">
        <v>47</v>
      </c>
      <c r="E986" s="277" t="s">
        <v>1102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6" t="s">
        <v>47</v>
      </c>
      <c r="E987" s="277" t="s">
        <v>1102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6" t="s">
        <v>47</v>
      </c>
      <c r="E988" s="277" t="s">
        <v>1102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6" t="s">
        <v>47</v>
      </c>
      <c r="E989" s="277" t="s">
        <v>1102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6" t="s">
        <v>47</v>
      </c>
      <c r="E990" s="277" t="s">
        <v>1102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1603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1604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6" t="s">
        <v>47</v>
      </c>
      <c r="E1049" s="277" t="s">
        <v>796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1605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6" t="s">
        <v>47</v>
      </c>
      <c r="E1309" s="277" t="s">
        <v>1102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6" t="s">
        <v>47</v>
      </c>
      <c r="E1310" s="277" t="s">
        <v>1102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6" t="s">
        <v>47</v>
      </c>
      <c r="E1311" s="277" t="s">
        <v>1102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6" t="s">
        <v>47</v>
      </c>
      <c r="E1312" s="277" t="s">
        <v>1102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6" t="s">
        <v>47</v>
      </c>
      <c r="E1313" s="277" t="s">
        <v>1102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6" t="s">
        <v>47</v>
      </c>
      <c r="E1314" s="277" t="s">
        <v>1102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6" t="s">
        <v>47</v>
      </c>
      <c r="E1315" s="277" t="s">
        <v>1102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6" t="s">
        <v>47</v>
      </c>
      <c r="E1316" s="277" t="s">
        <v>1102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6" t="s">
        <v>47</v>
      </c>
      <c r="E1317" s="277" t="s">
        <v>1102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6" t="s">
        <v>47</v>
      </c>
      <c r="E1318" s="277" t="s">
        <v>1102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6" t="s">
        <v>47</v>
      </c>
      <c r="E1319" s="277" t="s">
        <v>1102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6" t="s">
        <v>47</v>
      </c>
      <c r="E1320" s="277" t="s">
        <v>1102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6" t="s">
        <v>47</v>
      </c>
      <c r="E1321" s="277" t="s">
        <v>1102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6" t="s">
        <v>47</v>
      </c>
      <c r="E1322" s="277" t="s">
        <v>1102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6" t="s">
        <v>47</v>
      </c>
      <c r="E1323" s="277" t="s">
        <v>1102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6" t="s">
        <v>47</v>
      </c>
      <c r="E1324" s="277" t="s">
        <v>1102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6" t="s">
        <v>47</v>
      </c>
      <c r="E1325" s="277" t="s">
        <v>1102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6" t="s">
        <v>47</v>
      </c>
      <c r="E1326" s="277" t="s">
        <v>1102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6" t="s">
        <v>47</v>
      </c>
      <c r="E1327" s="277" t="s">
        <v>1102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6" t="s">
        <v>47</v>
      </c>
      <c r="E1328" s="277" t="s">
        <v>1102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6" t="s">
        <v>47</v>
      </c>
      <c r="E1329" s="277" t="s">
        <v>1102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6" t="s">
        <v>47</v>
      </c>
      <c r="E1330" s="277" t="s">
        <v>1102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6" t="s">
        <v>47</v>
      </c>
      <c r="E1331" s="277" t="s">
        <v>1102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6" t="s">
        <v>47</v>
      </c>
      <c r="E1332" s="277" t="s">
        <v>1102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6" t="s">
        <v>47</v>
      </c>
      <c r="E1333" s="277" t="s">
        <v>1102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6" t="s">
        <v>47</v>
      </c>
      <c r="E1334" s="277" t="s">
        <v>1102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6" t="s">
        <v>47</v>
      </c>
      <c r="E1335" s="277" t="s">
        <v>1102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6" t="s">
        <v>47</v>
      </c>
      <c r="E1336" s="277" t="s">
        <v>1102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6" t="s">
        <v>47</v>
      </c>
      <c r="E1337" s="277" t="s">
        <v>1102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6" t="s">
        <v>47</v>
      </c>
      <c r="E1338" s="277" t="s">
        <v>1102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6" t="s">
        <v>47</v>
      </c>
      <c r="E1339" s="277" t="s">
        <v>1102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6" t="s">
        <v>47</v>
      </c>
      <c r="E1340" s="277" t="s">
        <v>1102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6" t="s">
        <v>47</v>
      </c>
      <c r="E1341" s="277" t="s">
        <v>1102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6" t="s">
        <v>47</v>
      </c>
      <c r="E1342" s="277" t="s">
        <v>1102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6" t="s">
        <v>47</v>
      </c>
      <c r="E1343" s="277" t="s">
        <v>1102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6" t="s">
        <v>47</v>
      </c>
      <c r="E1344" s="277" t="s">
        <v>1102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6" t="s">
        <v>47</v>
      </c>
      <c r="E1345" s="277" t="s">
        <v>1102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6" t="s">
        <v>47</v>
      </c>
      <c r="E1346" s="277" t="s">
        <v>1102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6" t="s">
        <v>47</v>
      </c>
      <c r="E1347" s="277" t="s">
        <v>1102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6" t="s">
        <v>47</v>
      </c>
      <c r="E1348" s="277" t="s">
        <v>1102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6" t="s">
        <v>47</v>
      </c>
      <c r="E1349" s="277" t="s">
        <v>1102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6" t="s">
        <v>47</v>
      </c>
      <c r="E1350" s="277" t="s">
        <v>1102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6" t="s">
        <v>47</v>
      </c>
      <c r="E1351" s="277" t="s">
        <v>1102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6" t="s">
        <v>47</v>
      </c>
      <c r="E1352" s="277" t="s">
        <v>1102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6" t="s">
        <v>47</v>
      </c>
      <c r="E1353" s="277" t="s">
        <v>1102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6" t="s">
        <v>47</v>
      </c>
      <c r="E1354" s="277" t="s">
        <v>1102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6" t="s">
        <v>47</v>
      </c>
      <c r="E1355" s="277" t="s">
        <v>1102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6" t="s">
        <v>47</v>
      </c>
      <c r="E1356" s="277" t="s">
        <v>1102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6" t="s">
        <v>47</v>
      </c>
      <c r="E1357" s="277" t="s">
        <v>1102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6" t="s">
        <v>47</v>
      </c>
      <c r="E1358" s="277" t="s">
        <v>1102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6" t="s">
        <v>47</v>
      </c>
      <c r="E1359" s="277" t="s">
        <v>1102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6" t="s">
        <v>47</v>
      </c>
      <c r="E1360" s="277" t="s">
        <v>1102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6" t="s">
        <v>47</v>
      </c>
      <c r="E1361" s="277" t="s">
        <v>1102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6" t="s">
        <v>47</v>
      </c>
      <c r="E1362" s="277" t="s">
        <v>1102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6" t="s">
        <v>47</v>
      </c>
      <c r="E1363" s="277" t="s">
        <v>1102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6" t="s">
        <v>47</v>
      </c>
      <c r="E1366" s="277" t="s">
        <v>1102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6" t="s">
        <v>47</v>
      </c>
      <c r="E1367" s="277" t="s">
        <v>1102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6" t="s">
        <v>47</v>
      </c>
      <c r="E1368" s="277" t="s">
        <v>1102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6" t="s">
        <v>47</v>
      </c>
      <c r="E1369" s="277" t="s">
        <v>1102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6" t="s">
        <v>47</v>
      </c>
      <c r="E1370" s="277" t="s">
        <v>1102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6" t="s">
        <v>47</v>
      </c>
      <c r="E1371" s="277" t="s">
        <v>1102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6" t="s">
        <v>47</v>
      </c>
      <c r="E1372" s="277" t="s">
        <v>1102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6" t="s">
        <v>47</v>
      </c>
      <c r="E1433" s="277" t="s">
        <v>473</v>
      </c>
      <c r="F1433" s="474">
        <v>2740</v>
      </c>
      <c r="G1433" s="47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6" t="s">
        <v>47</v>
      </c>
      <c r="E1444" s="277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6" t="s">
        <v>47</v>
      </c>
      <c r="E1445" s="277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6" t="s">
        <v>47</v>
      </c>
      <c r="E1447" s="277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6" t="s">
        <v>47</v>
      </c>
      <c r="E1448" s="277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5" t="s">
        <v>1426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5" t="s">
        <v>1427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5" t="s">
        <v>1428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5" t="s">
        <v>1429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5" t="s">
        <v>1431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9" priority="138" operator="equal">
      <formula>0</formula>
    </cfRule>
  </conditionalFormatting>
  <conditionalFormatting sqref="B8:C135">
    <cfRule type="cellIs" dxfId="28" priority="51" operator="equal">
      <formula>0</formula>
    </cfRule>
  </conditionalFormatting>
  <conditionalFormatting sqref="B150:G1493">
    <cfRule type="cellIs" dxfId="27" priority="1" operator="equal">
      <formula>0</formula>
    </cfRule>
  </conditionalFormatting>
  <conditionalFormatting sqref="C143:G149">
    <cfRule type="cellIs" dxfId="26" priority="5" operator="equal">
      <formula>0</formula>
    </cfRule>
  </conditionalFormatting>
  <conditionalFormatting sqref="D9:G142">
    <cfRule type="cellIs" dxfId="25" priority="11" operator="equal">
      <formula>0</formula>
    </cfRule>
  </conditionalFormatting>
  <conditionalFormatting sqref="D1:IV5 A1:C7 D6:K6 H1455:IV1457 H1458:XFD1485 H1486:H1493 I1486:XFD1494 A1494:H1494 A1495:XFD65536">
    <cfRule type="cellIs" dxfId="24" priority="163" operator="equal">
      <formula>0</formula>
    </cfRule>
  </conditionalFormatting>
  <conditionalFormatting sqref="D7:IV8 C136:C142 B136:B149">
    <cfRule type="cellIs" dxfId="23" priority="62" operator="equal">
      <formula>0</formula>
    </cfRule>
  </conditionalFormatting>
  <conditionalFormatting sqref="H9:H1418">
    <cfRule type="cellIs" dxfId="22" priority="129" operator="equal">
      <formula>0</formula>
    </cfRule>
  </conditionalFormatting>
  <conditionalFormatting sqref="H1419:I1454">
    <cfRule type="cellIs" dxfId="21" priority="128" operator="equal">
      <formula>0</formula>
    </cfRule>
  </conditionalFormatting>
  <conditionalFormatting sqref="I108:I1418">
    <cfRule type="cellIs" dxfId="20" priority="125" operator="equal">
      <formula>0</formula>
    </cfRule>
  </conditionalFormatting>
  <conditionalFormatting sqref="J108:IV1454">
    <cfRule type="cellIs" dxfId="19" priority="139" operator="equal">
      <formula>0</formula>
    </cfRule>
  </conditionalFormatting>
  <conditionalFormatting sqref="M6:IV6">
    <cfRule type="cellIs" dxfId="1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O18" sqref="O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45" t="s">
        <v>1454</v>
      </c>
      <c r="C2" s="545"/>
      <c r="D2" s="545"/>
      <c r="E2" s="545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50" t="s">
        <v>1532</v>
      </c>
      <c r="C4" s="551"/>
      <c r="D4" s="551"/>
      <c r="E4" s="552"/>
      <c r="F4" s="432"/>
      <c r="G4" s="432"/>
      <c r="H4" s="433"/>
      <c r="I4" s="577" t="s">
        <v>1533</v>
      </c>
      <c r="J4" s="578"/>
      <c r="K4" s="578"/>
      <c r="L4" s="579"/>
    </row>
    <row r="5" spans="1:12" ht="34.5" customHeight="1">
      <c r="A5" s="204"/>
      <c r="B5" s="435" t="s">
        <v>1379</v>
      </c>
      <c r="C5" s="274" t="s">
        <v>9</v>
      </c>
      <c r="D5" s="546" t="str">
        <f>DATA!D14</f>
        <v>TD H NUR ROHMAD</v>
      </c>
      <c r="E5" s="547"/>
      <c r="F5" s="208"/>
      <c r="G5" s="208"/>
      <c r="I5" s="436" t="s">
        <v>1379</v>
      </c>
      <c r="J5" s="274" t="s">
        <v>9</v>
      </c>
      <c r="K5" s="580" t="str">
        <f>D5</f>
        <v>TD H NUR ROHMAD</v>
      </c>
      <c r="L5" s="581"/>
    </row>
    <row r="6" spans="1:12" ht="31.5" customHeight="1">
      <c r="A6" s="204"/>
      <c r="B6" s="435" t="s">
        <v>1529</v>
      </c>
      <c r="C6" s="274" t="s">
        <v>9</v>
      </c>
      <c r="D6" s="555">
        <f>DATA!D17*1000</f>
        <v>66000</v>
      </c>
      <c r="E6" s="556"/>
      <c r="F6" s="208"/>
      <c r="G6" s="208"/>
      <c r="I6" s="436" t="s">
        <v>1530</v>
      </c>
      <c r="J6" s="274" t="s">
        <v>9</v>
      </c>
      <c r="K6" s="582">
        <f>DATA!D20*1000</f>
        <v>1300</v>
      </c>
      <c r="L6" s="583"/>
    </row>
    <row r="7" spans="1:12" ht="30.75" customHeight="1">
      <c r="A7" s="204"/>
      <c r="B7" s="435" t="s">
        <v>1441</v>
      </c>
      <c r="C7" s="274" t="s">
        <v>9</v>
      </c>
      <c r="D7" s="553">
        <f>DATA!D18</f>
        <v>3</v>
      </c>
      <c r="E7" s="554"/>
      <c r="F7" s="434" t="s">
        <v>1453</v>
      </c>
      <c r="I7" s="436" t="s">
        <v>1441</v>
      </c>
      <c r="J7" s="274" t="s">
        <v>9</v>
      </c>
      <c r="K7" s="584">
        <f>DATA!D21</f>
        <v>1</v>
      </c>
      <c r="L7" s="585"/>
    </row>
    <row r="8" spans="1:12" ht="51" customHeight="1">
      <c r="A8" s="204"/>
      <c r="B8" s="435" t="s">
        <v>1442</v>
      </c>
      <c r="C8" s="274" t="s">
        <v>9</v>
      </c>
      <c r="D8" s="553">
        <f>DATA!D19</f>
        <v>380</v>
      </c>
      <c r="E8" s="554"/>
      <c r="F8" s="434" t="s">
        <v>1453</v>
      </c>
      <c r="G8" s="429">
        <v>220</v>
      </c>
      <c r="I8" s="436" t="s">
        <v>1442</v>
      </c>
      <c r="J8" s="274" t="s">
        <v>9</v>
      </c>
      <c r="K8" s="584">
        <f>DATA!D22</f>
        <v>220</v>
      </c>
      <c r="L8" s="585"/>
    </row>
    <row r="9" spans="1:12" ht="30" customHeight="1" thickBot="1">
      <c r="A9" s="204"/>
      <c r="B9" s="441" t="s">
        <v>1541</v>
      </c>
      <c r="C9" s="431" t="s">
        <v>9</v>
      </c>
      <c r="D9" s="548">
        <f>IF(D7=1,D6/(380/3^0.5),(D6/(380*3^0.5)))</f>
        <v>100.27662570135607</v>
      </c>
      <c r="E9" s="549"/>
      <c r="F9" s="207"/>
      <c r="G9" s="430">
        <v>380</v>
      </c>
      <c r="I9" s="442" t="s">
        <v>1541</v>
      </c>
      <c r="J9" s="431" t="s">
        <v>9</v>
      </c>
      <c r="K9" s="586">
        <f>IF(K7=1,K6/(380/3^0.5),(K6/(380*3^0.5)))</f>
        <v>5.9254369732619487</v>
      </c>
      <c r="L9" s="587"/>
    </row>
    <row r="10" spans="1:12" ht="24.75" customHeight="1">
      <c r="B10" s="443"/>
      <c r="C10" s="440"/>
      <c r="D10" s="444"/>
      <c r="E10" s="444"/>
      <c r="F10" s="207"/>
      <c r="G10" s="430"/>
      <c r="I10" s="443"/>
      <c r="J10" s="440"/>
      <c r="K10" s="444"/>
      <c r="L10" s="444"/>
    </row>
    <row r="11" spans="1:12" ht="16.5" thickBot="1">
      <c r="B11" s="437" t="s">
        <v>1542</v>
      </c>
      <c r="I11" s="437" t="s">
        <v>1536</v>
      </c>
    </row>
    <row r="12" spans="1:12" ht="34.5" customHeight="1">
      <c r="A12" s="204"/>
      <c r="B12" s="465" t="s">
        <v>1534</v>
      </c>
      <c r="C12" s="459" t="s">
        <v>9</v>
      </c>
      <c r="D12" s="557"/>
      <c r="E12" s="558"/>
      <c r="F12" s="208"/>
      <c r="G12" s="208"/>
      <c r="I12" s="458" t="s">
        <v>1534</v>
      </c>
      <c r="J12" s="459" t="s">
        <v>9</v>
      </c>
      <c r="K12" s="557"/>
      <c r="L12" s="558"/>
    </row>
    <row r="13" spans="1:12" ht="31.5" customHeight="1">
      <c r="A13" s="204"/>
      <c r="B13" s="466" t="s">
        <v>1380</v>
      </c>
      <c r="C13" s="446" t="s">
        <v>9</v>
      </c>
      <c r="D13" s="561"/>
      <c r="E13" s="562"/>
      <c r="F13" s="208"/>
      <c r="G13" s="208"/>
      <c r="I13" s="460" t="s">
        <v>1380</v>
      </c>
      <c r="J13" s="446" t="s">
        <v>9</v>
      </c>
      <c r="K13" s="561"/>
      <c r="L13" s="562"/>
    </row>
    <row r="14" spans="1:12" ht="30.75" customHeight="1">
      <c r="A14" s="204"/>
      <c r="B14" s="466" t="s">
        <v>1535</v>
      </c>
      <c r="C14" s="446" t="s">
        <v>9</v>
      </c>
      <c r="D14" s="569"/>
      <c r="E14" s="570"/>
      <c r="F14" s="434" t="s">
        <v>1453</v>
      </c>
      <c r="G14" s="438">
        <v>50</v>
      </c>
      <c r="I14" s="460" t="s">
        <v>1535</v>
      </c>
      <c r="J14" s="446" t="s">
        <v>9</v>
      </c>
      <c r="K14" s="571"/>
      <c r="L14" s="572"/>
    </row>
    <row r="15" spans="1:12" ht="57" customHeight="1">
      <c r="A15" s="204"/>
      <c r="B15" s="466" t="s">
        <v>1441</v>
      </c>
      <c r="C15" s="446" t="s">
        <v>9</v>
      </c>
      <c r="D15" s="452"/>
      <c r="E15" s="461"/>
      <c r="F15" s="434" t="s">
        <v>1453</v>
      </c>
      <c r="G15" s="438">
        <v>100</v>
      </c>
      <c r="I15" s="460" t="s">
        <v>1441</v>
      </c>
      <c r="J15" s="446" t="s">
        <v>9</v>
      </c>
      <c r="K15" s="452">
        <v>3</v>
      </c>
      <c r="L15" s="461"/>
    </row>
    <row r="16" spans="1:12" ht="44.25" customHeight="1">
      <c r="A16" s="204"/>
      <c r="B16" s="466" t="s">
        <v>1545</v>
      </c>
      <c r="C16" s="446"/>
      <c r="D16" s="573">
        <v>0</v>
      </c>
      <c r="E16" s="574"/>
      <c r="F16" s="434"/>
      <c r="G16" s="438">
        <v>160</v>
      </c>
      <c r="I16" s="460" t="s">
        <v>1537</v>
      </c>
      <c r="J16" s="446" t="s">
        <v>9</v>
      </c>
      <c r="K16" s="575">
        <f>K9</f>
        <v>5.9254369732619487</v>
      </c>
      <c r="L16" s="576"/>
    </row>
    <row r="17" spans="1:12" ht="34.5" customHeight="1">
      <c r="A17" s="204"/>
      <c r="B17" s="466" t="s">
        <v>1538</v>
      </c>
      <c r="C17" s="446" t="s">
        <v>9</v>
      </c>
      <c r="D17" s="563">
        <f>IF(D15=1,D14/(20/3^0.5),(D14/(20*3^0.5)))</f>
        <v>0</v>
      </c>
      <c r="E17" s="564"/>
      <c r="F17" s="434" t="s">
        <v>1453</v>
      </c>
      <c r="G17" s="439">
        <v>200</v>
      </c>
      <c r="I17" s="460" t="s">
        <v>1538</v>
      </c>
      <c r="J17" s="446" t="s">
        <v>9</v>
      </c>
      <c r="K17" s="567">
        <f>IF(K15=1,K14/(20/3^0.5),(K14/(20*3^0.5)))</f>
        <v>0</v>
      </c>
      <c r="L17" s="568"/>
    </row>
    <row r="18" spans="1:12" ht="34.5" customHeight="1">
      <c r="A18" s="204"/>
      <c r="B18" s="466" t="s">
        <v>1539</v>
      </c>
      <c r="C18" s="446" t="s">
        <v>9</v>
      </c>
      <c r="D18" s="563">
        <f>IF(D15=1,D14/(380/3^0.5),(D14/(380*3^0.5)))*1000</f>
        <v>0</v>
      </c>
      <c r="E18" s="564"/>
      <c r="F18" s="434" t="s">
        <v>1453</v>
      </c>
      <c r="G18" s="439">
        <v>250</v>
      </c>
      <c r="I18" s="460" t="s">
        <v>1539</v>
      </c>
      <c r="J18" s="446" t="s">
        <v>9</v>
      </c>
      <c r="K18" s="567">
        <f>IF(K15=1,K14/(380/3^0.5),(K14/(380*3^0.5)))*1000</f>
        <v>0</v>
      </c>
      <c r="L18" s="568"/>
    </row>
    <row r="19" spans="1:12" ht="30" customHeight="1">
      <c r="A19" s="204"/>
      <c r="B19" s="467" t="s">
        <v>1531</v>
      </c>
      <c r="C19" s="445" t="s">
        <v>9</v>
      </c>
      <c r="D19" s="563">
        <f>IF(D15=1,D14/(380/3^0.5),(D14/(380*3^0.5)))</f>
        <v>0</v>
      </c>
      <c r="E19" s="564"/>
      <c r="F19" s="207"/>
      <c r="G19" s="430"/>
      <c r="I19" s="462" t="s">
        <v>1531</v>
      </c>
      <c r="J19" s="445" t="s">
        <v>9</v>
      </c>
      <c r="K19" s="567">
        <f>IF(K15=1,K14/(380/3^0.5),(K14/(380*3^0.5)))</f>
        <v>0</v>
      </c>
      <c r="L19" s="568"/>
    </row>
    <row r="20" spans="1:12" ht="30" customHeight="1" thickBot="1">
      <c r="A20" s="204"/>
      <c r="B20" s="468" t="s">
        <v>1540</v>
      </c>
      <c r="C20" s="464" t="s">
        <v>9</v>
      </c>
      <c r="D20" s="559" t="e">
        <f>D16/D18</f>
        <v>#DIV/0!</v>
      </c>
      <c r="E20" s="560"/>
      <c r="F20" s="207"/>
      <c r="G20" s="430"/>
      <c r="I20" s="463" t="s">
        <v>1531</v>
      </c>
      <c r="J20" s="464" t="s">
        <v>9</v>
      </c>
      <c r="K20" s="565" t="e">
        <f>K16/K18</f>
        <v>#DIV/0!</v>
      </c>
      <c r="L20" s="566"/>
    </row>
    <row r="21" spans="1:12" ht="9.75" customHeight="1">
      <c r="A21" s="204"/>
      <c r="B21" s="453" t="s">
        <v>1540</v>
      </c>
      <c r="C21" s="454" t="s">
        <v>9</v>
      </c>
      <c r="D21" s="544">
        <v>1</v>
      </c>
      <c r="E21" s="544"/>
      <c r="F21" s="455"/>
      <c r="G21" s="456"/>
      <c r="H21" s="457"/>
      <c r="I21" s="453" t="s">
        <v>1531</v>
      </c>
      <c r="J21" s="454" t="s">
        <v>9</v>
      </c>
      <c r="K21" s="544">
        <v>1</v>
      </c>
      <c r="L21" s="544"/>
    </row>
    <row r="22" spans="1:12" ht="6.75" customHeight="1">
      <c r="B22" s="443"/>
      <c r="C22" s="440"/>
      <c r="D22" s="451"/>
      <c r="E22" s="451"/>
      <c r="F22" s="207"/>
      <c r="G22" s="430"/>
      <c r="J22" s="440"/>
      <c r="K22" s="451"/>
      <c r="L22" s="451"/>
    </row>
    <row r="23" spans="1:12" ht="15.75" thickBot="1"/>
    <row r="24" spans="1:12" ht="200.25" customHeight="1" thickBot="1">
      <c r="B24" s="541"/>
      <c r="C24" s="542"/>
      <c r="D24" s="542"/>
      <c r="E24" s="543"/>
      <c r="I24" s="541"/>
      <c r="J24" s="542"/>
      <c r="K24" s="542"/>
      <c r="L24" s="543"/>
    </row>
    <row r="26" spans="1:12">
      <c r="D26" s="448"/>
    </row>
    <row r="27" spans="1:12">
      <c r="D27" s="44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Normal="100" workbookViewId="0">
      <selection activeCell="D23" sqref="D23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88"/>
      <c r="C1" s="588"/>
      <c r="D1" s="588"/>
    </row>
    <row r="2" spans="2:11" ht="15.75" customHeight="1">
      <c r="B2" s="285" t="s">
        <v>1443</v>
      </c>
      <c r="C2" s="286"/>
      <c r="D2" s="287"/>
    </row>
    <row r="3" spans="2:11" ht="20.100000000000001" customHeight="1">
      <c r="B3" s="288" t="s">
        <v>1349</v>
      </c>
      <c r="C3" s="289" t="s">
        <v>9</v>
      </c>
      <c r="D3" s="290">
        <v>2022</v>
      </c>
    </row>
    <row r="4" spans="2:11" ht="20.100000000000001" customHeight="1">
      <c r="B4" s="288" t="s">
        <v>1030</v>
      </c>
      <c r="C4" s="289" t="s">
        <v>9</v>
      </c>
      <c r="D4" s="291">
        <v>0.12</v>
      </c>
    </row>
    <row r="5" spans="2:11" ht="20.100000000000001" customHeight="1">
      <c r="B5" s="288" t="s">
        <v>1350</v>
      </c>
      <c r="C5" s="289" t="s">
        <v>9</v>
      </c>
      <c r="D5" s="477">
        <v>1084.1250458865841</v>
      </c>
      <c r="F5" s="472" t="s">
        <v>1608</v>
      </c>
      <c r="K5" s="471"/>
    </row>
    <row r="6" spans="2:11" ht="20.100000000000001" customHeight="1">
      <c r="B6" s="288" t="s">
        <v>1351</v>
      </c>
      <c r="C6" s="289" t="s">
        <v>9</v>
      </c>
      <c r="D6" s="293">
        <v>25</v>
      </c>
      <c r="F6" s="472"/>
    </row>
    <row r="7" spans="2:11" ht="20.100000000000001" customHeight="1">
      <c r="B7" s="288" t="s">
        <v>1352</v>
      </c>
      <c r="C7" s="289" t="s">
        <v>9</v>
      </c>
      <c r="D7" s="294">
        <v>2.2499999999999999E-2</v>
      </c>
    </row>
    <row r="8" spans="2:11" ht="20.100000000000001" customHeight="1">
      <c r="B8" s="288" t="s">
        <v>1444</v>
      </c>
      <c r="C8" s="289" t="s">
        <v>9</v>
      </c>
      <c r="D8" s="295">
        <f>D20-D17</f>
        <v>-64.7</v>
      </c>
    </row>
    <row r="9" spans="2:11" ht="20.100000000000001" customHeight="1">
      <c r="B9" s="288" t="s">
        <v>1445</v>
      </c>
      <c r="C9" s="289" t="s">
        <v>9</v>
      </c>
      <c r="D9" s="295">
        <f>(D8*D25)*1000</f>
        <v>-62694300</v>
      </c>
    </row>
    <row r="10" spans="2:11" ht="20.100000000000001" customHeight="1">
      <c r="B10" s="288" t="s">
        <v>1446</v>
      </c>
      <c r="C10" s="289" t="s">
        <v>9</v>
      </c>
      <c r="D10" s="295">
        <f ca="1">RAB!K48</f>
        <v>1923179.784</v>
      </c>
    </row>
    <row r="11" spans="2:11" ht="20.100000000000001" customHeight="1">
      <c r="B11" s="288" t="s">
        <v>1356</v>
      </c>
      <c r="C11" s="289" t="s">
        <v>9</v>
      </c>
      <c r="D11" s="292">
        <f ca="1">2%*D10</f>
        <v>38463.595679999999</v>
      </c>
    </row>
    <row r="12" spans="2:11" ht="9" customHeight="1">
      <c r="B12" s="589"/>
      <c r="C12" s="589"/>
      <c r="D12" s="589"/>
    </row>
    <row r="13" spans="2:11" ht="15.75" customHeight="1">
      <c r="B13" s="296"/>
      <c r="C13" s="296"/>
      <c r="D13" s="296"/>
    </row>
    <row r="14" spans="2:11" ht="33.75" customHeight="1">
      <c r="B14" s="405" t="s">
        <v>1379</v>
      </c>
      <c r="C14" s="406" t="s">
        <v>9</v>
      </c>
      <c r="D14" s="411" t="s">
        <v>1614</v>
      </c>
      <c r="E14" s="297" t="s">
        <v>1453</v>
      </c>
    </row>
    <row r="15" spans="2:11" ht="20.100000000000001" customHeight="1">
      <c r="B15" s="407" t="s">
        <v>1447</v>
      </c>
      <c r="C15" s="408" t="s">
        <v>9</v>
      </c>
      <c r="D15" s="412" t="s">
        <v>1613</v>
      </c>
      <c r="E15" s="297" t="s">
        <v>1453</v>
      </c>
    </row>
    <row r="16" spans="2:11" ht="20.100000000000001" customHeight="1">
      <c r="B16" s="407" t="s">
        <v>1448</v>
      </c>
      <c r="C16" s="408" t="s">
        <v>9</v>
      </c>
      <c r="D16" s="412" t="s">
        <v>1451</v>
      </c>
      <c r="E16" s="297" t="s">
        <v>1453</v>
      </c>
    </row>
    <row r="17" spans="2:5" ht="20.100000000000001" customHeight="1">
      <c r="B17" s="407" t="s">
        <v>1449</v>
      </c>
      <c r="C17" s="408" t="s">
        <v>9</v>
      </c>
      <c r="D17" s="413">
        <v>66</v>
      </c>
      <c r="E17" s="297" t="s">
        <v>1453</v>
      </c>
    </row>
    <row r="18" spans="2:5" ht="20.100000000000001" hidden="1" customHeight="1">
      <c r="B18" s="407" t="s">
        <v>1543</v>
      </c>
      <c r="C18" s="408"/>
      <c r="D18" s="413">
        <f>IF((D17&lt;=11),1,3)</f>
        <v>3</v>
      </c>
      <c r="E18" s="297"/>
    </row>
    <row r="19" spans="2:5" ht="20.100000000000001" hidden="1" customHeight="1">
      <c r="B19" s="407" t="s">
        <v>1544</v>
      </c>
      <c r="C19" s="408"/>
      <c r="D19" s="413">
        <f>IF((D17&lt;=11),220,380)</f>
        <v>380</v>
      </c>
      <c r="E19" s="297"/>
    </row>
    <row r="20" spans="2:5" ht="20.100000000000001" customHeight="1">
      <c r="B20" s="407" t="s">
        <v>1450</v>
      </c>
      <c r="C20" s="408" t="s">
        <v>9</v>
      </c>
      <c r="D20" s="413">
        <v>1.3</v>
      </c>
      <c r="E20" s="297" t="s">
        <v>1453</v>
      </c>
    </row>
    <row r="21" spans="2:5" ht="20.100000000000001" hidden="1" customHeight="1">
      <c r="B21" s="407" t="s">
        <v>1543</v>
      </c>
      <c r="C21" s="408"/>
      <c r="D21" s="413">
        <f>IF((D20&lt;=11),1,3)</f>
        <v>1</v>
      </c>
      <c r="E21" s="297"/>
    </row>
    <row r="22" spans="2:5" ht="20.100000000000001" hidden="1" customHeight="1">
      <c r="B22" s="407" t="s">
        <v>1544</v>
      </c>
      <c r="C22" s="408"/>
      <c r="D22" s="413">
        <f>IF((D20&lt;=11),220,380)</f>
        <v>220</v>
      </c>
      <c r="E22" s="297"/>
    </row>
    <row r="23" spans="2:5" ht="20.100000000000001" customHeight="1">
      <c r="B23" s="407" t="s">
        <v>1353</v>
      </c>
      <c r="C23" s="408" t="s">
        <v>9</v>
      </c>
      <c r="D23" s="412">
        <v>1444.7</v>
      </c>
      <c r="E23" s="297" t="s">
        <v>1453</v>
      </c>
    </row>
    <row r="24" spans="2:5" ht="20.100000000000001" customHeight="1">
      <c r="B24" s="407" t="s">
        <v>1354</v>
      </c>
      <c r="C24" s="408" t="s">
        <v>9</v>
      </c>
      <c r="D24" s="412">
        <v>1444.7</v>
      </c>
      <c r="E24" s="297" t="s">
        <v>1453</v>
      </c>
    </row>
    <row r="25" spans="2:5" ht="20.100000000000001" customHeight="1">
      <c r="B25" s="407" t="s">
        <v>1452</v>
      </c>
      <c r="C25" s="408" t="s">
        <v>9</v>
      </c>
      <c r="D25" s="413">
        <v>969</v>
      </c>
      <c r="E25" s="297" t="s">
        <v>1453</v>
      </c>
    </row>
    <row r="26" spans="2:5" ht="20.100000000000001" customHeight="1">
      <c r="B26" s="409" t="s">
        <v>1355</v>
      </c>
      <c r="C26" s="410" t="s">
        <v>9</v>
      </c>
      <c r="D26" s="414">
        <v>40</v>
      </c>
      <c r="E26" s="297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590" t="s">
        <v>1357</v>
      </c>
      <c r="C3" s="590"/>
      <c r="D3" s="590"/>
      <c r="E3" s="590"/>
      <c r="F3" s="302" t="str">
        <f>DATA!D14</f>
        <v>TD H NUR ROHMAD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1" t="s">
        <v>1349</v>
      </c>
      <c r="C5" s="591" t="s">
        <v>1358</v>
      </c>
      <c r="D5" s="592" t="s">
        <v>1359</v>
      </c>
      <c r="E5" s="592" t="s">
        <v>1360</v>
      </c>
      <c r="F5" s="591" t="s">
        <v>1361</v>
      </c>
      <c r="G5" s="591"/>
      <c r="H5" s="591"/>
      <c r="I5" s="591"/>
      <c r="J5" s="591"/>
      <c r="K5" s="591" t="s">
        <v>1362</v>
      </c>
      <c r="L5" s="591"/>
      <c r="M5" s="304"/>
      <c r="N5" s="595" t="s">
        <v>1363</v>
      </c>
      <c r="O5" s="592" t="s">
        <v>1364</v>
      </c>
      <c r="P5" s="592" t="s">
        <v>1365</v>
      </c>
      <c r="Q5" s="592" t="s">
        <v>1366</v>
      </c>
      <c r="R5" s="305"/>
      <c r="S5" s="306"/>
      <c r="T5" s="593" t="s">
        <v>1367</v>
      </c>
      <c r="U5" s="307"/>
    </row>
    <row r="6" spans="1:21" ht="20.100000000000001" customHeight="1">
      <c r="B6" s="591"/>
      <c r="C6" s="591"/>
      <c r="D6" s="591"/>
      <c r="E6" s="591"/>
      <c r="F6" s="308" t="s">
        <v>1368</v>
      </c>
      <c r="G6" s="308" t="s">
        <v>1369</v>
      </c>
      <c r="H6" s="308" t="s">
        <v>1370</v>
      </c>
      <c r="I6" s="308" t="s">
        <v>1371</v>
      </c>
      <c r="J6" s="308" t="s">
        <v>1032</v>
      </c>
      <c r="K6" s="308" t="s">
        <v>1372</v>
      </c>
      <c r="L6" s="308" t="s">
        <v>1373</v>
      </c>
      <c r="M6" s="308" t="s">
        <v>1032</v>
      </c>
      <c r="N6" s="596"/>
      <c r="O6" s="591"/>
      <c r="P6" s="591"/>
      <c r="Q6" s="591"/>
      <c r="R6" s="305"/>
      <c r="S6" s="306"/>
      <c r="T6" s="591"/>
      <c r="U6" s="309"/>
    </row>
    <row r="7" spans="1:21" ht="20.100000000000001" customHeight="1">
      <c r="A7" s="310">
        <v>0</v>
      </c>
      <c r="B7" s="311">
        <v>2023</v>
      </c>
      <c r="C7" s="469">
        <f>DATA!D8*DATA!D26*3</f>
        <v>-7764</v>
      </c>
      <c r="D7" s="313">
        <f>C7*4/24</f>
        <v>-1294</v>
      </c>
      <c r="E7" s="313">
        <f>C7-D7</f>
        <v>-6470</v>
      </c>
      <c r="F7" s="314">
        <f ca="1">DATA!D10/1000000</f>
        <v>1.923179784</v>
      </c>
      <c r="G7" s="315">
        <f ca="1">DATA!$D$11/1000000</f>
        <v>3.8463595679999997E-2</v>
      </c>
      <c r="H7" s="315">
        <f>C7*DATA!$D$5/1000000</f>
        <v>-8.4171468562634377</v>
      </c>
      <c r="I7" s="315">
        <f>(C7*DATA!$D$5*DATA!$D$7)/1000000</f>
        <v>-0.18938580426592735</v>
      </c>
      <c r="J7" s="313">
        <f ca="1">SUM(F7:I7)</f>
        <v>-6.6448892808493651</v>
      </c>
      <c r="K7" s="316">
        <f>DATA!D9/1000000</f>
        <v>-62.694299999999998</v>
      </c>
      <c r="L7" s="313">
        <f>((D7*DATA!$D$23)/1000000)+((E7*DATA!$D$24)/1000000)</f>
        <v>-11.2166508</v>
      </c>
      <c r="M7" s="313">
        <f>K7+L7</f>
        <v>-73.910950799999995</v>
      </c>
      <c r="N7" s="313">
        <f ca="1">M7-J7</f>
        <v>-67.266061519150625</v>
      </c>
      <c r="O7" s="311">
        <v>1</v>
      </c>
      <c r="P7" s="313">
        <f ca="1">O7*N7</f>
        <v>-67.266061519150625</v>
      </c>
      <c r="Q7" s="313">
        <f ca="1">P7</f>
        <v>-67.266061519150625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-31056</v>
      </c>
      <c r="D8" s="313">
        <f>C8*4/24</f>
        <v>-5176</v>
      </c>
      <c r="E8" s="313">
        <f t="shared" ref="E8:E32" si="0">C8-D8</f>
        <v>-25880</v>
      </c>
      <c r="F8" s="311"/>
      <c r="G8" s="315">
        <f ca="1">DATA!$D$11/1000000</f>
        <v>3.8463595679999997E-2</v>
      </c>
      <c r="H8" s="315">
        <f>C8*DATA!$D$5/1000000</f>
        <v>-33.668587425053751</v>
      </c>
      <c r="I8" s="315">
        <f>(C8*DATA!$D$5*DATA!$D$7)/1000000</f>
        <v>-0.75754321706370942</v>
      </c>
      <c r="J8" s="313">
        <f t="shared" ref="J8:J32" ca="1" si="1">SUM(F8:I8)</f>
        <v>-34.387667046437464</v>
      </c>
      <c r="K8" s="318"/>
      <c r="L8" s="313">
        <f>((D8*DATA!$D$23)/1000000)+((E8*DATA!$D$24)/1000000)</f>
        <v>-44.8666032</v>
      </c>
      <c r="M8" s="313">
        <f t="shared" ref="M8:M32" si="2">K8+L8</f>
        <v>-44.8666032</v>
      </c>
      <c r="N8" s="313">
        <f ca="1">M8-J8</f>
        <v>-10.478936153562536</v>
      </c>
      <c r="O8" s="312">
        <f>1/(1+'[93]Asumsi I'!$C$3)^(KKF!A8)</f>
        <v>0.89285714285714279</v>
      </c>
      <c r="P8" s="313">
        <f ca="1">O8*N8</f>
        <v>-9.3561929942522628</v>
      </c>
      <c r="Q8" s="313">
        <f ca="1">Q7+P8</f>
        <v>-76.622254513402893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-31056</v>
      </c>
      <c r="D9" s="313">
        <f t="shared" ref="D9:D32" si="5">C9*4/24</f>
        <v>-5176</v>
      </c>
      <c r="E9" s="313">
        <f t="shared" si="0"/>
        <v>-25880</v>
      </c>
      <c r="F9" s="311"/>
      <c r="G9" s="315">
        <f ca="1">DATA!$D$11/1000000</f>
        <v>3.8463595679999997E-2</v>
      </c>
      <c r="H9" s="315">
        <f>C9*DATA!$D$5/1000000</f>
        <v>-33.668587425053751</v>
      </c>
      <c r="I9" s="315">
        <f>(C9*DATA!$D$5*DATA!$D$7)/1000000</f>
        <v>-0.75754321706370942</v>
      </c>
      <c r="J9" s="313">
        <f t="shared" ca="1" si="1"/>
        <v>-34.387667046437464</v>
      </c>
      <c r="K9" s="313"/>
      <c r="L9" s="313">
        <f>((D9*DATA!$D$23)/1000000)+((E9*DATA!$D$24)/1000000)</f>
        <v>-44.8666032</v>
      </c>
      <c r="M9" s="313">
        <f t="shared" si="2"/>
        <v>-44.8666032</v>
      </c>
      <c r="N9" s="313">
        <f t="shared" ref="N9:N32" ca="1" si="6">M9-J9</f>
        <v>-10.478936153562536</v>
      </c>
      <c r="O9" s="319">
        <f>1/(1+'[93]Asumsi I'!$C$3)^(KKF!A9)</f>
        <v>0.79719387755102034</v>
      </c>
      <c r="P9" s="313">
        <f t="shared" ref="P9:P32" ca="1" si="7">O9*N9</f>
        <v>-8.3537437448680922</v>
      </c>
      <c r="Q9" s="313">
        <f ca="1">Q8+P9</f>
        <v>-84.975998258270991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-31056</v>
      </c>
      <c r="D10" s="313">
        <f t="shared" si="5"/>
        <v>-5176</v>
      </c>
      <c r="E10" s="313">
        <f t="shared" si="0"/>
        <v>-25880</v>
      </c>
      <c r="F10" s="311"/>
      <c r="G10" s="315">
        <f ca="1">DATA!$D$11/1000000</f>
        <v>3.8463595679999997E-2</v>
      </c>
      <c r="H10" s="315">
        <f>C10*DATA!$D$5/1000000</f>
        <v>-33.668587425053751</v>
      </c>
      <c r="I10" s="315">
        <f>(C10*DATA!$D$5*DATA!$D$7)/1000000</f>
        <v>-0.75754321706370942</v>
      </c>
      <c r="J10" s="313">
        <f t="shared" ca="1" si="1"/>
        <v>-34.387667046437464</v>
      </c>
      <c r="K10" s="311"/>
      <c r="L10" s="313">
        <f>((D10*DATA!$D$23)/1000000)+((E10*DATA!$D$24)/1000000)</f>
        <v>-44.8666032</v>
      </c>
      <c r="M10" s="313">
        <f t="shared" si="2"/>
        <v>-44.8666032</v>
      </c>
      <c r="N10" s="313">
        <f t="shared" ca="1" si="6"/>
        <v>-10.478936153562536</v>
      </c>
      <c r="O10" s="312">
        <f>1/(1+'[93]Asumsi I'!$C$3)^(KKF!A10)</f>
        <v>0.71178024781341087</v>
      </c>
      <c r="P10" s="313">
        <f t="shared" ca="1" si="7"/>
        <v>-7.4586997722036523</v>
      </c>
      <c r="Q10" s="313">
        <f t="shared" ref="Q10:Q30" ca="1" si="9">Q9+P10</f>
        <v>-92.434698030474649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-31056</v>
      </c>
      <c r="D11" s="313">
        <f t="shared" si="5"/>
        <v>-5176</v>
      </c>
      <c r="E11" s="313">
        <f t="shared" si="0"/>
        <v>-25880</v>
      </c>
      <c r="F11" s="311"/>
      <c r="G11" s="315">
        <f ca="1">DATA!$D$11/1000000</f>
        <v>3.8463595679999997E-2</v>
      </c>
      <c r="H11" s="315">
        <f>C11*DATA!$D$5/1000000</f>
        <v>-33.668587425053751</v>
      </c>
      <c r="I11" s="315">
        <f>(C11*DATA!$D$5*DATA!$D$7)/1000000</f>
        <v>-0.75754321706370942</v>
      </c>
      <c r="J11" s="313">
        <f t="shared" ca="1" si="1"/>
        <v>-34.387667046437464</v>
      </c>
      <c r="K11" s="311"/>
      <c r="L11" s="313">
        <f>((D11*DATA!$D$23)/1000000)+((E11*DATA!$D$24)/1000000)</f>
        <v>-44.8666032</v>
      </c>
      <c r="M11" s="313">
        <f t="shared" si="2"/>
        <v>-44.8666032</v>
      </c>
      <c r="N11" s="313">
        <f t="shared" ca="1" si="6"/>
        <v>-10.478936153562536</v>
      </c>
      <c r="O11" s="312">
        <f>1/(1+'[93]Asumsi I'!$C$3)^(KKF!A11)</f>
        <v>0.63551807840483121</v>
      </c>
      <c r="P11" s="313">
        <f t="shared" ca="1" si="7"/>
        <v>-6.659553368038976</v>
      </c>
      <c r="Q11" s="313">
        <f t="shared" ca="1" si="9"/>
        <v>-99.09425139851362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-31056</v>
      </c>
      <c r="D12" s="313">
        <f t="shared" si="5"/>
        <v>-5176</v>
      </c>
      <c r="E12" s="313">
        <f t="shared" si="0"/>
        <v>-25880</v>
      </c>
      <c r="F12" s="311"/>
      <c r="G12" s="315">
        <f ca="1">DATA!$D$11/1000000</f>
        <v>3.8463595679999997E-2</v>
      </c>
      <c r="H12" s="315">
        <f>C12*DATA!$D$5/1000000</f>
        <v>-33.668587425053751</v>
      </c>
      <c r="I12" s="315">
        <f>(C12*DATA!$D$5*DATA!$D$7)/1000000</f>
        <v>-0.75754321706370942</v>
      </c>
      <c r="J12" s="313">
        <f t="shared" ca="1" si="1"/>
        <v>-34.387667046437464</v>
      </c>
      <c r="K12" s="311"/>
      <c r="L12" s="313">
        <f>((D12*DATA!$D$23)/1000000)+((E12*DATA!$D$24)/1000000)</f>
        <v>-44.8666032</v>
      </c>
      <c r="M12" s="313">
        <f t="shared" si="2"/>
        <v>-44.8666032</v>
      </c>
      <c r="N12" s="313">
        <f t="shared" ca="1" si="6"/>
        <v>-10.478936153562536</v>
      </c>
      <c r="O12" s="312">
        <f>1/(1+'[93]Asumsi I'!$C$3)^(KKF!A12)</f>
        <v>0.56742685571859919</v>
      </c>
      <c r="P12" s="313">
        <f t="shared" ca="1" si="7"/>
        <v>-5.9460297928919417</v>
      </c>
      <c r="Q12" s="313">
        <f t="shared" ca="1" si="9"/>
        <v>-105.04028119140557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-31056</v>
      </c>
      <c r="D13" s="313">
        <f t="shared" si="5"/>
        <v>-5176</v>
      </c>
      <c r="E13" s="313">
        <f t="shared" si="0"/>
        <v>-25880</v>
      </c>
      <c r="F13" s="311"/>
      <c r="G13" s="315">
        <f ca="1">DATA!$D$11/1000000</f>
        <v>3.8463595679999997E-2</v>
      </c>
      <c r="H13" s="315">
        <f>C13*DATA!$D$5/1000000</f>
        <v>-33.668587425053751</v>
      </c>
      <c r="I13" s="315">
        <f>(C13*DATA!$D$5*DATA!$D$7)/1000000</f>
        <v>-0.75754321706370942</v>
      </c>
      <c r="J13" s="313">
        <f t="shared" ca="1" si="1"/>
        <v>-34.387667046437464</v>
      </c>
      <c r="K13" s="311"/>
      <c r="L13" s="313">
        <f>((D13*DATA!$D$23)/1000000)+((E13*DATA!$D$24)/1000000)</f>
        <v>-44.8666032</v>
      </c>
      <c r="M13" s="313">
        <f t="shared" si="2"/>
        <v>-44.8666032</v>
      </c>
      <c r="N13" s="313">
        <f t="shared" ca="1" si="6"/>
        <v>-10.478936153562536</v>
      </c>
      <c r="O13" s="312">
        <f>1/(1+'[93]Asumsi I'!$C$3)^(KKF!A13)</f>
        <v>0.50663112117732068</v>
      </c>
      <c r="P13" s="313">
        <f t="shared" ca="1" si="7"/>
        <v>-5.3089551722249482</v>
      </c>
      <c r="Q13" s="313">
        <f t="shared" ca="1" si="9"/>
        <v>-110.34923636363052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-31056</v>
      </c>
      <c r="D14" s="313">
        <f t="shared" si="5"/>
        <v>-5176</v>
      </c>
      <c r="E14" s="313">
        <f t="shared" si="0"/>
        <v>-25880</v>
      </c>
      <c r="F14" s="311"/>
      <c r="G14" s="315">
        <f ca="1">DATA!$D$11/1000000</f>
        <v>3.8463595679999997E-2</v>
      </c>
      <c r="H14" s="315">
        <f>C14*DATA!$D$5/1000000</f>
        <v>-33.668587425053751</v>
      </c>
      <c r="I14" s="315">
        <f>(C14*DATA!$D$5*DATA!$D$7)/1000000</f>
        <v>-0.75754321706370942</v>
      </c>
      <c r="J14" s="313">
        <f t="shared" ca="1" si="1"/>
        <v>-34.387667046437464</v>
      </c>
      <c r="K14" s="311"/>
      <c r="L14" s="313">
        <f>((D14*DATA!$D$23)/1000000)+((E14*DATA!$D$24)/1000000)</f>
        <v>-44.8666032</v>
      </c>
      <c r="M14" s="313">
        <f t="shared" si="2"/>
        <v>-44.8666032</v>
      </c>
      <c r="N14" s="313">
        <f t="shared" ca="1" si="6"/>
        <v>-10.478936153562536</v>
      </c>
      <c r="O14" s="312">
        <f>1/(1+'[93]Asumsi I'!$C$3)^(KKF!A14)</f>
        <v>0.45234921533689343</v>
      </c>
      <c r="P14" s="313">
        <f t="shared" ca="1" si="7"/>
        <v>-4.7401385466294172</v>
      </c>
      <c r="Q14" s="313">
        <f t="shared" ca="1" si="9"/>
        <v>-115.08937491025995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-31056</v>
      </c>
      <c r="D15" s="313">
        <f t="shared" si="5"/>
        <v>-5176</v>
      </c>
      <c r="E15" s="313">
        <f t="shared" si="0"/>
        <v>-25880</v>
      </c>
      <c r="F15" s="311"/>
      <c r="G15" s="315">
        <f ca="1">DATA!$D$11/1000000</f>
        <v>3.8463595679999997E-2</v>
      </c>
      <c r="H15" s="315">
        <f>C15*DATA!$D$5/1000000</f>
        <v>-33.668587425053751</v>
      </c>
      <c r="I15" s="315">
        <f>(C15*DATA!$D$5*DATA!$D$7)/1000000</f>
        <v>-0.75754321706370942</v>
      </c>
      <c r="J15" s="313">
        <f t="shared" ca="1" si="1"/>
        <v>-34.387667046437464</v>
      </c>
      <c r="K15" s="311"/>
      <c r="L15" s="313">
        <f>((D15*DATA!$D$23)/1000000)+((E15*DATA!$D$24)/1000000)</f>
        <v>-44.8666032</v>
      </c>
      <c r="M15" s="313">
        <f t="shared" si="2"/>
        <v>-44.8666032</v>
      </c>
      <c r="N15" s="313">
        <f t="shared" ca="1" si="6"/>
        <v>-10.478936153562536</v>
      </c>
      <c r="O15" s="312">
        <f>1/(1+'[93]Asumsi I'!$C$3)^(KKF!A15)</f>
        <v>0.4038832279793691</v>
      </c>
      <c r="P15" s="313">
        <f t="shared" ca="1" si="7"/>
        <v>-4.2322665594905509</v>
      </c>
      <c r="Q15" s="313">
        <f t="shared" ca="1" si="9"/>
        <v>-119.3216414697505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-31056</v>
      </c>
      <c r="D16" s="313">
        <f t="shared" si="5"/>
        <v>-5176</v>
      </c>
      <c r="E16" s="313">
        <f t="shared" si="0"/>
        <v>-25880</v>
      </c>
      <c r="F16" s="311"/>
      <c r="G16" s="315">
        <f ca="1">DATA!$D$11/1000000</f>
        <v>3.8463595679999997E-2</v>
      </c>
      <c r="H16" s="315">
        <f>C16*DATA!$D$5/1000000</f>
        <v>-33.668587425053751</v>
      </c>
      <c r="I16" s="315">
        <f>(C16*DATA!$D$5*DATA!$D$7)/1000000</f>
        <v>-0.75754321706370942</v>
      </c>
      <c r="J16" s="313">
        <f t="shared" ca="1" si="1"/>
        <v>-34.387667046437464</v>
      </c>
      <c r="K16" s="311"/>
      <c r="L16" s="313">
        <f>((D16*DATA!$D$23)/1000000)+((E16*DATA!$D$24)/1000000)</f>
        <v>-44.8666032</v>
      </c>
      <c r="M16" s="313">
        <f t="shared" si="2"/>
        <v>-44.8666032</v>
      </c>
      <c r="N16" s="313">
        <f t="shared" ca="1" si="6"/>
        <v>-10.478936153562536</v>
      </c>
      <c r="O16" s="312">
        <f>1/(1+'[93]Asumsi I'!$C$3)^(KKF!A16)</f>
        <v>0.36061002498157957</v>
      </c>
      <c r="P16" s="313">
        <f t="shared" ca="1" si="7"/>
        <v>-3.7788094281165634</v>
      </c>
      <c r="Q16" s="313">
        <f t="shared" ca="1" si="9"/>
        <v>-123.10045089786706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-31056</v>
      </c>
      <c r="D17" s="313">
        <f t="shared" si="5"/>
        <v>-5176</v>
      </c>
      <c r="E17" s="313">
        <f t="shared" si="0"/>
        <v>-25880</v>
      </c>
      <c r="F17" s="311"/>
      <c r="G17" s="315">
        <f ca="1">DATA!$D$11/1000000</f>
        <v>3.8463595679999997E-2</v>
      </c>
      <c r="H17" s="315">
        <f>C17*DATA!$D$5/1000000</f>
        <v>-33.668587425053751</v>
      </c>
      <c r="I17" s="315">
        <f>(C17*DATA!$D$5*DATA!$D$7)/1000000</f>
        <v>-0.75754321706370942</v>
      </c>
      <c r="J17" s="313">
        <f t="shared" ca="1" si="1"/>
        <v>-34.387667046437464</v>
      </c>
      <c r="K17" s="311"/>
      <c r="L17" s="313">
        <f>((D17*DATA!$D$23)/1000000)+((E17*DATA!$D$24)/1000000)</f>
        <v>-44.8666032</v>
      </c>
      <c r="M17" s="313">
        <f t="shared" si="2"/>
        <v>-44.8666032</v>
      </c>
      <c r="N17" s="313">
        <f t="shared" ca="1" si="6"/>
        <v>-10.478936153562536</v>
      </c>
      <c r="O17" s="312">
        <f>1/(1+'[93]Asumsi I'!$C$3)^(KKF!A17)</f>
        <v>0.32197323659069599</v>
      </c>
      <c r="P17" s="313">
        <f t="shared" ca="1" si="7"/>
        <v>-3.3739369893897884</v>
      </c>
      <c r="Q17" s="313">
        <f t="shared" ca="1" si="9"/>
        <v>-126.47438788725685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-31056</v>
      </c>
      <c r="D18" s="313">
        <f t="shared" si="5"/>
        <v>-5176</v>
      </c>
      <c r="E18" s="313">
        <f t="shared" si="0"/>
        <v>-25880</v>
      </c>
      <c r="F18" s="311"/>
      <c r="G18" s="315">
        <f ca="1">DATA!$D$11/1000000</f>
        <v>3.8463595679999997E-2</v>
      </c>
      <c r="H18" s="315">
        <f>C18*DATA!$D$5/1000000</f>
        <v>-33.668587425053751</v>
      </c>
      <c r="I18" s="315">
        <f>(C18*DATA!$D$5*DATA!$D$7)/1000000</f>
        <v>-0.75754321706370942</v>
      </c>
      <c r="J18" s="313">
        <f t="shared" ca="1" si="1"/>
        <v>-34.387667046437464</v>
      </c>
      <c r="K18" s="311"/>
      <c r="L18" s="313">
        <f>((D18*DATA!$D$23)/1000000)+((E18*DATA!$D$24)/1000000)</f>
        <v>-44.8666032</v>
      </c>
      <c r="M18" s="313">
        <f t="shared" si="2"/>
        <v>-44.8666032</v>
      </c>
      <c r="N18" s="313">
        <f t="shared" ca="1" si="6"/>
        <v>-10.478936153562536</v>
      </c>
      <c r="O18" s="312">
        <f>1/(1+'[93]Asumsi I'!$C$3)^(KKF!A18)</f>
        <v>0.28747610409883567</v>
      </c>
      <c r="P18" s="313">
        <f t="shared" ca="1" si="7"/>
        <v>-3.0124437405265962</v>
      </c>
      <c r="Q18" s="313">
        <f t="shared" ca="1" si="9"/>
        <v>-129.48683162778346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-31056</v>
      </c>
      <c r="D19" s="313">
        <f t="shared" si="5"/>
        <v>-5176</v>
      </c>
      <c r="E19" s="313">
        <f t="shared" si="0"/>
        <v>-25880</v>
      </c>
      <c r="F19" s="311"/>
      <c r="G19" s="315">
        <f ca="1">DATA!$D$11/1000000</f>
        <v>3.8463595679999997E-2</v>
      </c>
      <c r="H19" s="315">
        <f>C19*DATA!$D$5/1000000</f>
        <v>-33.668587425053751</v>
      </c>
      <c r="I19" s="315">
        <f>(C19*DATA!$D$5*DATA!$D$7)/1000000</f>
        <v>-0.75754321706370942</v>
      </c>
      <c r="J19" s="313">
        <f t="shared" ca="1" si="1"/>
        <v>-34.387667046437464</v>
      </c>
      <c r="K19" s="311"/>
      <c r="L19" s="313">
        <f>((D19*DATA!$D$23)/1000000)+((E19*DATA!$D$24)/1000000)</f>
        <v>-44.8666032</v>
      </c>
      <c r="M19" s="313">
        <f t="shared" si="2"/>
        <v>-44.8666032</v>
      </c>
      <c r="N19" s="313">
        <f t="shared" ca="1" si="6"/>
        <v>-10.478936153562536</v>
      </c>
      <c r="O19" s="312">
        <f>1/(1+'[93]Asumsi I'!$C$3)^(KKF!A19)</f>
        <v>0.25667509294538904</v>
      </c>
      <c r="P19" s="313">
        <f t="shared" ca="1" si="7"/>
        <v>-2.6896819111844614</v>
      </c>
      <c r="Q19" s="313">
        <f t="shared" ca="1" si="9"/>
        <v>-132.17651353896792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-31056</v>
      </c>
      <c r="D20" s="313">
        <f t="shared" si="5"/>
        <v>-5176</v>
      </c>
      <c r="E20" s="313">
        <f t="shared" si="0"/>
        <v>-25880</v>
      </c>
      <c r="F20" s="311"/>
      <c r="G20" s="315">
        <f ca="1">DATA!$D$11/1000000</f>
        <v>3.8463595679999997E-2</v>
      </c>
      <c r="H20" s="315">
        <f>C20*DATA!$D$5/1000000</f>
        <v>-33.668587425053751</v>
      </c>
      <c r="I20" s="315">
        <f>(C20*DATA!$D$5*DATA!$D$7)/1000000</f>
        <v>-0.75754321706370942</v>
      </c>
      <c r="J20" s="313">
        <f t="shared" ca="1" si="1"/>
        <v>-34.387667046437464</v>
      </c>
      <c r="K20" s="311"/>
      <c r="L20" s="313">
        <f>((D20*DATA!$D$23)/1000000)+((E20*DATA!$D$24)/1000000)</f>
        <v>-44.8666032</v>
      </c>
      <c r="M20" s="313">
        <f t="shared" si="2"/>
        <v>-44.8666032</v>
      </c>
      <c r="N20" s="313">
        <f t="shared" ca="1" si="6"/>
        <v>-10.478936153562536</v>
      </c>
      <c r="O20" s="312">
        <f>1/(1+'[93]Asumsi I'!$C$3)^(KKF!A20)</f>
        <v>0.22917419012981158</v>
      </c>
      <c r="P20" s="313">
        <f t="shared" ca="1" si="7"/>
        <v>-2.4015017064146971</v>
      </c>
      <c r="Q20" s="313">
        <f t="shared" ca="1" si="9"/>
        <v>-134.57801524538263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-31056</v>
      </c>
      <c r="D21" s="313">
        <f t="shared" si="5"/>
        <v>-5176</v>
      </c>
      <c r="E21" s="313">
        <f t="shared" si="0"/>
        <v>-25880</v>
      </c>
      <c r="F21" s="311"/>
      <c r="G21" s="315">
        <f ca="1">DATA!$D$11/1000000</f>
        <v>3.8463595679999997E-2</v>
      </c>
      <c r="H21" s="315">
        <f>C21*DATA!$D$5/1000000</f>
        <v>-33.668587425053751</v>
      </c>
      <c r="I21" s="315">
        <f>(C21*DATA!$D$5*DATA!$D$7)/1000000</f>
        <v>-0.75754321706370942</v>
      </c>
      <c r="J21" s="313">
        <f t="shared" ca="1" si="1"/>
        <v>-34.387667046437464</v>
      </c>
      <c r="K21" s="311"/>
      <c r="L21" s="313">
        <f>((D21*DATA!$D$23)/1000000)+((E21*DATA!$D$24)/1000000)</f>
        <v>-44.8666032</v>
      </c>
      <c r="M21" s="313">
        <f t="shared" si="2"/>
        <v>-44.8666032</v>
      </c>
      <c r="N21" s="313">
        <f t="shared" ca="1" si="6"/>
        <v>-10.478936153562536</v>
      </c>
      <c r="O21" s="312">
        <f>1/(1+'[93]Asumsi I'!$C$3)^(KKF!A21)</f>
        <v>0.20461981261590317</v>
      </c>
      <c r="P21" s="313">
        <f t="shared" ca="1" si="7"/>
        <v>-2.1441979521559791</v>
      </c>
      <c r="Q21" s="313">
        <f t="shared" ca="1" si="9"/>
        <v>-136.72221319753862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-31056</v>
      </c>
      <c r="D22" s="313">
        <f t="shared" si="5"/>
        <v>-5176</v>
      </c>
      <c r="E22" s="313">
        <f t="shared" si="0"/>
        <v>-25880</v>
      </c>
      <c r="F22" s="311"/>
      <c r="G22" s="315">
        <f ca="1">DATA!$D$11/1000000</f>
        <v>3.8463595679999997E-2</v>
      </c>
      <c r="H22" s="315">
        <f>C22*DATA!$D$5/1000000</f>
        <v>-33.668587425053751</v>
      </c>
      <c r="I22" s="315">
        <f>(C22*DATA!$D$5*DATA!$D$7)/1000000</f>
        <v>-0.75754321706370942</v>
      </c>
      <c r="J22" s="313">
        <f t="shared" ca="1" si="1"/>
        <v>-34.387667046437464</v>
      </c>
      <c r="K22" s="311"/>
      <c r="L22" s="313">
        <f>((D22*DATA!$D$23)/1000000)+((E22*DATA!$D$24)/1000000)</f>
        <v>-44.8666032</v>
      </c>
      <c r="M22" s="313">
        <f t="shared" si="2"/>
        <v>-44.8666032</v>
      </c>
      <c r="N22" s="313">
        <f t="shared" ca="1" si="6"/>
        <v>-10.478936153562536</v>
      </c>
      <c r="O22" s="312">
        <f>1/(1+'[93]Asumsi I'!$C$3)^(KKF!A22)</f>
        <v>0.18269626126419927</v>
      </c>
      <c r="P22" s="313">
        <f t="shared" ca="1" si="7"/>
        <v>-1.9144624572821245</v>
      </c>
      <c r="Q22" s="313">
        <f t="shared" ca="1" si="9"/>
        <v>-138.63667565482075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-31056</v>
      </c>
      <c r="D23" s="313">
        <f t="shared" si="5"/>
        <v>-5176</v>
      </c>
      <c r="E23" s="313">
        <f t="shared" si="0"/>
        <v>-25880</v>
      </c>
      <c r="F23" s="311"/>
      <c r="G23" s="315">
        <f ca="1">DATA!$D$11/1000000</f>
        <v>3.8463595679999997E-2</v>
      </c>
      <c r="H23" s="315">
        <f>C23*DATA!$D$5/1000000</f>
        <v>-33.668587425053751</v>
      </c>
      <c r="I23" s="315">
        <f>(C23*DATA!$D$5*DATA!$D$7)/1000000</f>
        <v>-0.75754321706370942</v>
      </c>
      <c r="J23" s="313">
        <f t="shared" ca="1" si="1"/>
        <v>-34.387667046437464</v>
      </c>
      <c r="K23" s="311"/>
      <c r="L23" s="313">
        <f>((D23*DATA!$D$23)/1000000)+((E23*DATA!$D$24)/1000000)</f>
        <v>-44.8666032</v>
      </c>
      <c r="M23" s="313">
        <f t="shared" si="2"/>
        <v>-44.8666032</v>
      </c>
      <c r="N23" s="313">
        <f t="shared" ca="1" si="6"/>
        <v>-10.478936153562536</v>
      </c>
      <c r="O23" s="312">
        <f>1/(1+'[93]Asumsi I'!$C$3)^(KKF!A23)</f>
        <v>0.16312166184303503</v>
      </c>
      <c r="P23" s="313">
        <f t="shared" ca="1" si="7"/>
        <v>-1.7093414797161821</v>
      </c>
      <c r="Q23" s="313">
        <f t="shared" ca="1" si="9"/>
        <v>-140.34601713453694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-31056</v>
      </c>
      <c r="D24" s="313">
        <f t="shared" si="5"/>
        <v>-5176</v>
      </c>
      <c r="E24" s="313">
        <f t="shared" si="0"/>
        <v>-25880</v>
      </c>
      <c r="F24" s="311"/>
      <c r="G24" s="315">
        <f ca="1">DATA!$D$11/1000000</f>
        <v>3.8463595679999997E-2</v>
      </c>
      <c r="H24" s="315">
        <f>C24*DATA!$D$5/1000000</f>
        <v>-33.668587425053751</v>
      </c>
      <c r="I24" s="315">
        <f>(C24*DATA!$D$5*DATA!$D$7)/1000000</f>
        <v>-0.75754321706370942</v>
      </c>
      <c r="J24" s="313">
        <f t="shared" ca="1" si="1"/>
        <v>-34.387667046437464</v>
      </c>
      <c r="K24" s="311"/>
      <c r="L24" s="313">
        <f>((D24*DATA!$D$23)/1000000)+((E24*DATA!$D$24)/1000000)</f>
        <v>-44.8666032</v>
      </c>
      <c r="M24" s="313">
        <f t="shared" si="2"/>
        <v>-44.8666032</v>
      </c>
      <c r="N24" s="313">
        <f t="shared" ca="1" si="6"/>
        <v>-10.478936153562536</v>
      </c>
      <c r="O24" s="312">
        <f>1/(1+'[93]Asumsi I'!$C$3)^(KKF!A24)</f>
        <v>0.14564434093128129</v>
      </c>
      <c r="P24" s="313">
        <f t="shared" ca="1" si="7"/>
        <v>-1.5261977497465913</v>
      </c>
      <c r="Q24" s="313">
        <f t="shared" ca="1" si="9"/>
        <v>-141.87221488428352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-31056</v>
      </c>
      <c r="D25" s="313">
        <f t="shared" si="5"/>
        <v>-5176</v>
      </c>
      <c r="E25" s="313">
        <f t="shared" si="0"/>
        <v>-25880</v>
      </c>
      <c r="F25" s="311"/>
      <c r="G25" s="315">
        <f ca="1">DATA!$D$11/1000000</f>
        <v>3.8463595679999997E-2</v>
      </c>
      <c r="H25" s="315">
        <f>C25*DATA!$D$5/1000000</f>
        <v>-33.668587425053751</v>
      </c>
      <c r="I25" s="315">
        <f>(C25*DATA!$D$5*DATA!$D$7)/1000000</f>
        <v>-0.75754321706370942</v>
      </c>
      <c r="J25" s="313">
        <f t="shared" ca="1" si="1"/>
        <v>-34.387667046437464</v>
      </c>
      <c r="K25" s="311"/>
      <c r="L25" s="313">
        <f>((D25*DATA!$D$23)/1000000)+((E25*DATA!$D$24)/1000000)</f>
        <v>-44.8666032</v>
      </c>
      <c r="M25" s="313">
        <f t="shared" si="2"/>
        <v>-44.8666032</v>
      </c>
      <c r="N25" s="313">
        <f t="shared" ca="1" si="6"/>
        <v>-10.478936153562536</v>
      </c>
      <c r="O25" s="312">
        <f>1/(1+'[93]Asumsi I'!$C$3)^(KKF!A25)</f>
        <v>0.13003959011721541</v>
      </c>
      <c r="P25" s="313">
        <f t="shared" ca="1" si="7"/>
        <v>-1.362676562273742</v>
      </c>
      <c r="Q25" s="313">
        <f t="shared" ca="1" si="9"/>
        <v>-143.23489144655727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-31056</v>
      </c>
      <c r="D26" s="313">
        <f t="shared" si="5"/>
        <v>-5176</v>
      </c>
      <c r="E26" s="313">
        <f t="shared" si="0"/>
        <v>-25880</v>
      </c>
      <c r="F26" s="311"/>
      <c r="G26" s="315">
        <f ca="1">DATA!$D$11/1000000</f>
        <v>3.8463595679999997E-2</v>
      </c>
      <c r="H26" s="315">
        <f>C26*DATA!$D$5/1000000</f>
        <v>-33.668587425053751</v>
      </c>
      <c r="I26" s="315">
        <f>(C26*DATA!$D$5*DATA!$D$7)/1000000</f>
        <v>-0.75754321706370942</v>
      </c>
      <c r="J26" s="313">
        <f t="shared" ca="1" si="1"/>
        <v>-34.387667046437464</v>
      </c>
      <c r="K26" s="311"/>
      <c r="L26" s="313">
        <f>((D26*DATA!$D$23)/1000000)+((E26*DATA!$D$24)/1000000)</f>
        <v>-44.8666032</v>
      </c>
      <c r="M26" s="313">
        <f t="shared" si="2"/>
        <v>-44.8666032</v>
      </c>
      <c r="N26" s="313">
        <f t="shared" ca="1" si="6"/>
        <v>-10.478936153562536</v>
      </c>
      <c r="O26" s="312">
        <f>1/(1+'[93]Asumsi I'!$C$3)^(KKF!A26)</f>
        <v>0.1161067768903709</v>
      </c>
      <c r="P26" s="313">
        <f t="shared" ca="1" si="7"/>
        <v>-1.2166755020301268</v>
      </c>
      <c r="Q26" s="313">
        <f t="shared" ca="1" si="9"/>
        <v>-144.45156694858738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-31056</v>
      </c>
      <c r="D27" s="313">
        <f t="shared" si="5"/>
        <v>-5176</v>
      </c>
      <c r="E27" s="313">
        <f t="shared" si="0"/>
        <v>-25880</v>
      </c>
      <c r="F27" s="311"/>
      <c r="G27" s="315">
        <f ca="1">DATA!$D$11/1000000</f>
        <v>3.8463595679999997E-2</v>
      </c>
      <c r="H27" s="315">
        <f>C27*DATA!$D$5/1000000</f>
        <v>-33.668587425053751</v>
      </c>
      <c r="I27" s="315">
        <f>(C27*DATA!$D$5*DATA!$D$7)/1000000</f>
        <v>-0.75754321706370942</v>
      </c>
      <c r="J27" s="313">
        <f t="shared" ca="1" si="1"/>
        <v>-34.387667046437464</v>
      </c>
      <c r="K27" s="311"/>
      <c r="L27" s="313">
        <f>((D27*DATA!$D$23)/1000000)+((E27*DATA!$D$24)/1000000)</f>
        <v>-44.8666032</v>
      </c>
      <c r="M27" s="313">
        <f t="shared" si="2"/>
        <v>-44.8666032</v>
      </c>
      <c r="N27" s="313">
        <f t="shared" ca="1" si="6"/>
        <v>-10.478936153562536</v>
      </c>
      <c r="O27" s="312">
        <f>1/(1+'[93]Asumsi I'!$C$3)^(KKF!A27)</f>
        <v>0.1036667650806883</v>
      </c>
      <c r="P27" s="313">
        <f t="shared" ca="1" si="7"/>
        <v>-1.0863174125268988</v>
      </c>
      <c r="Q27" s="313">
        <f t="shared" ca="1" si="9"/>
        <v>-145.53788436111429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-31056</v>
      </c>
      <c r="D28" s="313">
        <f t="shared" si="5"/>
        <v>-5176</v>
      </c>
      <c r="E28" s="313">
        <f t="shared" si="0"/>
        <v>-25880</v>
      </c>
      <c r="F28" s="311"/>
      <c r="G28" s="315">
        <f ca="1">DATA!$D$11/1000000</f>
        <v>3.8463595679999997E-2</v>
      </c>
      <c r="H28" s="315">
        <f>C28*DATA!$D$5/1000000</f>
        <v>-33.668587425053751</v>
      </c>
      <c r="I28" s="315">
        <f>(C28*DATA!$D$5*DATA!$D$7)/1000000</f>
        <v>-0.75754321706370942</v>
      </c>
      <c r="J28" s="313">
        <f t="shared" ca="1" si="1"/>
        <v>-34.387667046437464</v>
      </c>
      <c r="K28" s="311"/>
      <c r="L28" s="313">
        <f>((D28*DATA!$D$23)/1000000)+((E28*DATA!$D$24)/1000000)</f>
        <v>-44.8666032</v>
      </c>
      <c r="M28" s="313">
        <f t="shared" si="2"/>
        <v>-44.8666032</v>
      </c>
      <c r="N28" s="313">
        <f t="shared" ca="1" si="6"/>
        <v>-10.478936153562536</v>
      </c>
      <c r="O28" s="312">
        <f>1/(1+'[93]Asumsi I'!$C$3)^(KKF!A28)</f>
        <v>9.2559611679185971E-2</v>
      </c>
      <c r="P28" s="313">
        <f t="shared" ca="1" si="7"/>
        <v>-0.96992626118473102</v>
      </c>
      <c r="Q28" s="313">
        <f t="shared" ca="1" si="9"/>
        <v>-146.50781062229902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-31056</v>
      </c>
      <c r="D29" s="313">
        <f t="shared" si="5"/>
        <v>-5176</v>
      </c>
      <c r="E29" s="313">
        <f t="shared" si="0"/>
        <v>-25880</v>
      </c>
      <c r="F29" s="311"/>
      <c r="G29" s="315">
        <f ca="1">DATA!$D$11/1000000</f>
        <v>3.8463595679999997E-2</v>
      </c>
      <c r="H29" s="315">
        <f>C29*DATA!$D$5/1000000</f>
        <v>-33.668587425053751</v>
      </c>
      <c r="I29" s="315">
        <f>(C29*DATA!$D$5*DATA!$D$7)/1000000</f>
        <v>-0.75754321706370942</v>
      </c>
      <c r="J29" s="313">
        <f t="shared" ca="1" si="1"/>
        <v>-34.387667046437464</v>
      </c>
      <c r="K29" s="311"/>
      <c r="L29" s="313">
        <f>((D29*DATA!$D$23)/1000000)+((E29*DATA!$D$24)/1000000)</f>
        <v>-44.8666032</v>
      </c>
      <c r="M29" s="313">
        <f t="shared" si="2"/>
        <v>-44.8666032</v>
      </c>
      <c r="N29" s="313">
        <f t="shared" ca="1" si="6"/>
        <v>-10.478936153562536</v>
      </c>
      <c r="O29" s="312">
        <f>1/(1+'[93]Asumsi I'!$C$3)^(KKF!A29)</f>
        <v>8.2642510427844609E-2</v>
      </c>
      <c r="P29" s="313">
        <f t="shared" ca="1" si="7"/>
        <v>-0.86600559034350977</v>
      </c>
      <c r="Q29" s="313">
        <f t="shared" ca="1" si="9"/>
        <v>-147.37381621264254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-31056</v>
      </c>
      <c r="D30" s="313">
        <f t="shared" si="5"/>
        <v>-5176</v>
      </c>
      <c r="E30" s="313">
        <f t="shared" si="0"/>
        <v>-25880</v>
      </c>
      <c r="F30" s="311"/>
      <c r="G30" s="315">
        <f ca="1">DATA!$D$11/1000000</f>
        <v>3.8463595679999997E-2</v>
      </c>
      <c r="H30" s="315">
        <f>C30*DATA!$D$5/1000000</f>
        <v>-33.668587425053751</v>
      </c>
      <c r="I30" s="315">
        <f>(C30*DATA!$D$5*DATA!$D$7)/1000000</f>
        <v>-0.75754321706370942</v>
      </c>
      <c r="J30" s="313">
        <f t="shared" ca="1" si="1"/>
        <v>-34.387667046437464</v>
      </c>
      <c r="K30" s="311"/>
      <c r="L30" s="313">
        <f>((D30*DATA!$D$23)/1000000)+((E30*DATA!$D$24)/1000000)</f>
        <v>-44.8666032</v>
      </c>
      <c r="M30" s="313">
        <f t="shared" si="2"/>
        <v>-44.8666032</v>
      </c>
      <c r="N30" s="313">
        <f t="shared" ca="1" si="6"/>
        <v>-10.478936153562536</v>
      </c>
      <c r="O30" s="312">
        <f>1/(1+'[93]Asumsi I'!$C$3)^(KKF!A30)</f>
        <v>7.3787955739146982E-2</v>
      </c>
      <c r="P30" s="313">
        <f t="shared" ca="1" si="7"/>
        <v>-0.77321927709241955</v>
      </c>
      <c r="Q30" s="313">
        <f t="shared" ca="1" si="9"/>
        <v>-148.14703548973495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-31056</v>
      </c>
      <c r="D31" s="313">
        <f t="shared" si="5"/>
        <v>-5176</v>
      </c>
      <c r="E31" s="313">
        <f t="shared" si="0"/>
        <v>-25880</v>
      </c>
      <c r="F31" s="311"/>
      <c r="G31" s="315">
        <f ca="1">DATA!$D$11/1000000</f>
        <v>3.8463595679999997E-2</v>
      </c>
      <c r="H31" s="315">
        <f>C31*DATA!$D$5/1000000</f>
        <v>-33.668587425053751</v>
      </c>
      <c r="I31" s="315">
        <f>(C31*DATA!$D$5*DATA!$D$7)/1000000</f>
        <v>-0.75754321706370942</v>
      </c>
      <c r="J31" s="313">
        <f t="shared" ca="1" si="1"/>
        <v>-34.387667046437464</v>
      </c>
      <c r="K31" s="311"/>
      <c r="L31" s="313">
        <f>((D31*DATA!$D$23)/1000000)+((E31*DATA!$D$24)/1000000)</f>
        <v>-44.8666032</v>
      </c>
      <c r="M31" s="313">
        <f t="shared" si="2"/>
        <v>-44.8666032</v>
      </c>
      <c r="N31" s="313">
        <f t="shared" ca="1" si="6"/>
        <v>-10.478936153562536</v>
      </c>
      <c r="O31" s="312">
        <f>1/(1+'[93]Asumsi I'!$C$3)^(KKF!A31)</f>
        <v>6.5882103338524081E-2</v>
      </c>
      <c r="P31" s="313">
        <f t="shared" ca="1" si="7"/>
        <v>-0.69037435454680307</v>
      </c>
      <c r="Q31" s="313">
        <f ca="1">Q30+P31</f>
        <v>-148.83740984428175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-31056</v>
      </c>
      <c r="D32" s="313">
        <f t="shared" si="5"/>
        <v>-5176</v>
      </c>
      <c r="E32" s="313">
        <f t="shared" si="0"/>
        <v>-25880</v>
      </c>
      <c r="F32" s="311"/>
      <c r="G32" s="315">
        <f ca="1">DATA!$D$11/1000000</f>
        <v>3.8463595679999997E-2</v>
      </c>
      <c r="H32" s="315">
        <f>C32*DATA!$D$5/1000000</f>
        <v>-33.668587425053751</v>
      </c>
      <c r="I32" s="315">
        <f>(C32*DATA!$D$5*DATA!$D$7)/1000000</f>
        <v>-0.75754321706370942</v>
      </c>
      <c r="J32" s="313">
        <f t="shared" ca="1" si="1"/>
        <v>-34.387667046437464</v>
      </c>
      <c r="K32" s="311"/>
      <c r="L32" s="313">
        <f>((D32*DATA!$D$23)/1000000)+((E32*DATA!$D$24)/1000000)</f>
        <v>-44.8666032</v>
      </c>
      <c r="M32" s="313">
        <f t="shared" si="2"/>
        <v>-44.8666032</v>
      </c>
      <c r="N32" s="313">
        <f t="shared" ca="1" si="6"/>
        <v>-10.478936153562536</v>
      </c>
      <c r="O32" s="312">
        <f>1/(1+'[93]Asumsi I'!$C$3)^(KKF!A32)</f>
        <v>5.8823306552253637E-2</v>
      </c>
      <c r="P32" s="313">
        <f t="shared" ca="1" si="7"/>
        <v>-0.61640567370250265</v>
      </c>
      <c r="Q32" s="313">
        <f ca="1">Q31+P32</f>
        <v>-149.45381551798425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4" t="s">
        <v>1374</v>
      </c>
      <c r="G33" s="594"/>
      <c r="H33" s="594"/>
      <c r="I33" s="321"/>
      <c r="J33" s="322">
        <f ca="1">SUM(J7:J32)</f>
        <v>-866.33656544178643</v>
      </c>
      <c r="K33" s="594" t="s">
        <v>1375</v>
      </c>
      <c r="L33" s="594"/>
      <c r="M33" s="322">
        <f>SUM(M7:M32)</f>
        <v>-1195.5760308000001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1376</v>
      </c>
      <c r="Q34" s="327">
        <f ca="1">+J7/N32</f>
        <v>0.63411869138932531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1377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1378</v>
      </c>
      <c r="Q36" s="330">
        <f ca="1">M33/J33</f>
        <v>1.3800364413688562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1028</v>
      </c>
      <c r="Q37" s="331">
        <f ca="1">+NPV(0.12,N7:N32)</f>
        <v>-133.44090671248591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1029</v>
      </c>
      <c r="Q38" s="33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63"/>
  <sheetViews>
    <sheetView showGridLines="0" tabSelected="1" zoomScale="85" zoomScaleNormal="85" zoomScaleSheetLayoutView="70" workbookViewId="0">
      <pane ySplit="13" topLeftCell="A20" activePane="bottomLeft" state="frozen"/>
      <selection activeCell="H1093" sqref="H1093"/>
      <selection pane="bottomLeft" activeCell="C25" sqref="C25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9" customWidth="1"/>
    <col min="4" max="4" width="13.7109375" style="399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1009</v>
      </c>
      <c r="D1" s="336"/>
      <c r="U1" s="333"/>
    </row>
    <row r="2" spans="1:22">
      <c r="C2" s="335" t="s">
        <v>1348</v>
      </c>
      <c r="D2" s="336"/>
      <c r="T2" s="341"/>
      <c r="U2" s="342" t="s">
        <v>1036</v>
      </c>
      <c r="V2" s="341"/>
    </row>
    <row r="3" spans="1:22">
      <c r="C3" s="335" t="s">
        <v>1440</v>
      </c>
      <c r="D3" s="336"/>
      <c r="O3" s="597" t="s">
        <v>1036</v>
      </c>
      <c r="P3" s="597"/>
      <c r="Q3" s="343"/>
      <c r="T3" s="341"/>
      <c r="U3" s="342" t="s">
        <v>1041</v>
      </c>
      <c r="V3" s="341"/>
    </row>
    <row r="4" spans="1:22" ht="15.75" customHeight="1">
      <c r="B4" s="598" t="s">
        <v>1023</v>
      </c>
      <c r="C4" s="598"/>
      <c r="D4" s="598"/>
      <c r="E4" s="598"/>
      <c r="F4" s="598"/>
      <c r="G4" s="598"/>
      <c r="H4" s="598"/>
      <c r="I4" s="598"/>
      <c r="J4" s="598"/>
      <c r="K4" s="598"/>
      <c r="O4" s="597"/>
      <c r="P4" s="597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1037</v>
      </c>
      <c r="F6" s="346" t="s">
        <v>9</v>
      </c>
      <c r="G6" s="614" t="str">
        <f>DATA!D14</f>
        <v>TD H NUR ROHMAD</v>
      </c>
      <c r="H6" s="614"/>
      <c r="I6" s="614"/>
      <c r="J6" s="614"/>
      <c r="K6" s="614"/>
      <c r="T6" s="341"/>
      <c r="U6" s="342"/>
      <c r="V6" s="341"/>
    </row>
    <row r="7" spans="1:22">
      <c r="C7" s="344"/>
      <c r="D7" s="336"/>
      <c r="E7" s="345" t="s">
        <v>1038</v>
      </c>
      <c r="F7" s="346" t="s">
        <v>9</v>
      </c>
      <c r="G7" s="345" t="s">
        <v>1617</v>
      </c>
      <c r="J7" s="347"/>
      <c r="T7" s="341"/>
      <c r="U7" s="342"/>
      <c r="V7" s="341"/>
    </row>
    <row r="8" spans="1:22">
      <c r="C8" s="344"/>
      <c r="D8" s="336"/>
      <c r="E8" s="345" t="s">
        <v>1039</v>
      </c>
      <c r="F8" s="346" t="s">
        <v>9</v>
      </c>
      <c r="G8" s="345" t="s">
        <v>1440</v>
      </c>
      <c r="J8" s="347"/>
      <c r="T8" s="341"/>
      <c r="U8" s="342"/>
      <c r="V8" s="341"/>
    </row>
    <row r="9" spans="1:22">
      <c r="C9" s="344"/>
      <c r="D9" s="336"/>
      <c r="E9" s="345" t="s">
        <v>1040</v>
      </c>
      <c r="F9" s="346" t="s">
        <v>9</v>
      </c>
      <c r="G9" s="345" t="s">
        <v>1546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00" t="s">
        <v>0</v>
      </c>
      <c r="C11" s="602" t="s">
        <v>1</v>
      </c>
      <c r="D11" s="605" t="s">
        <v>42</v>
      </c>
      <c r="E11" s="605" t="s">
        <v>43</v>
      </c>
      <c r="F11" s="605" t="s">
        <v>2</v>
      </c>
      <c r="G11" s="607" t="s">
        <v>41</v>
      </c>
      <c r="H11" s="605" t="s">
        <v>3</v>
      </c>
      <c r="I11" s="605"/>
      <c r="J11" s="605"/>
      <c r="K11" s="624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01"/>
      <c r="C12" s="603"/>
      <c r="D12" s="606"/>
      <c r="E12" s="606"/>
      <c r="F12" s="606"/>
      <c r="G12" s="608"/>
      <c r="H12" s="610" t="s">
        <v>46</v>
      </c>
      <c r="I12" s="610" t="s">
        <v>5</v>
      </c>
      <c r="J12" s="606" t="s">
        <v>47</v>
      </c>
      <c r="K12" s="625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01"/>
      <c r="C13" s="604"/>
      <c r="D13" s="606"/>
      <c r="E13" s="606"/>
      <c r="F13" s="606"/>
      <c r="G13" s="609"/>
      <c r="H13" s="611"/>
      <c r="I13" s="611"/>
      <c r="J13" s="606"/>
      <c r="K13" s="625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82" t="s">
        <v>480</v>
      </c>
      <c r="C14" s="483" t="s">
        <v>1609</v>
      </c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4"/>
      <c r="C15" s="109"/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16" ca="1" si="4">IF(OR(D15="MDU",D15="MDU-KD"),(IF($O$3="RAB NON MDU","PLN KD",G15*F15)),0)</f>
        <v>0</v>
      </c>
      <c r="I15" s="356">
        <f t="shared" ref="I15:I16" ca="1" si="5">IF(D15="HDW",G15*F15,0)</f>
        <v>0</v>
      </c>
      <c r="J15" s="356">
        <f t="shared" ref="J15:J16" ca="1" si="6">IF(D15="JASA",G15*F15,0)</f>
        <v>0</v>
      </c>
      <c r="K15" s="357">
        <f t="shared" ref="K15:K16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 t="e">
        <f>IF(AND(C16=0,#REF!=0,#REF!=0),"BLANKS",1)</f>
        <v>#REF!</v>
      </c>
      <c r="B16" s="482" t="s">
        <v>505</v>
      </c>
      <c r="C16" s="483" t="s">
        <v>1610</v>
      </c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ca="1" si="4"/>
        <v>0</v>
      </c>
      <c r="I16" s="356">
        <f t="shared" ca="1" si="5"/>
        <v>0</v>
      </c>
      <c r="J16" s="356">
        <f t="shared" ca="1" si="6"/>
        <v>0</v>
      </c>
      <c r="K16" s="357">
        <f t="shared" ca="1" si="7"/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87"/>
      <c r="C17" s="488"/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/>
      </c>
      <c r="F17" s="361"/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ref="H17:H18" ca="1" si="8">IF(OR(D17="MDU",D17="MDU-KD"),(IF($O$3="RAB NON MDU","PLN KD",G17*F17)),0)</f>
        <v>0</v>
      </c>
      <c r="I17" s="356">
        <f t="shared" ref="I17:I18" ca="1" si="9">IF(D17="HDW",G17*F17,0)</f>
        <v>0</v>
      </c>
      <c r="J17" s="356">
        <f t="shared" ref="J17:J18" ca="1" si="10">IF(D17="JASA",G17*F17,0)</f>
        <v>0</v>
      </c>
      <c r="K17" s="357">
        <f t="shared" ref="K17:K18" ca="1" si="11">SUM(H17:J17)</f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85" t="s">
        <v>524</v>
      </c>
      <c r="C18" s="486" t="s">
        <v>1611</v>
      </c>
      <c r="D18" s="353" t="str">
        <f ca="1">IF(ISERROR(OFFSET('HARGA SATUAN'!$D$6,MATCH(RAB!C18,'HARGA SATUAN'!$C$7:$C$1492,0),0)),"",OFFSET('HARGA SATUAN'!$D$6,MATCH(RAB!C18,'HARGA SATUAN'!$C$7:$C$1492,0),0))</f>
        <v/>
      </c>
      <c r="E18" s="354" t="str">
        <f ca="1">IF(B18="+","Unit",IF(ISERROR(OFFSET('HARGA SATUAN'!$E$6,MATCH(RAB!C18,'HARGA SATUAN'!$C$7:$C$1492,0),0)),"",OFFSET('HARGA SATUAN'!$E$6,MATCH(RAB!C18,'HARGA SATUAN'!$C$7:$C$1492,0),0)))</f>
        <v/>
      </c>
      <c r="F18" s="361"/>
      <c r="G18" s="355">
        <f ca="1">IF(ISERROR(OFFSET('HARGA SATUAN'!$I$6,MATCH(RAB!C18,'HARGA SATUAN'!$C$7:$C$1492,0),0)),0,OFFSET('HARGA SATUAN'!$I$6,MATCH(RAB!C18,'HARGA SATUAN'!$C$7:$C$1492,0),0))</f>
        <v>0</v>
      </c>
      <c r="H18" s="356">
        <f t="shared" ca="1" si="8"/>
        <v>0</v>
      </c>
      <c r="I18" s="356">
        <f t="shared" ca="1" si="9"/>
        <v>0</v>
      </c>
      <c r="J18" s="356">
        <f t="shared" ca="1" si="10"/>
        <v>0</v>
      </c>
      <c r="K18" s="357">
        <f t="shared" ca="1" si="11"/>
        <v>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85"/>
      <c r="C19" s="486"/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361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ref="H19:H28" ca="1" si="12">IF(OR(D19="MDU",D19="MDU-KD"),(IF($O$3="RAB NON MDU","PLN KD",G19*F19)),0)</f>
        <v>0</v>
      </c>
      <c r="I19" s="356">
        <f t="shared" ref="I19:I28" ca="1" si="13">IF(D19="HDW",G19*F19,0)</f>
        <v>0</v>
      </c>
      <c r="J19" s="356">
        <f t="shared" ref="J19:J28" ca="1" si="14">IF(D19="JASA",G19*F19,0)</f>
        <v>0</v>
      </c>
      <c r="K19" s="357">
        <f t="shared" ref="K19:K28" ca="1" si="15">SUM(H19:J19)</f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0" customFormat="1">
      <c r="A20" s="333"/>
      <c r="B20" s="482" t="s">
        <v>526</v>
      </c>
      <c r="C20" s="483" t="s">
        <v>1612</v>
      </c>
      <c r="D20" s="353" t="str">
        <f ca="1">IF(ISERROR(OFFSET('HARGA SATUAN'!$D$6,MATCH(RAB!C20,'HARGA SATUAN'!$C$7:$C$1492,0),0)),"",OFFSET('HARGA SATUAN'!$D$6,MATCH(RAB!C20,'HARGA SATUAN'!$C$7:$C$1492,0),0))</f>
        <v/>
      </c>
      <c r="E20" s="354" t="str">
        <f ca="1">IF(B20="+","Unit",IF(ISERROR(OFFSET('HARGA SATUAN'!$E$6,MATCH(RAB!C20,'HARGA SATUAN'!$C$7:$C$1492,0),0)),"",OFFSET('HARGA SATUAN'!$E$6,MATCH(RAB!C20,'HARGA SATUAN'!$C$7:$C$1492,0),0)))</f>
        <v/>
      </c>
      <c r="F20" s="361"/>
      <c r="G20" s="355">
        <f ca="1">IF(ISERROR(OFFSET('HARGA SATUAN'!$I$6,MATCH(RAB!C20,'HARGA SATUAN'!$C$7:$C$1492,0),0)),0,OFFSET('HARGA SATUAN'!$I$6,MATCH(RAB!C20,'HARGA SATUAN'!$C$7:$C$1492,0),0))</f>
        <v>0</v>
      </c>
      <c r="H20" s="356">
        <f t="shared" ca="1" si="12"/>
        <v>0</v>
      </c>
      <c r="I20" s="356">
        <f t="shared" ca="1" si="13"/>
        <v>0</v>
      </c>
      <c r="J20" s="356">
        <f t="shared" ca="1" si="14"/>
        <v>0</v>
      </c>
      <c r="K20" s="357">
        <f t="shared" ca="1" si="15"/>
        <v>0</v>
      </c>
      <c r="L20" s="339"/>
      <c r="M20" s="339"/>
      <c r="N20" s="362"/>
      <c r="O20" s="341"/>
      <c r="P20" s="387"/>
      <c r="Q20" s="341"/>
    </row>
    <row r="21" spans="1:22" s="360" customFormat="1">
      <c r="A21" s="333"/>
      <c r="B21" s="482"/>
      <c r="C21" s="483"/>
      <c r="D21" s="353" t="str">
        <f ca="1">IF(ISERROR(OFFSET('HARGA SATUAN'!$D$6,MATCH(RAB!C21,'HARGA SATUAN'!$C$7:$C$1492,0),0)),"",OFFSET('HARGA SATUAN'!$D$6,MATCH(RAB!C21,'HARGA SATUAN'!$C$7:$C$1492,0),0))</f>
        <v/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361"/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ca="1" si="12"/>
        <v>0</v>
      </c>
      <c r="I21" s="356">
        <f t="shared" ca="1" si="13"/>
        <v>0</v>
      </c>
      <c r="J21" s="356">
        <f t="shared" ca="1" si="14"/>
        <v>0</v>
      </c>
      <c r="K21" s="357">
        <f t="shared" ca="1" si="15"/>
        <v>0</v>
      </c>
      <c r="L21" s="339"/>
      <c r="M21" s="339"/>
      <c r="N21" s="362"/>
      <c r="O21" s="341"/>
      <c r="P21" s="387"/>
      <c r="Q21" s="341"/>
    </row>
    <row r="22" spans="1:22" s="360" customFormat="1">
      <c r="A22" s="333"/>
      <c r="B22" s="491" t="s">
        <v>1035</v>
      </c>
      <c r="C22" s="492" t="s">
        <v>1621</v>
      </c>
      <c r="D22" s="353" t="str">
        <f ca="1">IF(ISERROR(OFFSET('HARGA SATUAN'!$D$6,MATCH(RAB!C22,'HARGA SATUAN'!$C$7:$C$1492,0),0)),"",OFFSET('HARGA SATUAN'!$D$6,MATCH(RAB!C22,'HARGA SATUAN'!$C$7:$C$1492,0),0))</f>
        <v/>
      </c>
      <c r="E22" s="354" t="str">
        <f ca="1">IF(B22="+","Unit",IF(ISERROR(OFFSET('HARGA SATUAN'!$E$6,MATCH(RAB!C22,'HARGA SATUAN'!$C$7:$C$1492,0),0)),"",OFFSET('HARGA SATUAN'!$E$6,MATCH(RAB!C22,'HARGA SATUAN'!$C$7:$C$1492,0),0)))</f>
        <v>Unit</v>
      </c>
      <c r="F22" s="498">
        <v>1</v>
      </c>
      <c r="G22" s="355">
        <f ca="1">IF(ISERROR(OFFSET('HARGA SATUAN'!$I$6,MATCH(RAB!C22,'HARGA SATUAN'!$C$7:$C$1492,0),0)),0,OFFSET('HARGA SATUAN'!$I$6,MATCH(RAB!C22,'HARGA SATUAN'!$C$7:$C$1492,0),0))</f>
        <v>0</v>
      </c>
      <c r="H22" s="356">
        <f t="shared" ca="1" si="12"/>
        <v>0</v>
      </c>
      <c r="I22" s="356">
        <f t="shared" ca="1" si="13"/>
        <v>0</v>
      </c>
      <c r="J22" s="356">
        <f t="shared" ca="1" si="14"/>
        <v>0</v>
      </c>
      <c r="K22" s="357">
        <f t="shared" ca="1" si="15"/>
        <v>0</v>
      </c>
      <c r="L22" s="339"/>
      <c r="M22" s="339"/>
      <c r="N22" s="362"/>
      <c r="O22" s="341"/>
      <c r="P22" s="387"/>
      <c r="Q22" s="341"/>
    </row>
    <row r="23" spans="1:22" s="360" customFormat="1">
      <c r="A23" s="333"/>
      <c r="B23" s="496">
        <v>1</v>
      </c>
      <c r="C23" s="109" t="s">
        <v>482</v>
      </c>
      <c r="D23" s="353" t="str">
        <f ca="1">IF(ISERROR(OFFSET('HARGA SATUAN'!$D$6,MATCH(RAB!C23,'HARGA SATUAN'!$C$7:$C$1492,0),0)),"",OFFSET('HARGA SATUAN'!$D$6,MATCH(RAB!C23,'HARGA SATUAN'!$C$7:$C$1492,0),0))</f>
        <v>MDU-KD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98">
        <f>F22*1</f>
        <v>1</v>
      </c>
      <c r="G23" s="355">
        <f ca="1">IF(ISERROR(OFFSET('HARGA SATUAN'!$I$6,MATCH(RAB!C23,'HARGA SATUAN'!$C$7:$C$1492,0),0)),0,OFFSET('HARGA SATUAN'!$I$6,MATCH(RAB!C23,'HARGA SATUAN'!$C$7:$C$1492,0),0))</f>
        <v>327600</v>
      </c>
      <c r="H23" s="356">
        <f t="shared" ca="1" si="12"/>
        <v>327600</v>
      </c>
      <c r="I23" s="356">
        <f t="shared" ca="1" si="13"/>
        <v>0</v>
      </c>
      <c r="J23" s="356">
        <f t="shared" ca="1" si="14"/>
        <v>0</v>
      </c>
      <c r="K23" s="357">
        <f t="shared" ca="1" si="15"/>
        <v>327600</v>
      </c>
      <c r="L23" s="339"/>
      <c r="M23" s="339"/>
      <c r="N23" s="362"/>
      <c r="O23" s="341"/>
      <c r="P23" s="387"/>
      <c r="Q23" s="341"/>
    </row>
    <row r="24" spans="1:22" s="360" customFormat="1">
      <c r="A24" s="333"/>
      <c r="B24" s="496">
        <v>2</v>
      </c>
      <c r="C24" s="497" t="s">
        <v>487</v>
      </c>
      <c r="D24" s="353" t="str">
        <f ca="1">IF(ISERROR(OFFSET('HARGA SATUAN'!$D$6,MATCH(RAB!C24,'HARGA SATUAN'!$C$7:$C$1492,0),0)),"",OFFSET('HARGA SATUAN'!$D$6,MATCH(RAB!C24,'HARGA SATUAN'!$C$7:$C$1492,0),0))</f>
        <v>MDU-KD</v>
      </c>
      <c r="E24" s="354" t="str">
        <f ca="1">IF(B24="+","Unit",IF(ISERROR(OFFSET('HARGA SATUAN'!$E$6,MATCH(RAB!C24,'HARGA SATUAN'!$C$7:$C$1492,0),0)),"",OFFSET('HARGA SATUAN'!$E$6,MATCH(RAB!C24,'HARGA SATUAN'!$C$7:$C$1492,0),0)))</f>
        <v>Bh</v>
      </c>
      <c r="F24" s="498">
        <f>F22*1</f>
        <v>1</v>
      </c>
      <c r="G24" s="355">
        <f ca="1">IF(ISERROR(OFFSET('HARGA SATUAN'!$I$6,MATCH(RAB!C24,'HARGA SATUAN'!$C$7:$C$1492,0),0)),0,OFFSET('HARGA SATUAN'!$I$6,MATCH(RAB!C24,'HARGA SATUAN'!$C$7:$C$1492,0),0))</f>
        <v>39000</v>
      </c>
      <c r="H24" s="356">
        <f t="shared" ca="1" si="12"/>
        <v>39000</v>
      </c>
      <c r="I24" s="356">
        <f t="shared" ca="1" si="13"/>
        <v>0</v>
      </c>
      <c r="J24" s="356">
        <f t="shared" ca="1" si="14"/>
        <v>0</v>
      </c>
      <c r="K24" s="357">
        <f t="shared" ca="1" si="15"/>
        <v>39000</v>
      </c>
      <c r="L24" s="339"/>
      <c r="M24" s="339"/>
      <c r="N24" s="362"/>
      <c r="O24" s="341"/>
      <c r="P24" s="387"/>
      <c r="Q24" s="341"/>
    </row>
    <row r="25" spans="1:22" s="360" customFormat="1">
      <c r="A25" s="333"/>
      <c r="B25" s="496">
        <v>3</v>
      </c>
      <c r="C25" s="497" t="s">
        <v>73</v>
      </c>
      <c r="D25" s="353" t="str">
        <f ca="1">IF(ISERROR(OFFSET('HARGA SATUAN'!$D$6,MATCH(RAB!C25,'HARGA SATUAN'!$C$7:$C$1492,0),0)),"",OFFSET('HARGA SATUAN'!$D$6,MATCH(RAB!C25,'HARGA SATUAN'!$C$7:$C$1492,0),0))</f>
        <v>MDU-KD</v>
      </c>
      <c r="E25" s="354" t="str">
        <f ca="1">IF(B25="+","Unit",IF(ISERROR(OFFSET('HARGA SATUAN'!$E$6,MATCH(RAB!C25,'HARGA SATUAN'!$C$7:$C$1492,0),0)),"",OFFSET('HARGA SATUAN'!$E$6,MATCH(RAB!C25,'HARGA SATUAN'!$C$7:$C$1492,0),0)))</f>
        <v>Mtr</v>
      </c>
      <c r="F25" s="498">
        <f>F22*35</f>
        <v>35</v>
      </c>
      <c r="G25" s="355">
        <f ca="1">IF(ISERROR(OFFSET('HARGA SATUAN'!$I$6,MATCH(RAB!C25,'HARGA SATUAN'!$C$7:$C$1492,0),0)),0,OFFSET('HARGA SATUAN'!$I$6,MATCH(RAB!C25,'HARGA SATUAN'!$C$7:$C$1492,0),0))</f>
        <v>4300</v>
      </c>
      <c r="H25" s="356">
        <f t="shared" ca="1" si="12"/>
        <v>150500</v>
      </c>
      <c r="I25" s="356">
        <f t="shared" ca="1" si="13"/>
        <v>0</v>
      </c>
      <c r="J25" s="356">
        <f t="shared" ca="1" si="14"/>
        <v>0</v>
      </c>
      <c r="K25" s="357">
        <f t="shared" ca="1" si="15"/>
        <v>150500</v>
      </c>
      <c r="L25" s="339"/>
      <c r="M25" s="339"/>
      <c r="N25" s="362"/>
      <c r="O25" s="341"/>
      <c r="P25" s="387"/>
      <c r="Q25" s="341"/>
    </row>
    <row r="26" spans="1:22" s="360" customFormat="1">
      <c r="A26" s="333"/>
      <c r="B26" s="496">
        <v>4</v>
      </c>
      <c r="C26" s="497" t="s">
        <v>798</v>
      </c>
      <c r="D26" s="353" t="str">
        <f ca="1">IF(ISERROR(OFFSET('HARGA SATUAN'!$D$6,MATCH(RAB!C26,'HARGA SATUAN'!$C$7:$C$1492,0),0)),"",OFFSET('HARGA SATUAN'!$D$6,MATCH(RAB!C26,'HARGA SATUAN'!$C$7:$C$1492,0),0))</f>
        <v>JASA</v>
      </c>
      <c r="E26" s="354" t="str">
        <f ca="1">IF(B26="+","Unit",IF(ISERROR(OFFSET('HARGA SATUAN'!$E$6,MATCH(RAB!C26,'HARGA SATUAN'!$C$7:$C$1492,0),0)),"",OFFSET('HARGA SATUAN'!$E$6,MATCH(RAB!C26,'HARGA SATUAN'!$C$7:$C$1492,0),0)))</f>
        <v>Unit</v>
      </c>
      <c r="F26" s="498">
        <f>F22*1</f>
        <v>1</v>
      </c>
      <c r="G26" s="355">
        <f ca="1">IF(ISERROR(OFFSET('HARGA SATUAN'!$I$6,MATCH(RAB!C26,'HARGA SATUAN'!$C$7:$C$1492,0),0)),0,OFFSET('HARGA SATUAN'!$I$6,MATCH(RAB!C26,'HARGA SATUAN'!$C$7:$C$1492,0),0))</f>
        <v>54400</v>
      </c>
      <c r="H26" s="356">
        <f t="shared" ca="1" si="12"/>
        <v>0</v>
      </c>
      <c r="I26" s="356">
        <f t="shared" ca="1" si="13"/>
        <v>0</v>
      </c>
      <c r="J26" s="356">
        <f t="shared" ca="1" si="14"/>
        <v>54400</v>
      </c>
      <c r="K26" s="357">
        <f t="shared" ca="1" si="15"/>
        <v>54400</v>
      </c>
      <c r="L26" s="339"/>
      <c r="M26" s="339"/>
      <c r="N26" s="362"/>
      <c r="O26" s="341"/>
      <c r="P26" s="387"/>
      <c r="Q26" s="341"/>
    </row>
    <row r="27" spans="1:22">
      <c r="B27" s="364">
        <v>6</v>
      </c>
      <c r="C27" s="109" t="s">
        <v>982</v>
      </c>
      <c r="D27" s="353" t="str">
        <f ca="1">IF(ISERROR(OFFSET('HARGA SATUAN'!$D$6,MATCH(RAB!C27,'HARGA SATUAN'!$C$7:$C$1492,0),0)),"",OFFSET('HARGA SATUAN'!$D$6,MATCH(RAB!C27,'HARGA SATUAN'!$C$7:$C$1492,0),0))</f>
        <v>JASA</v>
      </c>
      <c r="E27" s="354" t="str">
        <f ca="1">IF(B27="+","Unit",IF(ISERROR(OFFSET('HARGA SATUAN'!$E$6,MATCH(RAB!C27,'HARGA SATUAN'!$C$7:$C$1492,0),0)),"",OFFSET('HARGA SATUAN'!$E$6,MATCH(RAB!C27,'HARGA SATUAN'!$C$7:$C$1492,0),0)))</f>
        <v>Unit</v>
      </c>
      <c r="F27" s="361">
        <v>1</v>
      </c>
      <c r="G27" s="355">
        <f ca="1">IF(ISERROR(OFFSET('HARGA SATUAN'!$I$6,MATCH(RAB!C27,'HARGA SATUAN'!$C$7:$C$1492,0),0)),0,OFFSET('HARGA SATUAN'!$I$6,MATCH(RAB!C27,'HARGA SATUAN'!$C$7:$C$1492,0),0))</f>
        <v>63840</v>
      </c>
      <c r="H27" s="356">
        <f t="shared" ca="1" si="12"/>
        <v>0</v>
      </c>
      <c r="I27" s="356">
        <f t="shared" ca="1" si="13"/>
        <v>0</v>
      </c>
      <c r="J27" s="356">
        <f t="shared" ca="1" si="14"/>
        <v>63840</v>
      </c>
      <c r="K27" s="357">
        <f t="shared" ca="1" si="15"/>
        <v>63840</v>
      </c>
    </row>
    <row r="28" spans="1:22">
      <c r="B28" s="364"/>
      <c r="C28" s="489"/>
      <c r="D28" s="353" t="str">
        <f ca="1">IF(ISERROR(OFFSET('HARGA SATUAN'!$D$6,MATCH(RAB!C28,'HARGA SATUAN'!$C$7:$C$1492,0),0)),"",OFFSET('HARGA SATUAN'!$D$6,MATCH(RAB!C28,'HARGA SATUAN'!$C$7:$C$1492,0),0))</f>
        <v/>
      </c>
      <c r="E28" s="354" t="str">
        <f ca="1">IF(B28="+","Unit",IF(ISERROR(OFFSET('HARGA SATUAN'!$E$6,MATCH(RAB!C28,'HARGA SATUAN'!$C$7:$C$1492,0),0)),"",OFFSET('HARGA SATUAN'!$E$6,MATCH(RAB!C28,'HARGA SATUAN'!$C$7:$C$1492,0),0)))</f>
        <v/>
      </c>
      <c r="F28" s="361"/>
      <c r="G28" s="355">
        <f ca="1">IF(ISERROR(OFFSET('HARGA SATUAN'!$I$6,MATCH(RAB!C28,'HARGA SATUAN'!$C$7:$C$1492,0),0)),0,OFFSET('HARGA SATUAN'!$I$6,MATCH(RAB!C28,'HARGA SATUAN'!$C$7:$C$1492,0),0))</f>
        <v>0</v>
      </c>
      <c r="H28" s="356">
        <f t="shared" ca="1" si="12"/>
        <v>0</v>
      </c>
      <c r="I28" s="356">
        <f t="shared" ca="1" si="13"/>
        <v>0</v>
      </c>
      <c r="J28" s="356">
        <f t="shared" ca="1" si="14"/>
        <v>0</v>
      </c>
      <c r="K28" s="357">
        <f t="shared" ca="1" si="15"/>
        <v>0</v>
      </c>
    </row>
    <row r="29" spans="1:22">
      <c r="B29" s="490" t="s">
        <v>1035</v>
      </c>
      <c r="C29" s="493" t="s">
        <v>1615</v>
      </c>
      <c r="D29" s="353" t="str">
        <f ca="1">IF(ISERROR(OFFSET('HARGA SATUAN'!$D$6,MATCH(RAB!C29,'HARGA SATUAN'!$C$7:$C$1492,0),0)),"",OFFSET('HARGA SATUAN'!$D$6,MATCH(RAB!C29,'HARGA SATUAN'!$C$7:$C$1492,0),0))</f>
        <v/>
      </c>
      <c r="E29" s="354" t="str">
        <f ca="1">IF(B29="+","Unit",IF(ISERROR(OFFSET('HARGA SATUAN'!$E$6,MATCH(RAB!C29,'HARGA SATUAN'!$C$7:$C$1492,0),0)),"",OFFSET('HARGA SATUAN'!$E$6,MATCH(RAB!C29,'HARGA SATUAN'!$C$7:$C$1492,0),0)))</f>
        <v>Unit</v>
      </c>
      <c r="F29" s="495">
        <v>1</v>
      </c>
      <c r="G29" s="355">
        <f ca="1">IF(ISERROR(OFFSET('HARGA SATUAN'!$I$6,MATCH(RAB!C29,'HARGA SATUAN'!$C$7:$C$1492,0),0)),0,OFFSET('HARGA SATUAN'!$I$6,MATCH(RAB!C29,'HARGA SATUAN'!$C$7:$C$1492,0),0))</f>
        <v>0</v>
      </c>
      <c r="H29" s="356">
        <f t="shared" ref="H29:H40" ca="1" si="16">IF(OR(D29="MDU",D29="MDU-KD"),(IF($O$3="RAB NON MDU","PLN KD",G29*F29)),0)</f>
        <v>0</v>
      </c>
      <c r="I29" s="356">
        <f t="shared" ref="I29:I40" ca="1" si="17">IF(D29="HDW",G29*F29,0)</f>
        <v>0</v>
      </c>
      <c r="J29" s="356">
        <f t="shared" ref="J29:J40" ca="1" si="18">IF(D29="JASA",G29*F29,0)</f>
        <v>0</v>
      </c>
      <c r="K29" s="357">
        <f t="shared" ref="K29:K40" ca="1" si="19">SUM(H29:J29)</f>
        <v>0</v>
      </c>
    </row>
    <row r="30" spans="1:22">
      <c r="B30" s="490">
        <v>1</v>
      </c>
      <c r="C30" s="493" t="s">
        <v>115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Set</v>
      </c>
      <c r="F30" s="495">
        <v>1</v>
      </c>
      <c r="G30" s="355">
        <f ca="1">IF(ISERROR(OFFSET('HARGA SATUAN'!$I$6,MATCH(RAB!C30,'HARGA SATUAN'!$C$7:$C$1492,0),0)),0,OFFSET('HARGA SATUAN'!$I$6,MATCH(RAB!C30,'HARGA SATUAN'!$C$7:$C$1492,0),0))</f>
        <v>11500</v>
      </c>
      <c r="H30" s="356">
        <f t="shared" ca="1" si="16"/>
        <v>0</v>
      </c>
      <c r="I30" s="356">
        <f t="shared" ca="1" si="17"/>
        <v>11500</v>
      </c>
      <c r="J30" s="356">
        <f t="shared" ca="1" si="18"/>
        <v>0</v>
      </c>
      <c r="K30" s="357">
        <f t="shared" ca="1" si="19"/>
        <v>11500</v>
      </c>
    </row>
    <row r="31" spans="1:22">
      <c r="B31" s="490">
        <v>2</v>
      </c>
      <c r="C31" s="493" t="s">
        <v>145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Set</v>
      </c>
      <c r="F31" s="495">
        <v>1</v>
      </c>
      <c r="G31" s="355">
        <f ca="1">IF(ISERROR(OFFSET('HARGA SATUAN'!$I$6,MATCH(RAB!C31,'HARGA SATUAN'!$C$7:$C$1492,0),0)),0,OFFSET('HARGA SATUAN'!$I$6,MATCH(RAB!C31,'HARGA SATUAN'!$C$7:$C$1492,0),0))</f>
        <v>6200</v>
      </c>
      <c r="H31" s="356">
        <f t="shared" ca="1" si="16"/>
        <v>0</v>
      </c>
      <c r="I31" s="356">
        <f t="shared" ca="1" si="17"/>
        <v>6200</v>
      </c>
      <c r="J31" s="356">
        <f t="shared" ca="1" si="18"/>
        <v>0</v>
      </c>
      <c r="K31" s="357">
        <f t="shared" ca="1" si="19"/>
        <v>6200</v>
      </c>
    </row>
    <row r="32" spans="1:22">
      <c r="B32" s="490">
        <v>3</v>
      </c>
      <c r="C32" s="493" t="s">
        <v>587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Btg</v>
      </c>
      <c r="F32" s="495">
        <v>1</v>
      </c>
      <c r="G32" s="355">
        <f ca="1">IF(ISERROR(OFFSET('HARGA SATUAN'!$I$6,MATCH(RAB!C32,'HARGA SATUAN'!$C$7:$C$1492,0),0)),0,OFFSET('HARGA SATUAN'!$I$6,MATCH(RAB!C32,'HARGA SATUAN'!$C$7:$C$1492,0),0))</f>
        <v>45796</v>
      </c>
      <c r="H32" s="356">
        <f t="shared" ca="1" si="16"/>
        <v>0</v>
      </c>
      <c r="I32" s="356">
        <f t="shared" ca="1" si="17"/>
        <v>45796</v>
      </c>
      <c r="J32" s="356">
        <f t="shared" ca="1" si="18"/>
        <v>0</v>
      </c>
      <c r="K32" s="357">
        <f t="shared" ca="1" si="19"/>
        <v>45796</v>
      </c>
    </row>
    <row r="33" spans="2:13">
      <c r="B33" s="490">
        <v>4</v>
      </c>
      <c r="C33" s="493" t="s">
        <v>118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Set</v>
      </c>
      <c r="F33" s="495">
        <v>1</v>
      </c>
      <c r="G33" s="355">
        <f ca="1">IF(ISERROR(OFFSET('HARGA SATUAN'!$I$6,MATCH(RAB!C33,'HARGA SATUAN'!$C$7:$C$1492,0),0)),0,OFFSET('HARGA SATUAN'!$I$6,MATCH(RAB!C33,'HARGA SATUAN'!$C$7:$C$1492,0),0))</f>
        <v>5300</v>
      </c>
      <c r="H33" s="356">
        <f t="shared" ca="1" si="16"/>
        <v>0</v>
      </c>
      <c r="I33" s="356">
        <f t="shared" ca="1" si="17"/>
        <v>5300</v>
      </c>
      <c r="J33" s="356">
        <f t="shared" ca="1" si="18"/>
        <v>0</v>
      </c>
      <c r="K33" s="357">
        <f t="shared" ca="1" si="19"/>
        <v>5300</v>
      </c>
    </row>
    <row r="34" spans="2:13">
      <c r="B34" s="490">
        <v>5</v>
      </c>
      <c r="C34" s="493" t="s">
        <v>117</v>
      </c>
      <c r="D34" s="353" t="str">
        <f ca="1">IF(ISERROR(OFFSET('HARGA SATUAN'!$D$6,MATCH(RAB!C34,'HARGA SATUAN'!$C$7:$C$1492,0),0)),"",OFFSET('HARGA SATUAN'!$D$6,MATCH(RAB!C34,'HARGA SATUAN'!$C$7:$C$1492,0),0))</f>
        <v>HDW</v>
      </c>
      <c r="E34" s="354" t="str">
        <f ca="1">IF(B34="+","Unit",IF(ISERROR(OFFSET('HARGA SATUAN'!$E$6,MATCH(RAB!C34,'HARGA SATUAN'!$C$7:$C$1492,0),0)),"",OFFSET('HARGA SATUAN'!$E$6,MATCH(RAB!C34,'HARGA SATUAN'!$C$7:$C$1492,0),0)))</f>
        <v>Bh</v>
      </c>
      <c r="F34" s="495">
        <v>1</v>
      </c>
      <c r="G34" s="355">
        <f ca="1">IF(ISERROR(OFFSET('HARGA SATUAN'!$I$6,MATCH(RAB!C34,'HARGA SATUAN'!$C$7:$C$1492,0),0)),0,OFFSET('HARGA SATUAN'!$I$6,MATCH(RAB!C34,'HARGA SATUAN'!$C$7:$C$1492,0),0))</f>
        <v>58600</v>
      </c>
      <c r="H34" s="356">
        <f t="shared" ca="1" si="16"/>
        <v>0</v>
      </c>
      <c r="I34" s="356">
        <f t="shared" ca="1" si="17"/>
        <v>58600</v>
      </c>
      <c r="J34" s="356">
        <f t="shared" ca="1" si="18"/>
        <v>0</v>
      </c>
      <c r="K34" s="357">
        <f t="shared" ca="1" si="19"/>
        <v>58600</v>
      </c>
    </row>
    <row r="35" spans="2:13">
      <c r="B35" s="490">
        <v>6</v>
      </c>
      <c r="C35" s="109" t="s">
        <v>1155</v>
      </c>
      <c r="D35" s="353" t="str">
        <f ca="1">IF(ISERROR(OFFSET('HARGA SATUAN'!$D$6,MATCH(RAB!C35,'HARGA SATUAN'!$C$7:$C$1492,0),0)),"",OFFSET('HARGA SATUAN'!$D$6,MATCH(RAB!C35,'HARGA SATUAN'!$C$7:$C$1492,0),0))</f>
        <v>HDW</v>
      </c>
      <c r="E35" s="354" t="str">
        <f ca="1">IF(B35="+","Unit",IF(ISERROR(OFFSET('HARGA SATUAN'!$E$6,MATCH(RAB!C35,'HARGA SATUAN'!$C$7:$C$1492,0),0)),"",OFFSET('HARGA SATUAN'!$E$6,MATCH(RAB!C35,'HARGA SATUAN'!$C$7:$C$1492,0),0)))</f>
        <v>Set</v>
      </c>
      <c r="F35" s="495">
        <v>2</v>
      </c>
      <c r="G35" s="355">
        <f ca="1">IF(ISERROR(OFFSET('HARGA SATUAN'!$I$6,MATCH(RAB!C35,'HARGA SATUAN'!$C$7:$C$1492,0),0)),0,OFFSET('HARGA SATUAN'!$I$6,MATCH(RAB!C35,'HARGA SATUAN'!$C$7:$C$1492,0),0))</f>
        <v>2900</v>
      </c>
      <c r="H35" s="356">
        <f t="shared" ca="1" si="16"/>
        <v>0</v>
      </c>
      <c r="I35" s="356">
        <f t="shared" ca="1" si="17"/>
        <v>5800</v>
      </c>
      <c r="J35" s="356">
        <f t="shared" ca="1" si="18"/>
        <v>0</v>
      </c>
      <c r="K35" s="357">
        <f t="shared" ca="1" si="19"/>
        <v>5800</v>
      </c>
    </row>
    <row r="36" spans="2:13">
      <c r="B36" s="490">
        <v>7</v>
      </c>
      <c r="C36" s="493" t="s">
        <v>119</v>
      </c>
      <c r="D36" s="353" t="str">
        <f ca="1">IF(ISERROR(OFFSET('HARGA SATUAN'!$D$6,MATCH(RAB!C36,'HARGA SATUAN'!$C$7:$C$1492,0),0)),"",OFFSET('HARGA SATUAN'!$D$6,MATCH(RAB!C36,'HARGA SATUAN'!$C$7:$C$1492,0),0))</f>
        <v>HDW</v>
      </c>
      <c r="E36" s="354" t="str">
        <f ca="1">IF(B36="+","Unit",IF(ISERROR(OFFSET('HARGA SATUAN'!$E$6,MATCH(RAB!C36,'HARGA SATUAN'!$C$7:$C$1492,0),0)),"",OFFSET('HARGA SATUAN'!$E$6,MATCH(RAB!C36,'HARGA SATUAN'!$C$7:$C$1492,0),0)))</f>
        <v>Set</v>
      </c>
      <c r="F36" s="495">
        <v>4</v>
      </c>
      <c r="G36" s="355">
        <f ca="1">IF(ISERROR(OFFSET('HARGA SATUAN'!$I$6,MATCH(RAB!C36,'HARGA SATUAN'!$C$7:$C$1492,0),0)),0,OFFSET('HARGA SATUAN'!$I$6,MATCH(RAB!C36,'HARGA SATUAN'!$C$7:$C$1492,0),0))</f>
        <v>8900</v>
      </c>
      <c r="H36" s="356">
        <f t="shared" ca="1" si="16"/>
        <v>0</v>
      </c>
      <c r="I36" s="356">
        <f t="shared" ca="1" si="17"/>
        <v>35600</v>
      </c>
      <c r="J36" s="356">
        <f t="shared" ca="1" si="18"/>
        <v>0</v>
      </c>
      <c r="K36" s="357">
        <f t="shared" ca="1" si="19"/>
        <v>35600</v>
      </c>
    </row>
    <row r="37" spans="2:13">
      <c r="B37" s="364"/>
      <c r="C37" s="489"/>
      <c r="D37" s="353" t="str">
        <f ca="1">IF(ISERROR(OFFSET('HARGA SATUAN'!$D$6,MATCH(RAB!C37,'HARGA SATUAN'!$C$7:$C$1492,0),0)),"",OFFSET('HARGA SATUAN'!$D$6,MATCH(RAB!C37,'HARGA SATUAN'!$C$7:$C$1492,0),0))</f>
        <v/>
      </c>
      <c r="E37" s="354" t="str">
        <f ca="1">IF(B37="+","Unit",IF(ISERROR(OFFSET('HARGA SATUAN'!$E$6,MATCH(RAB!C37,'HARGA SATUAN'!$C$7:$C$1492,0),0)),"",OFFSET('HARGA SATUAN'!$E$6,MATCH(RAB!C37,'HARGA SATUAN'!$C$7:$C$1492,0),0)))</f>
        <v/>
      </c>
      <c r="F37" s="361"/>
      <c r="G37" s="355">
        <f ca="1">IF(ISERROR(OFFSET('HARGA SATUAN'!$I$6,MATCH(RAB!C37,'HARGA SATUAN'!$C$7:$C$1492,0),0)),0,OFFSET('HARGA SATUAN'!$I$6,MATCH(RAB!C37,'HARGA SATUAN'!$C$7:$C$1492,0),0))</f>
        <v>0</v>
      </c>
      <c r="H37" s="356">
        <f t="shared" ca="1" si="16"/>
        <v>0</v>
      </c>
      <c r="I37" s="356">
        <f t="shared" ca="1" si="17"/>
        <v>0</v>
      </c>
      <c r="J37" s="356">
        <f t="shared" ca="1" si="18"/>
        <v>0</v>
      </c>
      <c r="K37" s="357">
        <f t="shared" ca="1" si="19"/>
        <v>0</v>
      </c>
    </row>
    <row r="38" spans="2:13">
      <c r="B38" s="364"/>
      <c r="C38" s="483" t="s">
        <v>1622</v>
      </c>
      <c r="D38" s="353"/>
      <c r="E38" s="354"/>
      <c r="F38" s="361"/>
      <c r="G38" s="355"/>
      <c r="H38" s="356"/>
      <c r="I38" s="356"/>
      <c r="J38" s="356"/>
      <c r="K38" s="357"/>
    </row>
    <row r="39" spans="2:13">
      <c r="B39" s="364">
        <v>1</v>
      </c>
      <c r="C39" s="109" t="s">
        <v>433</v>
      </c>
      <c r="D39" s="353" t="str">
        <f ca="1">IF(ISERROR(OFFSET('HARGA SATUAN'!$D$6,MATCH(RAB!C39,'HARGA SATUAN'!$C$7:$C$1492,0),0)),"",OFFSET('HARGA SATUAN'!$D$6,MATCH(RAB!C39,'HARGA SATUAN'!$C$7:$C$1492,0),0))</f>
        <v>JASA</v>
      </c>
      <c r="E39" s="354" t="str">
        <f ca="1">IF(B39="+","Unit",IF(ISERROR(OFFSET('HARGA SATUAN'!$E$6,MATCH(RAB!C39,'HARGA SATUAN'!$C$7:$C$1492,0),0)),"",OFFSET('HARGA SATUAN'!$E$6,MATCH(RAB!C39,'HARGA SATUAN'!$C$7:$C$1492,0),0)))</f>
        <v>Btg</v>
      </c>
      <c r="F39" s="361">
        <v>2</v>
      </c>
      <c r="G39" s="355">
        <f ca="1">IF(ISERROR(OFFSET('HARGA SATUAN'!$I$6,MATCH(RAB!C39,'HARGA SATUAN'!$C$7:$C$1492,0),0)),0,OFFSET('HARGA SATUAN'!$I$6,MATCH(RAB!C39,'HARGA SATUAN'!$C$7:$C$1492,0),0))</f>
        <v>309000</v>
      </c>
      <c r="H39" s="356">
        <f t="shared" ca="1" si="16"/>
        <v>0</v>
      </c>
      <c r="I39" s="356">
        <f t="shared" ca="1" si="17"/>
        <v>0</v>
      </c>
      <c r="J39" s="356">
        <f t="shared" ca="1" si="18"/>
        <v>618000</v>
      </c>
      <c r="K39" s="357">
        <f t="shared" ca="1" si="19"/>
        <v>618000</v>
      </c>
    </row>
    <row r="40" spans="2:13">
      <c r="B40" s="364">
        <v>2</v>
      </c>
      <c r="C40" s="109" t="s">
        <v>426</v>
      </c>
      <c r="D40" s="353" t="str">
        <f ca="1">IF(ISERROR(OFFSET('HARGA SATUAN'!$D$6,MATCH(RAB!C40,'HARGA SATUAN'!$C$7:$C$1492,0),0)),"",OFFSET('HARGA SATUAN'!$D$6,MATCH(RAB!C40,'HARGA SATUAN'!$C$7:$C$1492,0),0))</f>
        <v>JASA</v>
      </c>
      <c r="E40" s="354" t="str">
        <f ca="1">IF(B40="+","Unit",IF(ISERROR(OFFSET('HARGA SATUAN'!$E$6,MATCH(RAB!C40,'HARGA SATUAN'!$C$7:$C$1492,0),0)),"",OFFSET('HARGA SATUAN'!$E$6,MATCH(RAB!C40,'HARGA SATUAN'!$C$7:$C$1492,0),0)))</f>
        <v>Per 50 m</v>
      </c>
      <c r="F40" s="361">
        <v>2</v>
      </c>
      <c r="G40" s="355">
        <f ca="1">IF(ISERROR(OFFSET('HARGA SATUAN'!$I$6,MATCH(RAB!C40,'HARGA SATUAN'!$C$7:$C$1492,0),0)),0,OFFSET('HARGA SATUAN'!$I$6,MATCH(RAB!C40,'HARGA SATUAN'!$C$7:$C$1492,0),0))</f>
        <v>134100</v>
      </c>
      <c r="H40" s="356">
        <f t="shared" ca="1" si="16"/>
        <v>0</v>
      </c>
      <c r="I40" s="356">
        <f t="shared" ca="1" si="17"/>
        <v>0</v>
      </c>
      <c r="J40" s="356">
        <f t="shared" ca="1" si="18"/>
        <v>268200</v>
      </c>
      <c r="K40" s="357">
        <f t="shared" ca="1" si="19"/>
        <v>268200</v>
      </c>
    </row>
    <row r="41" spans="2:13">
      <c r="B41" s="364"/>
      <c r="C41" s="489"/>
      <c r="D41" s="353"/>
      <c r="E41" s="354"/>
      <c r="F41" s="361"/>
      <c r="G41" s="355"/>
      <c r="H41" s="356"/>
      <c r="I41" s="356"/>
      <c r="J41" s="356"/>
      <c r="K41" s="357"/>
    </row>
    <row r="42" spans="2:13">
      <c r="B42" s="365"/>
      <c r="C42" s="366" t="s">
        <v>475</v>
      </c>
      <c r="D42" s="353" t="str">
        <f ca="1">IF(ISERROR(OFFSET('HARGA SATUAN'!$D$6,MATCH(RAB!C42,'HARGA SATUAN'!$C$7:$C$1492,0),0)),"",OFFSET('HARGA SATUAN'!$D$6,MATCH(RAB!C42,'HARGA SATUAN'!$C$7:$C$1492,0),0))</f>
        <v/>
      </c>
      <c r="E42" s="354" t="str">
        <f ca="1">IF(B42="+","Unit",IF(ISERROR(OFFSET('HARGA SATUAN'!$E$6,MATCH(RAB!C42,'HARGA SATUAN'!$C$7:$C$1492,0),0)),"",OFFSET('HARGA SATUAN'!$E$6,MATCH(RAB!C42,'HARGA SATUAN'!$C$7:$C$1492,0),0)))</f>
        <v/>
      </c>
      <c r="F42" s="361"/>
      <c r="G42" s="355">
        <f ca="1">IF(ISERROR(OFFSET('HARGA SATUAN'!$I$6,MATCH(RAB!C42,'HARGA SATUAN'!$C$7:$C$1492,0),0)),0,OFFSET('HARGA SATUAN'!$I$6,MATCH(RAB!C42,'HARGA SATUAN'!$C$7:$C$1492,0),0))</f>
        <v>0</v>
      </c>
      <c r="H42" s="356">
        <f t="shared" ref="H42" ca="1" si="20">IF(OR(D42="MDU",D42="MDU-KD"),(IF($O$3="RAB NON MDU","PLN KD",G42*F42)),0)</f>
        <v>0</v>
      </c>
      <c r="I42" s="356">
        <f t="shared" ref="I42" ca="1" si="21">IF(D42="HDW",G42*F42,0)</f>
        <v>0</v>
      </c>
      <c r="J42" s="356">
        <f t="shared" ref="J42" ca="1" si="22">IF(D42="JASA",G42*F42,0)</f>
        <v>0</v>
      </c>
      <c r="K42" s="357">
        <f t="shared" ref="K42" ca="1" si="23">SUM(H42:J42)</f>
        <v>0</v>
      </c>
    </row>
    <row r="43" spans="2:13">
      <c r="B43" s="368">
        <v>1</v>
      </c>
      <c r="C43" s="369" t="s">
        <v>1091</v>
      </c>
      <c r="D43" s="370" t="str">
        <f ca="1">IF(ISERROR(OFFSET('HARGA SATUAN'!$D$6,MATCH(RAB!C43,'HARGA SATUAN'!$C$7:$C$1492,0),0)),"",OFFSET('HARGA SATUAN'!$D$6,MATCH(RAB!C43,'HARGA SATUAN'!$C$7:$C$1492,0),0))</f>
        <v>JASA</v>
      </c>
      <c r="E43" s="371" t="str">
        <f ca="1">IF(ISERROR(OFFSET('HARGA SATUAN'!$E$6,MATCH(RAB!C43,'HARGA SATUAN'!$C$7:$C$1492,0),0)),"",OFFSET('HARGA SATUAN'!$E$6,MATCH(RAB!C43,'HARGA SATUAN'!$C$7:$C$1492,0),0))</f>
        <v>Lot</v>
      </c>
      <c r="F43" s="372">
        <v>1</v>
      </c>
      <c r="G43" s="373">
        <f ca="1">IF(ISERROR(OFFSET('HARGA SATUAN'!$I$6,MATCH(RAB!C43,'HARGA SATUAN'!$C$7:$C$1492,0),0)),0,OFFSET('HARGA SATUAN'!$I$6,MATCH(RAB!C43,'HARGA SATUAN'!$C$7:$C$1492,0),0))</f>
        <v>2.5000000000000001E-2</v>
      </c>
      <c r="H43" s="374"/>
      <c r="I43" s="374"/>
      <c r="J43" s="374">
        <f ca="1">SUM(K14:K42)*G43</f>
        <v>42258.400000000001</v>
      </c>
      <c r="K43" s="375">
        <f ca="1">SUM(H43:J43)</f>
        <v>42258.400000000001</v>
      </c>
    </row>
    <row r="44" spans="2:13">
      <c r="B44" s="376"/>
      <c r="C44" s="377"/>
      <c r="D44" s="353" t="str">
        <f ca="1">IF(ISERROR(OFFSET('HARGA SATUAN'!$D$6,MATCH(RAB!C44,'HARGA SATUAN'!$C$7:$C$1492,0),0)),"",OFFSET('HARGA SATUAN'!$D$6,MATCH(RAB!C44,'HARGA SATUAN'!$C$7:$C$1492,0),0))</f>
        <v/>
      </c>
      <c r="E44" s="354" t="str">
        <f ca="1">IF(ISERROR(OFFSET('HARGA SATUAN'!$E$6,MATCH(RAB!C44,'HARGA SATUAN'!$C$7:$C$1492,0),0)),"",OFFSET('HARGA SATUAN'!$E$6,MATCH(RAB!C44,'HARGA SATUAN'!$C$7:$C$1492,0),0))</f>
        <v/>
      </c>
      <c r="F44" s="367"/>
      <c r="G44" s="355" t="str">
        <f ca="1">IF(ISERROR(OFFSET('HARGA SATUAN'!$I$6,MATCH(RAB!C44,'HARGA SATUAN'!$C$7:$C$1492,0),0)),"",OFFSET('HARGA SATUAN'!$I$6,MATCH(RAB!C44,'HARGA SATUAN'!$C$7:$C$1492,0),0))</f>
        <v/>
      </c>
      <c r="H44" s="356">
        <f ca="1">IF(OR(D44="MDU",D44="MDU-KD"),IF(G44="PLN",0,G44*F44),0)</f>
        <v>0</v>
      </c>
      <c r="I44" s="356">
        <f ca="1">IF(D44="HDW",IF(G44="PLN",0,G44*F44),0)</f>
        <v>0</v>
      </c>
      <c r="J44" s="356">
        <f ca="1">IF(D44="JASA",IF(G44="PLN",0,G44*F44),0)</f>
        <v>0</v>
      </c>
      <c r="K44" s="357">
        <f ca="1">SUM(H44:J44)</f>
        <v>0</v>
      </c>
    </row>
    <row r="45" spans="2:13" ht="15.75" thickBot="1">
      <c r="B45" s="378"/>
      <c r="C45" s="379"/>
      <c r="D45" s="380"/>
      <c r="E45" s="381"/>
      <c r="F45" s="381"/>
      <c r="G45" s="381"/>
      <c r="H45" s="382"/>
      <c r="I45" s="382"/>
      <c r="J45" s="382"/>
      <c r="K45" s="383"/>
    </row>
    <row r="46" spans="2:13">
      <c r="B46" s="384"/>
      <c r="C46" s="599" t="s">
        <v>1008</v>
      </c>
      <c r="D46" s="599"/>
      <c r="E46" s="599"/>
      <c r="F46" s="599"/>
      <c r="G46" s="385" t="s">
        <v>9</v>
      </c>
      <c r="H46" s="386">
        <f ca="1">SUM(H14:H44)</f>
        <v>517100</v>
      </c>
      <c r="I46" s="386">
        <f ca="1">SUM(I14:I44)</f>
        <v>168796</v>
      </c>
      <c r="J46" s="386">
        <f ca="1">SUM(J14:J44)</f>
        <v>1046698.4</v>
      </c>
      <c r="K46" s="386">
        <f ca="1">SUM(K14:K44)</f>
        <v>1732594.4</v>
      </c>
    </row>
    <row r="47" spans="2:13">
      <c r="B47" s="388"/>
      <c r="C47" s="615" t="s">
        <v>1457</v>
      </c>
      <c r="D47" s="615"/>
      <c r="E47" s="615"/>
      <c r="F47" s="615"/>
      <c r="G47" s="389" t="s">
        <v>9</v>
      </c>
      <c r="H47" s="390">
        <f ca="1">H46*0.11</f>
        <v>56881</v>
      </c>
      <c r="I47" s="390">
        <f ca="1">I46*0.11</f>
        <v>18567.560000000001</v>
      </c>
      <c r="J47" s="390">
        <f ca="1">J46*0.11</f>
        <v>115136.82400000001</v>
      </c>
      <c r="K47" s="390">
        <f ca="1">K46*0.11</f>
        <v>190585.38399999999</v>
      </c>
    </row>
    <row r="48" spans="2:13" ht="15.75" thickBot="1">
      <c r="B48" s="388"/>
      <c r="C48" s="613" t="s">
        <v>463</v>
      </c>
      <c r="D48" s="613"/>
      <c r="E48" s="613"/>
      <c r="F48" s="613"/>
      <c r="G48" s="391" t="s">
        <v>9</v>
      </c>
      <c r="H48" s="392">
        <f ca="1">SUM(H46:H47)</f>
        <v>573981</v>
      </c>
      <c r="I48" s="392">
        <f ca="1">SUM(I46:I47)</f>
        <v>187363.56</v>
      </c>
      <c r="J48" s="391">
        <f ca="1">SUM(J46:J47)</f>
        <v>1161835.2239999999</v>
      </c>
      <c r="K48" s="391">
        <f ca="1">SUM(K46:K47)</f>
        <v>1923179.784</v>
      </c>
      <c r="M48" s="470"/>
    </row>
    <row r="49" spans="2:11">
      <c r="B49" s="616" t="str">
        <f ca="1">"Terbilang : "&amp;PROPER(IF(K48=0,"nol",IF(K48&lt;0,"minus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IF(--MID(TEXT(ABS(K48),"000000000000000"),1,3)=0,"",MID(TEXT(ABS(K48),"000000000000000"),1,1)&amp;" ratus "&amp;MID(TEXT(ABS(K48),"000000000000000"),2,1)&amp;" puluh "&amp;MID(TEXT(ABS(K48),"000000000000000"),3,1)&amp;" trilyun ")&amp; IF(--MID(TEXT(ABS(K48),"000000000000000"),4,3)=0,"",MID(TEXT(ABS(K48),"000000000000000"),4,1)&amp;" ratus "&amp;MID(TEXT(ABS(K48),"000000000000000"),5,1)&amp;" puluh "&amp;MID(TEXT(ABS(K48),"000000000000000"),6,1)&amp;" milyar ")&amp; IF(--MID(TEXT(ABS(K48),"000000000000000"),7,3)=0,"",MID(TEXT(ABS(K48),"000000000000000"),7,1)&amp;" ratus "&amp;MID(TEXT(ABS(K48),"000000000000000"),8,1)&amp;" puluh "&amp;MID(TEXT(ABS(K48),"000000000000000"),9,1)&amp;" juta ")&amp; IF(--MID(TEXT(ABS(K48),"000000000000000"),10,3)=0,"",IF(--MID(TEXT(ABS(K48),"000000000000000"),10,3)=1,"*",MID(TEXT(ABS(K48),"000000000000000"),10,1)&amp;" ratus "&amp;MID(TEXT(ABS(K48),"000000000000000"),11,1)&amp;" puluh ")&amp;MID(TEXT(ABS(K48),"000000000000000"),12,1)&amp;" ribu ")&amp; IF(--MID(TEXT(ABS(K48),"000000000000000"),13,3)=0,"",MID(TEXT(ABS(K48),"000000000000000"),13,1)&amp;" ratus "&amp;MID(TEXT(ABS(K48),"000000000000000"),14,1)&amp;" puluh "&amp;MID(TEXT(ABS(K48),"000000000000000"),15,1)),1,"satu"),2,"dua"),3,"tiga"),4,"empat"),5,"lima"),6,"enam"),7,"tujuh"),8,"delapan"),9,"sembilan"),"0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Satu Juta Sembilan Ratus Dua Puluh Tiga Ribu Seratus Delapan Puluh Rupiah</v>
      </c>
      <c r="C49" s="617"/>
      <c r="D49" s="617"/>
      <c r="E49" s="617"/>
      <c r="F49" s="617"/>
      <c r="G49" s="617"/>
      <c r="H49" s="617"/>
      <c r="I49" s="617"/>
      <c r="J49" s="617"/>
      <c r="K49" s="618"/>
    </row>
    <row r="50" spans="2:11">
      <c r="B50" s="619"/>
      <c r="C50" s="620"/>
      <c r="D50" s="620"/>
      <c r="E50" s="620"/>
      <c r="F50" s="620"/>
      <c r="G50" s="620"/>
      <c r="H50" s="620"/>
      <c r="I50" s="620"/>
      <c r="J50" s="620"/>
      <c r="K50" s="621"/>
    </row>
    <row r="51" spans="2:11" ht="15.75" thickBot="1">
      <c r="B51" s="393" t="str">
        <f>"Harga yang dipakai adalah "&amp;'HARGA SATUAN'!I5&amp;""</f>
        <v>Harga yang dipakai adalah RAB HSS 2023</v>
      </c>
      <c r="C51" s="394"/>
      <c r="D51" s="395"/>
      <c r="E51" s="395"/>
      <c r="F51" s="395"/>
      <c r="G51" s="396"/>
      <c r="H51" s="396"/>
      <c r="I51" s="396"/>
      <c r="J51" s="396"/>
      <c r="K51" s="397"/>
    </row>
    <row r="52" spans="2:11">
      <c r="C52" s="398"/>
      <c r="E52" s="400"/>
      <c r="F52" s="400"/>
      <c r="G52" s="400"/>
    </row>
    <row r="53" spans="2:11">
      <c r="C53" s="334"/>
      <c r="E53" s="400"/>
      <c r="F53" s="400"/>
      <c r="G53" s="400"/>
      <c r="H53" s="622"/>
      <c r="I53" s="622"/>
      <c r="J53" s="623"/>
      <c r="K53" s="623"/>
    </row>
    <row r="54" spans="2:11">
      <c r="C54" s="334"/>
      <c r="E54" s="400"/>
      <c r="F54" s="400"/>
      <c r="G54" s="400"/>
      <c r="H54" s="401"/>
      <c r="I54" s="612" t="s">
        <v>1618</v>
      </c>
      <c r="J54" s="612"/>
      <c r="K54" s="612"/>
    </row>
    <row r="55" spans="2:11">
      <c r="C55" s="334"/>
      <c r="E55" s="400"/>
      <c r="F55" s="400"/>
      <c r="G55" s="400"/>
      <c r="H55" s="401"/>
      <c r="I55" s="612" t="s">
        <v>1619</v>
      </c>
      <c r="J55" s="612"/>
      <c r="K55" s="612"/>
    </row>
    <row r="56" spans="2:11">
      <c r="C56" s="334"/>
      <c r="E56" s="400"/>
      <c r="F56" s="400"/>
      <c r="G56" s="400"/>
      <c r="H56" s="402"/>
      <c r="I56" s="403"/>
      <c r="J56" s="403"/>
      <c r="K56" s="403"/>
    </row>
    <row r="57" spans="2:11">
      <c r="C57" s="334"/>
      <c r="E57" s="400"/>
      <c r="F57" s="400"/>
      <c r="G57" s="400"/>
      <c r="H57" s="402"/>
      <c r="I57" s="402"/>
      <c r="J57" s="402"/>
      <c r="K57" s="402"/>
    </row>
    <row r="58" spans="2:11">
      <c r="C58" s="334"/>
      <c r="E58" s="400"/>
      <c r="F58" s="400"/>
      <c r="G58" s="400"/>
      <c r="H58" s="402"/>
      <c r="I58" s="402"/>
      <c r="J58" s="402"/>
      <c r="K58" s="402"/>
    </row>
    <row r="59" spans="2:11">
      <c r="C59" s="334"/>
      <c r="E59" s="400"/>
      <c r="F59" s="400"/>
      <c r="G59" s="400"/>
      <c r="H59" s="402"/>
      <c r="I59" s="402"/>
      <c r="J59" s="402"/>
      <c r="K59" s="402"/>
    </row>
    <row r="60" spans="2:11">
      <c r="C60" s="334"/>
      <c r="E60" s="400"/>
      <c r="F60" s="400"/>
      <c r="G60" s="400"/>
      <c r="H60" s="404"/>
      <c r="I60" s="612" t="s">
        <v>1620</v>
      </c>
      <c r="J60" s="612"/>
      <c r="K60" s="612"/>
    </row>
    <row r="61" spans="2:11">
      <c r="C61" s="398"/>
      <c r="E61" s="400"/>
      <c r="F61" s="400"/>
      <c r="G61" s="400"/>
      <c r="H61" s="402"/>
      <c r="I61" s="402"/>
      <c r="J61" s="402"/>
      <c r="K61" s="402"/>
    </row>
    <row r="62" spans="2:11">
      <c r="C62" s="398"/>
      <c r="E62" s="400"/>
      <c r="F62" s="400"/>
      <c r="G62" s="400"/>
      <c r="H62" s="402"/>
      <c r="I62" s="402"/>
      <c r="J62" s="402"/>
      <c r="K62" s="402"/>
    </row>
    <row r="63" spans="2:11">
      <c r="C63" s="398"/>
      <c r="E63" s="400"/>
      <c r="F63" s="400"/>
      <c r="G63" s="400"/>
      <c r="H63" s="402"/>
      <c r="I63" s="402"/>
      <c r="J63" s="402"/>
      <c r="K63" s="402"/>
    </row>
  </sheetData>
  <sheetProtection sort="0" autoFilter="0"/>
  <protectedRanges>
    <protectedRange sqref="B27:B41" name="Range1_1"/>
    <protectedRange sqref="F14:F21 F27:F42" name="Range1_1_2_2"/>
    <protectedRange sqref="C17:C18" name="Range1_1_3"/>
    <protectedRange sqref="C19" name="Range1_1_3_2"/>
    <protectedRange sqref="B22:C25 B26" name="Range1_6_1"/>
    <protectedRange sqref="C26" name="Range1_1_3_1"/>
    <protectedRange sqref="C39" name="Range1_1_3_3"/>
    <protectedRange sqref="C40" name="Range1_1_3_4"/>
  </protectedRanges>
  <mergeCells count="22">
    <mergeCell ref="I55:K55"/>
    <mergeCell ref="I60:K60"/>
    <mergeCell ref="C48:F48"/>
    <mergeCell ref="G6:K6"/>
    <mergeCell ref="I54:K54"/>
    <mergeCell ref="C47:F47"/>
    <mergeCell ref="B49:K50"/>
    <mergeCell ref="H53:K53"/>
    <mergeCell ref="H11:K11"/>
    <mergeCell ref="H12:H13"/>
    <mergeCell ref="J12:J13"/>
    <mergeCell ref="K12:K13"/>
    <mergeCell ref="O3:P4"/>
    <mergeCell ref="B4:K4"/>
    <mergeCell ref="C46:F46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C15">
    <cfRule type="cellIs" dxfId="9" priority="493" operator="equal">
      <formula>0</formula>
    </cfRule>
  </conditionalFormatting>
  <conditionalFormatting sqref="C17:C19">
    <cfRule type="cellIs" dxfId="8" priority="106" operator="equal">
      <formula>0</formula>
    </cfRule>
  </conditionalFormatting>
  <conditionalFormatting sqref="C27:C37 C41">
    <cfRule type="cellIs" dxfId="7" priority="5" operator="equal">
      <formula>0</formula>
    </cfRule>
  </conditionalFormatting>
  <conditionalFormatting sqref="E1:E3 G1:G13 E5:E13 H12:I12 O13 S14:V19 E43:G43 H43:K45 E44:H44 E45:F45">
    <cfRule type="cellIs" dxfId="6" priority="1073" stopIfTrue="1" operator="equal">
      <formula>0</formula>
    </cfRule>
  </conditionalFormatting>
  <conditionalFormatting sqref="E14:K21 E27:K42 E22:E26 G22:K26">
    <cfRule type="cellIs" dxfId="5" priority="6" stopIfTrue="1" operator="equal">
      <formula>0</formula>
    </cfRule>
  </conditionalFormatting>
  <conditionalFormatting sqref="G44:G65510 E49:E65510">
    <cfRule type="cellIs" dxfId="4" priority="207" stopIfTrue="1" operator="equal">
      <formula>0</formula>
    </cfRule>
  </conditionalFormatting>
  <conditionalFormatting sqref="C23">
    <cfRule type="cellIs" dxfId="3" priority="4" operator="equal">
      <formula>0</formula>
    </cfRule>
  </conditionalFormatting>
  <conditionalFormatting sqref="F22:F26">
    <cfRule type="cellIs" dxfId="2" priority="3" stopIfTrue="1" operator="equal">
      <formula>0</formula>
    </cfRule>
  </conditionalFormatting>
  <conditionalFormatting sqref="C39">
    <cfRule type="cellIs" dxfId="1" priority="2" operator="equal">
      <formula>0</formula>
    </cfRule>
  </conditionalFormatting>
  <conditionalFormatting sqref="C40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H14:K4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" zoomScale="85" zoomScaleNormal="115" zoomScaleSheetLayoutView="85" workbookViewId="0">
      <selection activeCell="AL35" sqref="AL3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26" t="s">
        <v>1439</v>
      </c>
      <c r="X2" s="627"/>
      <c r="Y2" s="627"/>
      <c r="Z2" s="627"/>
      <c r="AA2" s="627"/>
      <c r="AB2" s="627"/>
      <c r="AC2" s="627"/>
      <c r="AD2" s="628"/>
    </row>
    <row r="3" spans="3:30">
      <c r="C3" s="238"/>
      <c r="W3" s="629"/>
      <c r="X3" s="630"/>
      <c r="Y3" s="630"/>
      <c r="Z3" s="630"/>
      <c r="AA3" s="630"/>
      <c r="AB3" s="630"/>
      <c r="AC3" s="630"/>
      <c r="AD3" s="631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2" t="s">
        <v>990</v>
      </c>
      <c r="Y5" s="632"/>
      <c r="Z5" s="632"/>
      <c r="AA5" s="632" t="s">
        <v>988</v>
      </c>
      <c r="AB5" s="632"/>
      <c r="AC5" s="632" t="s">
        <v>989</v>
      </c>
      <c r="AD5" s="633"/>
    </row>
    <row r="6" spans="3:30">
      <c r="C6" s="238"/>
      <c r="F6" s="494" t="s">
        <v>1616</v>
      </c>
      <c r="W6" s="241">
        <v>1</v>
      </c>
      <c r="X6" s="632" t="s">
        <v>993</v>
      </c>
      <c r="Y6" s="632"/>
      <c r="Z6" s="632"/>
      <c r="AA6" s="632"/>
      <c r="AB6" s="632"/>
      <c r="AC6" s="632"/>
      <c r="AD6" s="633"/>
    </row>
    <row r="7" spans="3:30">
      <c r="C7" s="238"/>
      <c r="E7" s="476"/>
      <c r="W7" s="241">
        <v>2</v>
      </c>
      <c r="X7" s="632" t="s">
        <v>994</v>
      </c>
      <c r="Y7" s="632"/>
      <c r="Z7" s="632"/>
      <c r="AA7" s="632"/>
      <c r="AB7" s="632"/>
      <c r="AC7" s="632"/>
      <c r="AD7" s="633"/>
    </row>
    <row r="8" spans="3:30">
      <c r="C8" s="238"/>
      <c r="W8" s="241">
        <v>3</v>
      </c>
      <c r="X8" s="632" t="s">
        <v>995</v>
      </c>
      <c r="Y8" s="632"/>
      <c r="Z8" s="632"/>
      <c r="AA8" s="632"/>
      <c r="AB8" s="632"/>
      <c r="AC8" s="632"/>
      <c r="AD8" s="633"/>
    </row>
    <row r="9" spans="3:30">
      <c r="C9" s="238"/>
      <c r="W9" s="241">
        <v>4</v>
      </c>
      <c r="X9" s="632" t="s">
        <v>996</v>
      </c>
      <c r="Y9" s="632"/>
      <c r="Z9" s="632"/>
      <c r="AA9" s="632"/>
      <c r="AB9" s="632"/>
      <c r="AC9" s="632"/>
      <c r="AD9" s="633"/>
    </row>
    <row r="10" spans="3:30">
      <c r="C10" s="238"/>
      <c r="W10" s="241">
        <v>5</v>
      </c>
      <c r="X10" s="632" t="s">
        <v>997</v>
      </c>
      <c r="Y10" s="632"/>
      <c r="Z10" s="632"/>
      <c r="AA10" s="632"/>
      <c r="AB10" s="632"/>
      <c r="AC10" s="632"/>
      <c r="AD10" s="633"/>
    </row>
    <row r="11" spans="3:30">
      <c r="C11" s="238"/>
      <c r="W11" s="241">
        <v>6</v>
      </c>
      <c r="X11" s="632" t="s">
        <v>998</v>
      </c>
      <c r="Y11" s="632"/>
      <c r="Z11" s="632"/>
      <c r="AA11" s="632"/>
      <c r="AB11" s="632"/>
      <c r="AC11" s="632"/>
      <c r="AD11" s="633"/>
    </row>
    <row r="12" spans="3:30">
      <c r="C12" s="238"/>
      <c r="W12" s="241">
        <v>7</v>
      </c>
      <c r="X12" s="632" t="s">
        <v>999</v>
      </c>
      <c r="Y12" s="632"/>
      <c r="Z12" s="632"/>
      <c r="AA12" s="632"/>
      <c r="AB12" s="632"/>
      <c r="AC12" s="632"/>
      <c r="AD12" s="633"/>
    </row>
    <row r="13" spans="3:30" ht="12.75" customHeight="1">
      <c r="C13" s="238"/>
      <c r="W13" s="241">
        <v>8</v>
      </c>
      <c r="X13" s="632" t="s">
        <v>1000</v>
      </c>
      <c r="Y13" s="632"/>
      <c r="Z13" s="632"/>
      <c r="AA13" s="632"/>
      <c r="AB13" s="632"/>
      <c r="AC13" s="632"/>
      <c r="AD13" s="633"/>
    </row>
    <row r="14" spans="3:30">
      <c r="C14" s="238"/>
      <c r="W14" s="241">
        <v>9</v>
      </c>
      <c r="X14" s="632" t="s">
        <v>1001</v>
      </c>
      <c r="Y14" s="632"/>
      <c r="Z14" s="632"/>
      <c r="AA14" s="632"/>
      <c r="AB14" s="632"/>
      <c r="AC14" s="632"/>
      <c r="AD14" s="633"/>
    </row>
    <row r="15" spans="3:30">
      <c r="C15" s="238"/>
      <c r="W15" s="241">
        <v>10</v>
      </c>
      <c r="X15" s="632" t="s">
        <v>1010</v>
      </c>
      <c r="Y15" s="632"/>
      <c r="Z15" s="632"/>
      <c r="AA15" s="632"/>
      <c r="AB15" s="632"/>
      <c r="AC15" s="632"/>
      <c r="AD15" s="633"/>
    </row>
    <row r="16" spans="3:30">
      <c r="C16" s="238"/>
      <c r="W16" s="241">
        <v>11</v>
      </c>
      <c r="X16" s="632" t="s">
        <v>1455</v>
      </c>
      <c r="Y16" s="632"/>
      <c r="Z16" s="632"/>
      <c r="AA16" s="632"/>
      <c r="AB16" s="632"/>
      <c r="AC16" s="632"/>
      <c r="AD16" s="633"/>
    </row>
    <row r="17" spans="3:30">
      <c r="C17" s="238"/>
      <c r="S17" s="242"/>
      <c r="W17" s="241">
        <v>12</v>
      </c>
      <c r="X17" s="632" t="s">
        <v>1011</v>
      </c>
      <c r="Y17" s="632"/>
      <c r="Z17" s="632"/>
      <c r="AA17" s="632"/>
      <c r="AB17" s="632"/>
      <c r="AC17" s="632"/>
      <c r="AD17" s="633"/>
    </row>
    <row r="18" spans="3:30">
      <c r="C18" s="243"/>
      <c r="D18" s="244"/>
      <c r="E18" s="244"/>
      <c r="W18" s="241">
        <v>13</v>
      </c>
      <c r="X18" s="632"/>
      <c r="Y18" s="632"/>
      <c r="Z18" s="632"/>
      <c r="AA18" s="632"/>
      <c r="AB18" s="632"/>
      <c r="AC18" s="632"/>
      <c r="AD18" s="633"/>
    </row>
    <row r="19" spans="3:30">
      <c r="C19" s="238"/>
      <c r="W19" s="245"/>
      <c r="X19" s="649"/>
      <c r="Y19" s="649"/>
      <c r="Z19" s="649"/>
      <c r="AA19" s="649"/>
      <c r="AB19" s="649"/>
      <c r="AC19" s="649"/>
      <c r="AD19" s="650"/>
    </row>
    <row r="20" spans="3:30">
      <c r="C20" s="238"/>
      <c r="W20" s="634" t="s">
        <v>992</v>
      </c>
      <c r="X20" s="635"/>
      <c r="Y20" s="635"/>
      <c r="Z20" s="635"/>
      <c r="AA20" s="635"/>
      <c r="AB20" s="635"/>
      <c r="AC20" s="635"/>
      <c r="AD20" s="636"/>
    </row>
    <row r="21" spans="3:30">
      <c r="C21" s="238"/>
      <c r="W21" s="637" t="s">
        <v>985</v>
      </c>
      <c r="X21" s="638"/>
      <c r="Y21" s="638"/>
      <c r="Z21" s="639"/>
      <c r="AA21" s="640" t="s">
        <v>986</v>
      </c>
      <c r="AB21" s="641"/>
      <c r="AC21" s="641"/>
      <c r="AD21" s="642"/>
    </row>
    <row r="22" spans="3:30">
      <c r="C22" s="238"/>
      <c r="W22" s="643"/>
      <c r="X22" s="644"/>
      <c r="Y22" s="480"/>
      <c r="Z22" s="481"/>
      <c r="AA22" s="645"/>
      <c r="AB22" s="646"/>
      <c r="AC22" s="248"/>
      <c r="AD22" s="249"/>
    </row>
    <row r="23" spans="3:30">
      <c r="C23" s="238"/>
      <c r="W23" s="643"/>
      <c r="X23" s="644"/>
      <c r="Y23" s="480"/>
      <c r="Z23" s="481"/>
      <c r="AA23" s="647"/>
      <c r="AB23" s="648"/>
      <c r="AC23" s="248"/>
      <c r="AD23" s="249"/>
    </row>
    <row r="24" spans="3:30">
      <c r="C24" s="238"/>
      <c r="W24" s="653"/>
      <c r="X24" s="654"/>
      <c r="Y24" s="480"/>
      <c r="Z24" s="481"/>
      <c r="AA24" s="655"/>
      <c r="AB24" s="656"/>
      <c r="AC24" s="248"/>
      <c r="AD24" s="249"/>
    </row>
    <row r="25" spans="3:30">
      <c r="C25" s="238"/>
      <c r="W25" s="478"/>
      <c r="X25" s="479"/>
      <c r="Y25" s="480"/>
      <c r="Z25" s="481"/>
      <c r="AA25" s="647"/>
      <c r="AB25" s="648"/>
      <c r="AC25" s="248"/>
      <c r="AD25" s="249"/>
    </row>
    <row r="26" spans="3:30">
      <c r="C26" s="238"/>
      <c r="W26" s="653"/>
      <c r="X26" s="654"/>
      <c r="Y26" s="480"/>
      <c r="Z26" s="481"/>
      <c r="AA26" s="647"/>
      <c r="AB26" s="648"/>
      <c r="AC26" s="248"/>
      <c r="AD26" s="249"/>
    </row>
    <row r="27" spans="3:30">
      <c r="C27" s="238"/>
      <c r="W27" s="653"/>
      <c r="X27" s="654"/>
      <c r="Y27" s="480"/>
      <c r="Z27" s="481"/>
      <c r="AA27" s="651"/>
      <c r="AB27" s="652"/>
      <c r="AC27" s="248"/>
      <c r="AD27" s="249"/>
    </row>
    <row r="28" spans="3:30">
      <c r="C28" s="238"/>
      <c r="W28" s="653"/>
      <c r="X28" s="654"/>
      <c r="Y28" s="480"/>
      <c r="Z28" s="481"/>
      <c r="AA28" s="651"/>
      <c r="AB28" s="652"/>
      <c r="AC28" s="248"/>
      <c r="AD28" s="249"/>
    </row>
    <row r="29" spans="3:30">
      <c r="C29" s="238"/>
      <c r="W29" s="653"/>
      <c r="X29" s="654"/>
      <c r="Y29" s="480"/>
      <c r="Z29" s="481"/>
      <c r="AA29" s="651"/>
      <c r="AB29" s="652"/>
      <c r="AC29" s="248"/>
      <c r="AD29" s="249"/>
    </row>
    <row r="30" spans="3:30" ht="11.25" customHeight="1">
      <c r="C30" s="238"/>
      <c r="W30" s="478"/>
      <c r="X30" s="479"/>
      <c r="Y30" s="480"/>
      <c r="Z30" s="481"/>
      <c r="AA30" s="651"/>
      <c r="AB30" s="652"/>
      <c r="AC30" s="248"/>
      <c r="AD30" s="249"/>
    </row>
    <row r="31" spans="3:30">
      <c r="C31" s="238"/>
      <c r="U31" s="250"/>
      <c r="W31" s="653"/>
      <c r="X31" s="654"/>
      <c r="Y31" s="480"/>
      <c r="Z31" s="481"/>
      <c r="AA31" s="651"/>
      <c r="AB31" s="652"/>
      <c r="AC31" s="248"/>
      <c r="AD31" s="249"/>
    </row>
    <row r="32" spans="3:30">
      <c r="C32" s="238"/>
      <c r="U32" s="250"/>
      <c r="W32" s="643"/>
      <c r="X32" s="644"/>
      <c r="Y32" s="246"/>
      <c r="Z32" s="481"/>
      <c r="AA32" s="651"/>
      <c r="AB32" s="652"/>
      <c r="AC32" s="248"/>
      <c r="AD32" s="249"/>
    </row>
    <row r="33" spans="3:30">
      <c r="C33" s="238"/>
      <c r="W33" s="653"/>
      <c r="X33" s="654"/>
      <c r="Y33" s="480"/>
      <c r="Z33" s="481"/>
      <c r="AA33" s="657"/>
      <c r="AB33" s="657"/>
      <c r="AC33" s="248"/>
      <c r="AD33" s="249"/>
    </row>
    <row r="34" spans="3:30">
      <c r="C34" s="238"/>
      <c r="W34" s="478"/>
      <c r="X34" s="479"/>
      <c r="Y34" s="246"/>
      <c r="Z34" s="481"/>
      <c r="AA34" s="657"/>
      <c r="AB34" s="657"/>
      <c r="AC34" s="248"/>
      <c r="AD34" s="249"/>
    </row>
    <row r="35" spans="3:30">
      <c r="C35" s="238"/>
      <c r="W35" s="653"/>
      <c r="X35" s="654"/>
      <c r="Y35" s="246"/>
      <c r="Z35" s="247"/>
      <c r="AA35" s="657"/>
      <c r="AB35" s="657"/>
      <c r="AC35" s="248"/>
      <c r="AD35" s="249"/>
    </row>
    <row r="36" spans="3:30">
      <c r="C36" s="238"/>
      <c r="W36" s="653"/>
      <c r="X36" s="654"/>
      <c r="Y36" s="480"/>
      <c r="Z36" s="481"/>
      <c r="AA36" s="657"/>
      <c r="AB36" s="657"/>
      <c r="AC36" s="248"/>
      <c r="AD36" s="249"/>
    </row>
    <row r="37" spans="3:30" ht="12.75" customHeight="1">
      <c r="C37" s="238"/>
      <c r="W37" s="658"/>
      <c r="X37" s="659"/>
      <c r="Y37" s="246"/>
      <c r="Z37" s="481"/>
      <c r="AA37" s="660"/>
      <c r="AB37" s="660"/>
      <c r="AC37" s="251"/>
      <c r="AD37" s="252"/>
    </row>
    <row r="38" spans="3:30" ht="12.75" customHeight="1">
      <c r="C38" s="238"/>
      <c r="W38" s="658"/>
      <c r="X38" s="659"/>
      <c r="Y38" s="253"/>
      <c r="Z38" s="247"/>
      <c r="AA38" s="663"/>
      <c r="AB38" s="664"/>
      <c r="AC38" s="251"/>
      <c r="AD38" s="252"/>
    </row>
    <row r="39" spans="3:30" ht="12" customHeight="1">
      <c r="C39" s="238"/>
      <c r="W39" s="658"/>
      <c r="X39" s="659"/>
      <c r="Y39" s="253"/>
      <c r="Z39" s="254"/>
      <c r="AA39" s="661"/>
      <c r="AB39" s="662"/>
      <c r="AC39" s="251"/>
      <c r="AD39" s="252"/>
    </row>
    <row r="40" spans="3:30" ht="12" customHeight="1">
      <c r="C40" s="238"/>
      <c r="W40" s="668"/>
      <c r="X40" s="669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70"/>
      <c r="X41" s="671"/>
      <c r="Y41" s="257"/>
      <c r="Z41" s="258"/>
      <c r="AA41" s="661"/>
      <c r="AB41" s="662"/>
      <c r="AC41" s="251"/>
      <c r="AD41" s="252"/>
    </row>
    <row r="42" spans="3:30" ht="12" customHeight="1">
      <c r="C42" s="238"/>
      <c r="W42" s="672" t="s">
        <v>1456</v>
      </c>
      <c r="X42" s="673"/>
      <c r="Y42" s="673"/>
      <c r="Z42" s="673"/>
      <c r="AA42" s="259"/>
      <c r="AB42" s="259"/>
      <c r="AC42" s="259"/>
      <c r="AD42" s="260"/>
    </row>
    <row r="43" spans="3:30" ht="12" customHeight="1">
      <c r="C43" s="238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65" t="s">
        <v>11</v>
      </c>
      <c r="X44" s="666"/>
      <c r="Y44" s="632"/>
      <c r="Z44" s="632"/>
      <c r="AA44" s="632"/>
      <c r="AB44" s="632"/>
      <c r="AC44" s="632"/>
      <c r="AD44" s="633"/>
    </row>
    <row r="45" spans="3:30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65" t="s">
        <v>984</v>
      </c>
      <c r="X45" s="666"/>
      <c r="Y45" s="632">
        <v>1</v>
      </c>
      <c r="Z45" s="632"/>
      <c r="AA45" s="632"/>
      <c r="AB45" s="632" t="s">
        <v>12</v>
      </c>
      <c r="AC45" s="632"/>
      <c r="AD45" s="267" t="s">
        <v>13</v>
      </c>
    </row>
    <row r="46" spans="3:30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65" t="s">
        <v>15</v>
      </c>
      <c r="X46" s="666"/>
      <c r="Y46" s="667"/>
      <c r="Z46" s="667"/>
      <c r="AA46" s="667"/>
      <c r="AB46" s="632" t="s">
        <v>16</v>
      </c>
      <c r="AC46" s="632"/>
      <c r="AD46" s="268"/>
    </row>
    <row r="47" spans="3:30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78" t="s">
        <v>17</v>
      </c>
      <c r="X47" s="678"/>
      <c r="Y47" s="678"/>
      <c r="Z47" s="678"/>
      <c r="AA47" s="678"/>
      <c r="AB47" s="678"/>
      <c r="AC47" s="678"/>
      <c r="AD47" s="679"/>
    </row>
    <row r="48" spans="3:30" ht="12.75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80" t="str">
        <f>RAB!G6</f>
        <v>TD H NUR ROHMAD</v>
      </c>
      <c r="X48" s="680"/>
      <c r="Y48" s="680"/>
      <c r="Z48" s="680"/>
      <c r="AA48" s="680"/>
      <c r="AB48" s="680"/>
      <c r="AC48" s="680"/>
      <c r="AD48" s="681"/>
    </row>
    <row r="49" spans="3:30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80"/>
      <c r="X49" s="680"/>
      <c r="Y49" s="680"/>
      <c r="Z49" s="680"/>
      <c r="AA49" s="680"/>
      <c r="AB49" s="680"/>
      <c r="AC49" s="680"/>
      <c r="AD49" s="681"/>
    </row>
    <row r="50" spans="3:30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80"/>
      <c r="X50" s="680"/>
      <c r="Y50" s="680"/>
      <c r="Z50" s="680"/>
      <c r="AA50" s="680"/>
      <c r="AB50" s="680"/>
      <c r="AC50" s="680"/>
      <c r="AD50" s="681"/>
    </row>
    <row r="51" spans="3:30" ht="19.5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82"/>
      <c r="X51" s="682"/>
      <c r="Y51" s="682"/>
      <c r="Z51" s="682"/>
      <c r="AA51" s="682"/>
      <c r="AB51" s="682"/>
      <c r="AC51" s="682"/>
      <c r="AD51" s="683"/>
    </row>
    <row r="52" spans="3:30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65" t="s">
        <v>18</v>
      </c>
      <c r="X52" s="666"/>
      <c r="Y52" s="632" t="s">
        <v>1547</v>
      </c>
      <c r="Z52" s="632"/>
      <c r="AA52" s="632"/>
      <c r="AB52" s="632"/>
      <c r="AC52" s="632"/>
      <c r="AD52" s="633"/>
    </row>
    <row r="53" spans="3:30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65" t="s">
        <v>19</v>
      </c>
      <c r="X53" s="666"/>
      <c r="Y53" s="632" t="s">
        <v>1547</v>
      </c>
      <c r="Z53" s="632"/>
      <c r="AA53" s="632"/>
      <c r="AB53" s="632"/>
      <c r="AC53" s="632"/>
      <c r="AD53" s="633"/>
    </row>
    <row r="54" spans="3:30" ht="12.75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65" t="s">
        <v>20</v>
      </c>
      <c r="X54" s="666"/>
      <c r="Y54" s="674" t="s">
        <v>1548</v>
      </c>
      <c r="Z54" s="674"/>
      <c r="AA54" s="674"/>
      <c r="AB54" s="632"/>
      <c r="AC54" s="632"/>
      <c r="AD54" s="633"/>
    </row>
    <row r="55" spans="3:30" ht="12.75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75" t="s">
        <v>21</v>
      </c>
      <c r="X55" s="676"/>
      <c r="Y55" s="674" t="s">
        <v>1549</v>
      </c>
      <c r="Z55" s="674"/>
      <c r="AA55" s="674"/>
      <c r="AB55" s="674"/>
      <c r="AC55" s="674"/>
      <c r="AD55" s="677"/>
    </row>
  </sheetData>
  <mergeCells count="108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AA25:AB25"/>
    <mergeCell ref="AA26:AB26"/>
    <mergeCell ref="W26:X26"/>
    <mergeCell ref="W27:X27"/>
    <mergeCell ref="W28:X28"/>
    <mergeCell ref="W29:X29"/>
    <mergeCell ref="W31:X31"/>
    <mergeCell ref="W32:X32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C31" sqref="AC31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4" t="s">
        <v>1528</v>
      </c>
      <c r="E4" s="685"/>
      <c r="F4" s="685"/>
      <c r="G4" s="685"/>
      <c r="H4" s="685"/>
      <c r="I4" s="685"/>
      <c r="J4" s="685"/>
      <c r="K4" s="685"/>
      <c r="L4" s="685"/>
      <c r="M4" s="685"/>
      <c r="N4" s="685"/>
      <c r="O4" s="685"/>
      <c r="P4" s="685"/>
      <c r="Q4" s="685"/>
      <c r="R4" s="685"/>
      <c r="S4" s="685"/>
      <c r="T4" s="685"/>
      <c r="U4" s="685"/>
      <c r="V4" s="685"/>
      <c r="W4" s="685"/>
      <c r="X4" s="685"/>
      <c r="Y4" s="685"/>
      <c r="Z4" s="685"/>
      <c r="AA4" s="685"/>
      <c r="AB4" s="685"/>
      <c r="AC4" s="686"/>
      <c r="AD4" s="217"/>
      <c r="AE4" s="216"/>
      <c r="AF4" s="216"/>
    </row>
    <row r="5" spans="2:32" ht="13.5" customHeight="1">
      <c r="B5" s="215"/>
      <c r="C5" s="215"/>
      <c r="D5" s="687"/>
      <c r="E5" s="688"/>
      <c r="F5" s="688"/>
      <c r="G5" s="688"/>
      <c r="H5" s="688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688"/>
      <c r="T5" s="688"/>
      <c r="U5" s="688"/>
      <c r="V5" s="688"/>
      <c r="W5" s="688"/>
      <c r="X5" s="688"/>
      <c r="Y5" s="688"/>
      <c r="Z5" s="688"/>
      <c r="AA5" s="688"/>
      <c r="AB5" s="688"/>
      <c r="AC5" s="689"/>
      <c r="AD5" s="217"/>
      <c r="AE5" s="216"/>
      <c r="AF5" s="216"/>
    </row>
    <row r="6" spans="2:32" ht="12.75" customHeight="1">
      <c r="B6" s="215"/>
      <c r="C6" s="215"/>
      <c r="D6" s="687"/>
      <c r="E6" s="688"/>
      <c r="F6" s="688"/>
      <c r="G6" s="688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8"/>
      <c r="AA6" s="688"/>
      <c r="AB6" s="688"/>
      <c r="AC6" s="689"/>
      <c r="AE6" s="216"/>
      <c r="AF6" s="216"/>
    </row>
    <row r="7" spans="2:32" ht="12.75" customHeight="1" thickBot="1">
      <c r="B7" s="215"/>
      <c r="C7" s="215"/>
      <c r="D7" s="690"/>
      <c r="E7" s="691"/>
      <c r="F7" s="691"/>
      <c r="G7" s="691"/>
      <c r="H7" s="691"/>
      <c r="I7" s="691"/>
      <c r="J7" s="691"/>
      <c r="K7" s="691"/>
      <c r="L7" s="691"/>
      <c r="M7" s="691"/>
      <c r="N7" s="691"/>
      <c r="O7" s="691"/>
      <c r="P7" s="691"/>
      <c r="Q7" s="691"/>
      <c r="R7" s="691"/>
      <c r="S7" s="691"/>
      <c r="T7" s="691"/>
      <c r="U7" s="691"/>
      <c r="V7" s="691"/>
      <c r="W7" s="691"/>
      <c r="X7" s="691"/>
      <c r="Y7" s="691"/>
      <c r="Z7" s="691"/>
      <c r="AA7" s="691"/>
      <c r="AB7" s="691"/>
      <c r="AC7" s="69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L13" sqref="L13"/>
    </sheetView>
  </sheetViews>
  <sheetFormatPr defaultRowHeight="12.75"/>
  <cols>
    <col min="1" max="1" width="1.7109375" style="415" customWidth="1"/>
    <col min="2" max="2" width="10.7109375" style="415" customWidth="1"/>
    <col min="3" max="3" width="2.5703125" style="415" customWidth="1"/>
    <col min="4" max="20" width="9.140625" style="415"/>
    <col min="21" max="21" width="14.5703125" style="415" customWidth="1"/>
    <col min="22" max="22" width="3.140625" style="415" customWidth="1"/>
    <col min="23" max="26" width="9.140625" style="415"/>
    <col min="27" max="27" width="2.85546875" style="415" customWidth="1"/>
    <col min="28" max="30" width="4.7109375" style="415" customWidth="1"/>
    <col min="31" max="31" width="1.7109375" style="415" customWidth="1"/>
    <col min="32" max="16384" width="9.140625" style="41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88" t="s">
        <v>1527</v>
      </c>
      <c r="D3" s="688"/>
      <c r="E3" s="688"/>
      <c r="F3" s="688"/>
      <c r="G3" s="688"/>
      <c r="H3" s="688"/>
      <c r="I3" s="688"/>
      <c r="J3" s="688"/>
      <c r="K3" s="688"/>
      <c r="L3" s="688"/>
      <c r="M3" s="688"/>
      <c r="N3" s="688"/>
      <c r="O3" s="688"/>
      <c r="P3" s="688"/>
      <c r="Q3" s="688"/>
      <c r="R3" s="688"/>
      <c r="S3" s="688"/>
      <c r="T3" s="688"/>
      <c r="U3" s="688"/>
      <c r="V3" s="688"/>
      <c r="W3" s="182"/>
      <c r="X3" s="426"/>
      <c r="Y3" s="426"/>
      <c r="Z3" s="426"/>
      <c r="AA3" s="426"/>
      <c r="AB3" s="426"/>
      <c r="AC3" s="416"/>
    </row>
    <row r="4" spans="1:29" ht="18.75" customHeight="1">
      <c r="A4" s="181"/>
      <c r="C4" s="688"/>
      <c r="D4" s="688"/>
      <c r="E4" s="688"/>
      <c r="F4" s="688"/>
      <c r="G4" s="688"/>
      <c r="H4" s="688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182"/>
      <c r="X4" s="426"/>
      <c r="Y4" s="426"/>
      <c r="Z4" s="426"/>
      <c r="AA4" s="426"/>
      <c r="AB4" s="426"/>
      <c r="AC4" s="416"/>
    </row>
    <row r="5" spans="1:29" ht="12.75" customHeight="1">
      <c r="A5" s="181"/>
      <c r="C5" s="417"/>
      <c r="W5" s="182"/>
    </row>
    <row r="6" spans="1:29" ht="12.75" customHeight="1">
      <c r="A6" s="181"/>
      <c r="C6" s="693"/>
      <c r="D6" s="693"/>
      <c r="E6" s="693"/>
      <c r="F6" s="693"/>
      <c r="G6" s="693"/>
      <c r="H6" s="693"/>
      <c r="I6" s="693"/>
      <c r="J6" s="693"/>
      <c r="K6" s="693"/>
      <c r="L6" s="693"/>
      <c r="M6" s="693"/>
      <c r="W6" s="182"/>
      <c r="Y6" s="418"/>
      <c r="Z6" s="418"/>
      <c r="AA6" s="418"/>
      <c r="AB6" s="419"/>
      <c r="AC6" s="419"/>
    </row>
    <row r="7" spans="1:29" ht="18" customHeight="1">
      <c r="A7" s="181"/>
      <c r="C7" s="693"/>
      <c r="D7" s="693"/>
      <c r="E7" s="693"/>
      <c r="F7" s="693"/>
      <c r="G7" s="693"/>
      <c r="H7" s="693"/>
      <c r="I7" s="693"/>
      <c r="J7" s="693"/>
      <c r="K7" s="693"/>
      <c r="L7" s="693"/>
      <c r="M7" s="693"/>
      <c r="W7" s="182"/>
      <c r="Y7" s="418"/>
      <c r="Z7" s="418"/>
      <c r="AA7" s="418"/>
      <c r="AB7" s="419"/>
      <c r="AC7" s="41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1"/>
      <c r="S54" s="421"/>
      <c r="T54" s="421"/>
      <c r="U54" s="422"/>
      <c r="V54" s="422"/>
      <c r="W54" s="183"/>
      <c r="X54" s="422"/>
      <c r="Y54" s="422"/>
      <c r="Z54" s="422"/>
      <c r="AA54" s="422"/>
      <c r="AB54" s="422"/>
      <c r="AC54" s="422"/>
      <c r="AD54" s="42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7"/>
      <c r="S55" s="428"/>
      <c r="T55" s="428"/>
      <c r="U55" s="186"/>
      <c r="V55" s="187"/>
      <c r="W55" s="188"/>
      <c r="X55" s="422"/>
      <c r="Y55" s="422"/>
      <c r="Z55" s="422"/>
      <c r="AA55" s="423"/>
      <c r="AB55" s="423"/>
      <c r="AC55" s="423"/>
      <c r="AD55" s="423"/>
    </row>
    <row r="56" spans="1:30">
      <c r="U56" s="422"/>
      <c r="V56" s="423"/>
      <c r="W56" s="422"/>
      <c r="X56" s="422"/>
      <c r="Y56" s="422"/>
      <c r="Z56" s="422"/>
      <c r="AA56" s="423"/>
      <c r="AB56" s="422"/>
      <c r="AC56" s="422"/>
      <c r="AD56" s="422"/>
    </row>
    <row r="57" spans="1:30">
      <c r="U57" s="422"/>
      <c r="V57" s="423"/>
      <c r="W57" s="422"/>
      <c r="X57" s="422"/>
      <c r="Y57" s="422"/>
      <c r="Z57" s="422"/>
      <c r="AA57" s="422"/>
      <c r="AB57" s="422"/>
      <c r="AC57" s="422"/>
      <c r="AD57" s="422"/>
    </row>
    <row r="58" spans="1:30">
      <c r="U58" s="422"/>
      <c r="V58" s="423"/>
      <c r="W58" s="422"/>
      <c r="X58" s="422"/>
      <c r="Y58" s="422"/>
      <c r="Z58" s="422"/>
      <c r="AA58" s="422"/>
      <c r="AB58" s="422"/>
      <c r="AC58" s="422"/>
      <c r="AD58" s="422"/>
    </row>
    <row r="59" spans="1:30">
      <c r="U59" s="422"/>
      <c r="V59" s="423"/>
      <c r="W59" s="422"/>
      <c r="X59" s="422"/>
      <c r="Y59" s="422"/>
      <c r="Z59" s="422"/>
      <c r="AA59" s="422"/>
      <c r="AB59" s="422"/>
      <c r="AC59" s="422"/>
      <c r="AD59" s="422"/>
    </row>
    <row r="60" spans="1:30">
      <c r="U60" s="422"/>
      <c r="V60" s="423"/>
      <c r="W60" s="422"/>
      <c r="X60" s="422"/>
      <c r="Y60" s="422"/>
      <c r="Z60" s="422"/>
      <c r="AA60" s="423"/>
      <c r="AB60" s="422"/>
      <c r="AC60" s="422"/>
      <c r="AD60" s="422"/>
    </row>
    <row r="61" spans="1:30">
      <c r="U61" s="422"/>
      <c r="V61" s="423"/>
      <c r="W61" s="422"/>
      <c r="X61" s="422"/>
      <c r="Y61" s="422"/>
      <c r="Z61" s="422"/>
      <c r="AA61" s="422"/>
      <c r="AB61" s="422"/>
      <c r="AC61" s="422"/>
      <c r="AD61" s="422"/>
    </row>
    <row r="62" spans="1:30">
      <c r="U62" s="422"/>
      <c r="V62" s="423"/>
      <c r="W62" s="422"/>
      <c r="X62" s="422"/>
      <c r="Y62" s="422"/>
      <c r="Z62" s="422"/>
      <c r="AA62" s="422"/>
      <c r="AB62" s="422"/>
      <c r="AC62" s="422"/>
      <c r="AD62" s="422"/>
    </row>
    <row r="63" spans="1:30">
      <c r="U63" s="422"/>
      <c r="V63" s="423"/>
      <c r="W63" s="422"/>
      <c r="X63" s="422"/>
      <c r="Y63" s="422"/>
      <c r="Z63" s="422"/>
      <c r="AA63" s="422"/>
      <c r="AB63" s="422"/>
      <c r="AC63" s="422"/>
      <c r="AD63" s="422"/>
    </row>
    <row r="64" spans="1:30">
      <c r="U64" s="422"/>
      <c r="V64" s="423"/>
      <c r="W64" s="422"/>
      <c r="X64" s="422"/>
      <c r="Y64" s="422"/>
      <c r="Z64" s="422"/>
      <c r="AA64" s="422"/>
      <c r="AB64" s="422"/>
      <c r="AC64" s="422"/>
      <c r="AD64" s="422"/>
    </row>
    <row r="65" spans="5:30">
      <c r="U65" s="422"/>
      <c r="V65" s="423"/>
      <c r="W65" s="422"/>
      <c r="X65" s="422"/>
      <c r="Y65" s="422"/>
      <c r="Z65" s="422"/>
      <c r="AA65" s="422"/>
      <c r="AB65" s="422"/>
      <c r="AC65" s="422"/>
      <c r="AD65" s="422"/>
    </row>
    <row r="66" spans="5:30" ht="6" customHeight="1"/>
    <row r="73" spans="5:30">
      <c r="M73" s="424"/>
    </row>
    <row r="74" spans="5:30" ht="15" customHeight="1">
      <c r="E74" s="425"/>
      <c r="M74" s="424"/>
    </row>
    <row r="75" spans="5:30" ht="15" customHeight="1">
      <c r="E75" s="425"/>
      <c r="M75" s="424"/>
    </row>
    <row r="76" spans="5:30" ht="15" customHeight="1">
      <c r="E76" s="425"/>
      <c r="M76" s="424"/>
    </row>
    <row r="77" spans="5:30" ht="15" customHeight="1">
      <c r="E77" s="425"/>
      <c r="M77" s="424"/>
    </row>
    <row r="78" spans="5:30" ht="15" customHeight="1">
      <c r="E78" s="425"/>
      <c r="M78" s="424"/>
    </row>
    <row r="79" spans="5:30" ht="15" customHeight="1">
      <c r="E79" s="425"/>
      <c r="M79" s="424"/>
    </row>
    <row r="80" spans="5:30" ht="15" customHeight="1">
      <c r="E80" s="425"/>
      <c r="M80" s="424"/>
    </row>
    <row r="81" spans="5:13" ht="15" customHeight="1">
      <c r="E81" s="425"/>
      <c r="M81" s="424"/>
    </row>
    <row r="82" spans="5:13" ht="15" customHeight="1">
      <c r="E82" s="425"/>
      <c r="M82" s="424"/>
    </row>
    <row r="83" spans="5:13" ht="15" customHeight="1">
      <c r="E83" s="425"/>
      <c r="M83" s="424"/>
    </row>
    <row r="84" spans="5:13" ht="15" customHeight="1">
      <c r="E84" s="425"/>
      <c r="M84" s="424"/>
    </row>
    <row r="85" spans="5:13" ht="15" customHeight="1">
      <c r="E85" s="425"/>
      <c r="M85" s="424"/>
    </row>
    <row r="86" spans="5:13" ht="15" customHeight="1">
      <c r="E86" s="425"/>
      <c r="M86" s="424"/>
    </row>
    <row r="87" spans="5:13" ht="15" customHeight="1">
      <c r="E87" s="425"/>
      <c r="M87" s="424"/>
    </row>
    <row r="88" spans="5:13" ht="15" customHeight="1">
      <c r="E88" s="425"/>
      <c r="M88" s="424"/>
    </row>
    <row r="89" spans="5:13" ht="15" customHeight="1">
      <c r="E89" s="425"/>
      <c r="M89" s="424"/>
    </row>
    <row r="90" spans="5:13" ht="15" customHeight="1">
      <c r="E90" s="425"/>
      <c r="M90" s="424"/>
    </row>
    <row r="91" spans="5:13" ht="15" customHeight="1">
      <c r="E91" s="425"/>
      <c r="M91" s="424"/>
    </row>
    <row r="92" spans="5:13" ht="15" customHeight="1">
      <c r="E92" s="425"/>
      <c r="M92" s="424"/>
    </row>
    <row r="93" spans="5:13" ht="15" customHeight="1">
      <c r="E93" s="425"/>
      <c r="M93" s="424"/>
    </row>
    <row r="94" spans="5:13" ht="15" customHeight="1">
      <c r="E94" s="425"/>
      <c r="M94" s="424"/>
    </row>
    <row r="95" spans="5:13" ht="15" customHeight="1">
      <c r="E95" s="425"/>
      <c r="M95" s="424"/>
    </row>
    <row r="96" spans="5:13" ht="15" customHeight="1">
      <c r="E96" s="425"/>
    </row>
    <row r="97" spans="5:5" ht="15" customHeight="1">
      <c r="E97" s="425"/>
    </row>
    <row r="98" spans="5:5" ht="15" customHeight="1">
      <c r="E98" s="425"/>
    </row>
    <row r="99" spans="5:5" ht="15" customHeight="1">
      <c r="E99" s="425"/>
    </row>
    <row r="100" spans="5:5" ht="15" customHeight="1">
      <c r="E100" s="425"/>
    </row>
    <row r="101" spans="5:5" ht="15" customHeight="1">
      <c r="E101" s="425"/>
    </row>
    <row r="102" spans="5:5" ht="15" customHeight="1">
      <c r="E102" s="425"/>
    </row>
    <row r="103" spans="5:5" ht="15" customHeight="1">
      <c r="E103" s="425"/>
    </row>
    <row r="104" spans="5:5" ht="15" customHeight="1">
      <c r="E104" s="425"/>
    </row>
    <row r="105" spans="5:5" ht="15" customHeight="1">
      <c r="E105" s="425"/>
    </row>
    <row r="106" spans="5:5" ht="15" customHeight="1">
      <c r="E106" s="425"/>
    </row>
    <row r="107" spans="5:5" ht="15" customHeight="1">
      <c r="E107" s="425"/>
    </row>
    <row r="108" spans="5:5" ht="15" customHeight="1">
      <c r="E108" s="425"/>
    </row>
    <row r="109" spans="5:5" ht="15" customHeight="1">
      <c r="E109" s="425"/>
    </row>
    <row r="110" spans="5:5" ht="15" customHeight="1">
      <c r="E110" s="425"/>
    </row>
    <row r="111" spans="5:5" ht="15" customHeight="1">
      <c r="E111" s="425"/>
    </row>
    <row r="112" spans="5:5" ht="15" customHeight="1">
      <c r="E112" s="425"/>
    </row>
    <row r="113" spans="5:5" ht="15" customHeight="1">
      <c r="E113" s="425"/>
    </row>
    <row r="114" spans="5:5" ht="15" customHeight="1">
      <c r="E114" s="425"/>
    </row>
    <row r="115" spans="5:5" ht="15" customHeight="1">
      <c r="E115" s="425"/>
    </row>
    <row r="116" spans="5:5" ht="15" customHeight="1">
      <c r="E116" s="425"/>
    </row>
    <row r="117" spans="5:5" ht="15" customHeight="1">
      <c r="E117" s="425"/>
    </row>
    <row r="118" spans="5:5" ht="15" customHeight="1">
      <c r="E118" s="425"/>
    </row>
    <row r="119" spans="5:5" ht="15" customHeight="1">
      <c r="E119" s="425"/>
    </row>
    <row r="120" spans="5:5">
      <c r="E120" s="42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7">
        <v>1</v>
      </c>
    </row>
    <row r="2" spans="1:11" ht="48" customHeight="1">
      <c r="A2" s="447">
        <v>3</v>
      </c>
    </row>
    <row r="4" spans="1:11" ht="48" customHeight="1">
      <c r="C4" s="447">
        <v>1</v>
      </c>
    </row>
    <row r="5" spans="1:11" ht="48" customHeight="1">
      <c r="C5" s="447">
        <v>3</v>
      </c>
    </row>
    <row r="7" spans="1:11" ht="48" customHeight="1">
      <c r="E7" s="447">
        <v>1</v>
      </c>
    </row>
    <row r="8" spans="1:11" ht="48" customHeight="1">
      <c r="E8" s="447">
        <v>3</v>
      </c>
    </row>
    <row r="10" spans="1:11" ht="48" customHeight="1">
      <c r="G10" s="447">
        <v>3</v>
      </c>
    </row>
    <row r="11" spans="1:11" ht="48" customHeight="1">
      <c r="G11" s="447">
        <v>1</v>
      </c>
    </row>
    <row r="13" spans="1:11" ht="48" customHeight="1">
      <c r="I13" s="447">
        <v>3</v>
      </c>
    </row>
    <row r="14" spans="1:11" ht="48" customHeight="1">
      <c r="I14" s="447">
        <v>1</v>
      </c>
    </row>
    <row r="16" spans="1:11" ht="48" customHeight="1">
      <c r="K16" s="447">
        <v>3</v>
      </c>
    </row>
    <row r="17" spans="11:21" ht="48" customHeight="1">
      <c r="K17" s="447">
        <v>1</v>
      </c>
    </row>
    <row r="19" spans="11:21" ht="48" customHeight="1">
      <c r="M19" s="447">
        <v>3</v>
      </c>
    </row>
    <row r="20" spans="11:21" ht="48" customHeight="1">
      <c r="M20" s="447">
        <v>1</v>
      </c>
    </row>
    <row r="22" spans="11:21" ht="48" customHeight="1">
      <c r="O22" s="447">
        <v>3</v>
      </c>
    </row>
    <row r="23" spans="11:21" ht="48" customHeight="1">
      <c r="O23" s="447">
        <v>1</v>
      </c>
    </row>
    <row r="25" spans="11:21" ht="57" customHeight="1">
      <c r="Q25" s="447">
        <v>3</v>
      </c>
    </row>
    <row r="26" spans="11:21" ht="57" customHeight="1">
      <c r="Q26" s="447">
        <v>1</v>
      </c>
    </row>
    <row r="28" spans="11:21" ht="57" customHeight="1">
      <c r="S28" s="447">
        <v>3</v>
      </c>
    </row>
    <row r="29" spans="11:21" ht="57" customHeight="1">
      <c r="S29" s="447">
        <v>1</v>
      </c>
    </row>
    <row r="31" spans="11:21" ht="57" customHeight="1">
      <c r="U31" s="447">
        <v>3</v>
      </c>
    </row>
    <row r="32" spans="11:21" ht="57" customHeight="1">
      <c r="U32" s="44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2023-07-18T07:07:20Z</cp:lastPrinted>
  <dcterms:created xsi:type="dcterms:W3CDTF">2011-02-06T11:57:38Z</dcterms:created>
  <dcterms:modified xsi:type="dcterms:W3CDTF">2023-09-29T08:32:07Z</dcterms:modified>
</cp:coreProperties>
</file>