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2023\AMS PBPD\13. RYAN GHOZALI\"/>
    </mc:Choice>
  </mc:AlternateContent>
  <bookViews>
    <workbookView xWindow="0" yWindow="495" windowWidth="20745" windowHeight="11160" tabRatio="859" activeTab="7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8" r:id="rId10"/>
    <sheet name="PETA" sheetId="89" r:id="rId11"/>
    <sheet name="SLD " sheetId="9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4" i="11" l="1"/>
  <c r="F76" i="11" l="1"/>
  <c r="F75" i="11"/>
  <c r="F74" i="11"/>
  <c r="F73" i="11"/>
  <c r="F72" i="11"/>
  <c r="F68" i="11"/>
  <c r="F64" i="11"/>
  <c r="F63" i="11"/>
  <c r="F62" i="11"/>
  <c r="F61" i="11"/>
  <c r="F60" i="11"/>
  <c r="F57" i="11"/>
  <c r="F56" i="11"/>
  <c r="F55" i="11"/>
  <c r="F54" i="11"/>
  <c r="F53" i="11"/>
  <c r="F52" i="11"/>
  <c r="F51" i="11"/>
  <c r="F50" i="11"/>
  <c r="F49" i="11"/>
  <c r="F46" i="11"/>
  <c r="F45" i="11"/>
  <c r="F44" i="11"/>
  <c r="F43" i="11"/>
  <c r="F4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77" i="11"/>
  <c r="D77" i="11"/>
  <c r="H77" i="11" s="1"/>
  <c r="G76" i="11"/>
  <c r="E76" i="11"/>
  <c r="D76" i="11"/>
  <c r="A76" i="11"/>
  <c r="E74" i="11"/>
  <c r="D74" i="11"/>
  <c r="A74" i="11"/>
  <c r="E73" i="11"/>
  <c r="D73" i="11"/>
  <c r="J73" i="11" s="1"/>
  <c r="A73" i="11"/>
  <c r="E72" i="11"/>
  <c r="D72" i="11"/>
  <c r="E71" i="11"/>
  <c r="D71" i="11"/>
  <c r="A71" i="11"/>
  <c r="E70" i="11"/>
  <c r="D70" i="11"/>
  <c r="E69" i="11"/>
  <c r="D69" i="11"/>
  <c r="J69" i="11" s="1"/>
  <c r="A69" i="11"/>
  <c r="G68" i="11"/>
  <c r="E68" i="11"/>
  <c r="D68" i="1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A33" i="11"/>
  <c r="E32" i="11"/>
  <c r="D32" i="11"/>
  <c r="H32" i="11" s="1"/>
  <c r="A32" i="11"/>
  <c r="E31" i="11"/>
  <c r="D31" i="11"/>
  <c r="H31" i="11" s="1"/>
  <c r="A31" i="11"/>
  <c r="E30" i="11"/>
  <c r="D30" i="11"/>
  <c r="A30" i="11"/>
  <c r="E29" i="11"/>
  <c r="D29" i="11"/>
  <c r="H29" i="11" s="1"/>
  <c r="A29" i="11"/>
  <c r="E28" i="11"/>
  <c r="D28" i="11"/>
  <c r="H28" i="11" s="1"/>
  <c r="A28" i="11"/>
  <c r="E27" i="11"/>
  <c r="D27" i="11"/>
  <c r="H27" i="11" s="1"/>
  <c r="A27" i="11"/>
  <c r="E26" i="11"/>
  <c r="D26" i="11"/>
  <c r="J26" i="11" s="1"/>
  <c r="A26" i="11"/>
  <c r="E25" i="11"/>
  <c r="D25" i="11"/>
  <c r="A25" i="11"/>
  <c r="E24" i="11"/>
  <c r="D24" i="11"/>
  <c r="A24" i="11"/>
  <c r="G23" i="11"/>
  <c r="E23" i="11"/>
  <c r="D23" i="11"/>
  <c r="I23" i="11" s="1"/>
  <c r="G22" i="11"/>
  <c r="E22" i="11"/>
  <c r="D22" i="11"/>
  <c r="A22" i="11"/>
  <c r="G21" i="11"/>
  <c r="E21" i="11"/>
  <c r="I21" i="11"/>
  <c r="A21" i="11"/>
  <c r="G67" i="11"/>
  <c r="E67" i="11"/>
  <c r="D67" i="11"/>
  <c r="J67" i="11" s="1"/>
  <c r="A67" i="11"/>
  <c r="E66" i="11"/>
  <c r="D66" i="11"/>
  <c r="A66" i="11"/>
  <c r="E65" i="11"/>
  <c r="D65" i="11"/>
  <c r="H65" i="11" s="1"/>
  <c r="D78" i="11"/>
  <c r="J78" i="11" s="1"/>
  <c r="D37" i="11"/>
  <c r="D51" i="11"/>
  <c r="D52" i="11"/>
  <c r="A44" i="11"/>
  <c r="D44" i="11"/>
  <c r="E44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D38" i="11"/>
  <c r="G50" i="11"/>
  <c r="E50" i="11"/>
  <c r="D50" i="11"/>
  <c r="J50" i="11" s="1"/>
  <c r="E49" i="11"/>
  <c r="D49" i="11"/>
  <c r="A49" i="11"/>
  <c r="E48" i="11"/>
  <c r="D48" i="11"/>
  <c r="H48" i="11" s="1"/>
  <c r="A48" i="11"/>
  <c r="E47" i="11"/>
  <c r="D47" i="11"/>
  <c r="A47" i="11"/>
  <c r="E46" i="11"/>
  <c r="D46" i="11"/>
  <c r="A46" i="11"/>
  <c r="E45" i="11"/>
  <c r="D45" i="11"/>
  <c r="A45" i="11"/>
  <c r="E43" i="11"/>
  <c r="D43" i="11"/>
  <c r="A43" i="11"/>
  <c r="E42" i="11"/>
  <c r="D42" i="11"/>
  <c r="E41" i="11"/>
  <c r="D41" i="11"/>
  <c r="A41" i="11"/>
  <c r="E40" i="11"/>
  <c r="D40" i="11"/>
  <c r="A40" i="11"/>
  <c r="E39" i="11"/>
  <c r="D39" i="11"/>
  <c r="A39" i="11"/>
  <c r="E38" i="11"/>
  <c r="A38" i="11"/>
  <c r="G37" i="11"/>
  <c r="E37" i="11"/>
  <c r="A37" i="11"/>
  <c r="E64" i="11"/>
  <c r="D64" i="11"/>
  <c r="A64" i="11"/>
  <c r="E63" i="11"/>
  <c r="D63" i="11"/>
  <c r="A63" i="11"/>
  <c r="E62" i="11"/>
  <c r="D62" i="11"/>
  <c r="H62" i="11" s="1"/>
  <c r="A62" i="11"/>
  <c r="E61" i="11"/>
  <c r="D61" i="11"/>
  <c r="A61" i="11"/>
  <c r="E60" i="11"/>
  <c r="D60" i="11"/>
  <c r="A60" i="11"/>
  <c r="E59" i="11"/>
  <c r="D59" i="11"/>
  <c r="H59" i="11" s="1"/>
  <c r="A59" i="11"/>
  <c r="E58" i="11"/>
  <c r="D58" i="11"/>
  <c r="A58" i="11"/>
  <c r="E57" i="11"/>
  <c r="D57" i="11"/>
  <c r="A57" i="11"/>
  <c r="E56" i="11"/>
  <c r="D56" i="11"/>
  <c r="E55" i="11"/>
  <c r="D55" i="11"/>
  <c r="J55" i="11" s="1"/>
  <c r="A55" i="11"/>
  <c r="E54" i="11"/>
  <c r="D54" i="11"/>
  <c r="J54" i="11" s="1"/>
  <c r="A54" i="11"/>
  <c r="E53" i="11"/>
  <c r="D53" i="11"/>
  <c r="J53" i="11" s="1"/>
  <c r="A53" i="11"/>
  <c r="E52" i="11"/>
  <c r="A52" i="11"/>
  <c r="G51" i="11"/>
  <c r="A50" i="11" s="1"/>
  <c r="E51" i="11"/>
  <c r="A51" i="11"/>
  <c r="G78" i="11"/>
  <c r="E78" i="11"/>
  <c r="E16" i="11"/>
  <c r="D16" i="11"/>
  <c r="J16" i="11" s="1"/>
  <c r="A16" i="11"/>
  <c r="G20" i="11"/>
  <c r="E20" i="11"/>
  <c r="D20" i="11"/>
  <c r="J20" i="11" s="1"/>
  <c r="A20" i="11"/>
  <c r="G19" i="11"/>
  <c r="E19" i="11"/>
  <c r="D19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17" i="11"/>
  <c r="D17" i="11"/>
  <c r="A17" i="11"/>
  <c r="D18" i="11"/>
  <c r="H18" i="11" s="1"/>
  <c r="E18" i="11"/>
  <c r="D80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G79" i="11"/>
  <c r="E79" i="11"/>
  <c r="D79" i="11"/>
  <c r="H79" i="11" s="1"/>
  <c r="E80" i="11"/>
  <c r="D81" i="11"/>
  <c r="H81" i="11" s="1"/>
  <c r="E81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C67" i="39" s="1"/>
  <c r="D67" i="39" s="1"/>
  <c r="J279" i="10"/>
  <c r="L279" i="10"/>
  <c r="K279" i="10"/>
  <c r="O279" i="10"/>
  <c r="P279" i="10"/>
  <c r="C75" i="39" s="1"/>
  <c r="D75" i="39" s="1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8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72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65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0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71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74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66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73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77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24" i="11"/>
  <c r="G69" i="11"/>
  <c r="N1362" i="10"/>
  <c r="N1357" i="10"/>
  <c r="N1349" i="10"/>
  <c r="N1332" i="10"/>
  <c r="N1316" i="10"/>
  <c r="N1309" i="10"/>
  <c r="N1258" i="10"/>
  <c r="G80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F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64" i="11"/>
  <c r="G62" i="11"/>
  <c r="G40" i="11"/>
  <c r="G56" i="11"/>
  <c r="N1345" i="10"/>
  <c r="G63" i="11"/>
  <c r="G55" i="11"/>
  <c r="G43" i="11"/>
  <c r="G60" i="11"/>
  <c r="G39" i="11"/>
  <c r="G53" i="11"/>
  <c r="G41" i="11"/>
  <c r="G57" i="11"/>
  <c r="N1333" i="10"/>
  <c r="N1224" i="10"/>
  <c r="G58" i="11"/>
  <c r="G38" i="11"/>
  <c r="G52" i="11"/>
  <c r="G42" i="11"/>
  <c r="N1338" i="10"/>
  <c r="N1225" i="10"/>
  <c r="G48" i="11"/>
  <c r="G45" i="11"/>
  <c r="G61" i="11"/>
  <c r="G59" i="11"/>
  <c r="G4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70" i="39"/>
  <c r="D70" i="39" s="1"/>
  <c r="C68" i="39"/>
  <c r="D68" i="39" s="1"/>
  <c r="E68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63" i="39"/>
  <c r="D63" i="3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42" i="39"/>
  <c r="L172" i="29"/>
  <c r="H34" i="11" l="1"/>
  <c r="I34" i="11"/>
  <c r="J34" i="11"/>
  <c r="C74" i="39"/>
  <c r="D74" i="39" s="1"/>
  <c r="E74" i="39" s="1"/>
  <c r="C69" i="39"/>
  <c r="D69" i="39" s="1"/>
  <c r="C76" i="39"/>
  <c r="D76" i="39" s="1"/>
  <c r="C64" i="39"/>
  <c r="D64" i="39" s="1"/>
  <c r="E64" i="39" s="1"/>
  <c r="C73" i="39"/>
  <c r="D73" i="39" s="1"/>
  <c r="E73" i="39" s="1"/>
  <c r="C71" i="39"/>
  <c r="D71" i="39" s="1"/>
  <c r="C72" i="39"/>
  <c r="D72" i="39" s="1"/>
  <c r="C66" i="39"/>
  <c r="D66" i="39" s="1"/>
  <c r="E66" i="39" s="1"/>
  <c r="B171" i="29"/>
  <c r="B41" i="39"/>
  <c r="J57" i="11"/>
  <c r="J64" i="11"/>
  <c r="J68" i="11"/>
  <c r="H72" i="11"/>
  <c r="J47" i="11"/>
  <c r="H43" i="11"/>
  <c r="H60" i="11"/>
  <c r="H76" i="11"/>
  <c r="J58" i="11"/>
  <c r="J70" i="11"/>
  <c r="H66" i="11"/>
  <c r="K9" i="60"/>
  <c r="K16" i="60" s="1"/>
  <c r="K20" i="60" s="1"/>
  <c r="C8" i="54"/>
  <c r="I8" i="54" s="1"/>
  <c r="C7" i="54"/>
  <c r="I7" i="54" s="1"/>
  <c r="D9" i="60"/>
  <c r="E858" i="41"/>
  <c r="E241" i="29"/>
  <c r="H73" i="11"/>
  <c r="E862" i="41"/>
  <c r="E831" i="41"/>
  <c r="F58" i="39"/>
  <c r="E761" i="41"/>
  <c r="E751" i="41"/>
  <c r="E757" i="41"/>
  <c r="I72" i="11"/>
  <c r="E717" i="41"/>
  <c r="E866" i="41"/>
  <c r="J76" i="11"/>
  <c r="I76" i="11"/>
  <c r="F811" i="41"/>
  <c r="E842" i="41"/>
  <c r="I70" i="11"/>
  <c r="H69" i="11"/>
  <c r="H68" i="11"/>
  <c r="I69" i="11"/>
  <c r="I31" i="11"/>
  <c r="F834" i="41"/>
  <c r="J52" i="11"/>
  <c r="E269" i="29"/>
  <c r="I26" i="11"/>
  <c r="I36" i="11"/>
  <c r="H36" i="11"/>
  <c r="F352" i="29"/>
  <c r="J36" i="39"/>
  <c r="E748" i="41"/>
  <c r="I41" i="11"/>
  <c r="I38" i="11"/>
  <c r="E351" i="29"/>
  <c r="J39" i="11"/>
  <c r="F806" i="41"/>
  <c r="F826" i="41"/>
  <c r="I65" i="11"/>
  <c r="F824" i="41"/>
  <c r="J45" i="11"/>
  <c r="H23" i="11"/>
  <c r="H24" i="11"/>
  <c r="I73" i="11"/>
  <c r="H70" i="11"/>
  <c r="I28" i="11"/>
  <c r="J51" i="11"/>
  <c r="I37" i="11"/>
  <c r="H25" i="11"/>
  <c r="J23" i="11"/>
  <c r="E743" i="41"/>
  <c r="I43" i="11"/>
  <c r="F304" i="29"/>
  <c r="I71" i="11"/>
  <c r="H78" i="11"/>
  <c r="F762" i="41"/>
  <c r="E766" i="41"/>
  <c r="E823" i="41"/>
  <c r="E845" i="41"/>
  <c r="E840" i="41"/>
  <c r="F744" i="41"/>
  <c r="F827" i="41"/>
  <c r="E732" i="41"/>
  <c r="E795" i="41"/>
  <c r="I32" i="11"/>
  <c r="I35" i="11"/>
  <c r="F289" i="29"/>
  <c r="I53" i="11"/>
  <c r="J35" i="11"/>
  <c r="J32" i="11"/>
  <c r="E796" i="41"/>
  <c r="H53" i="11"/>
  <c r="I48" i="11"/>
  <c r="F752" i="41"/>
  <c r="I64" i="11"/>
  <c r="I24" i="11"/>
  <c r="F237" i="29"/>
  <c r="H67" i="11"/>
  <c r="F353" i="29"/>
  <c r="E319" i="29"/>
  <c r="F225" i="29"/>
  <c r="E1227" i="41"/>
  <c r="I81" i="11"/>
  <c r="E1244" i="41"/>
  <c r="E985" i="41"/>
  <c r="E895" i="41"/>
  <c r="F789" i="41"/>
  <c r="F248" i="29"/>
  <c r="E949" i="41"/>
  <c r="E955" i="41"/>
  <c r="F764" i="41"/>
  <c r="E897" i="41"/>
  <c r="I47" i="11"/>
  <c r="I62" i="11"/>
  <c r="E1115" i="41"/>
  <c r="E998" i="41"/>
  <c r="E902" i="41"/>
  <c r="E1099" i="41"/>
  <c r="F727" i="41"/>
  <c r="E346" i="29"/>
  <c r="I77" i="11"/>
  <c r="I27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29" i="11"/>
  <c r="E1047" i="41"/>
  <c r="E1272" i="41"/>
  <c r="E818" i="41"/>
  <c r="E1317" i="41"/>
  <c r="I39" i="11"/>
  <c r="F846" i="41"/>
  <c r="I59" i="11"/>
  <c r="E932" i="41"/>
  <c r="H39" i="11"/>
  <c r="E1265" i="41"/>
  <c r="E1085" i="41"/>
  <c r="F857" i="41"/>
  <c r="J43" i="11"/>
  <c r="E1306" i="41"/>
  <c r="E1112" i="41"/>
  <c r="E981" i="41"/>
  <c r="F768" i="41"/>
  <c r="E890" i="41"/>
  <c r="E841" i="41"/>
  <c r="E1068" i="41"/>
  <c r="E749" i="41"/>
  <c r="H21" i="11"/>
  <c r="E1082" i="41"/>
  <c r="E868" i="41"/>
  <c r="E734" i="41"/>
  <c r="E872" i="41"/>
  <c r="E1103" i="41"/>
  <c r="H50" i="1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J28" i="11"/>
  <c r="E1008" i="41"/>
  <c r="E758" i="41"/>
  <c r="F736" i="41"/>
  <c r="E763" i="41"/>
  <c r="I66" i="11"/>
  <c r="J77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18" i="11"/>
  <c r="I58" i="11"/>
  <c r="J18" i="11"/>
  <c r="H16" i="11"/>
  <c r="J41" i="11"/>
  <c r="F242" i="29"/>
  <c r="F298" i="29"/>
  <c r="I68" i="11"/>
  <c r="E276" i="29"/>
  <c r="J81" i="11"/>
  <c r="H58" i="11"/>
  <c r="F798" i="41"/>
  <c r="E1235" i="41"/>
  <c r="E1289" i="41"/>
  <c r="E1045" i="41"/>
  <c r="F737" i="41"/>
  <c r="F305" i="29"/>
  <c r="I55" i="11"/>
  <c r="J62" i="11"/>
  <c r="J27" i="11"/>
  <c r="E851" i="41"/>
  <c r="E1171" i="41"/>
  <c r="E794" i="41"/>
  <c r="E740" i="41"/>
  <c r="E1216" i="41"/>
  <c r="E819" i="41"/>
  <c r="H41" i="1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72" i="11"/>
  <c r="F769" i="41"/>
  <c r="E1101" i="41"/>
  <c r="E1079" i="41"/>
  <c r="E1249" i="41"/>
  <c r="F745" i="41"/>
  <c r="F801" i="41"/>
  <c r="F782" i="41"/>
  <c r="H64" i="11"/>
  <c r="E861" i="41"/>
  <c r="E1150" i="41"/>
  <c r="E1040" i="41"/>
  <c r="F812" i="41"/>
  <c r="F730" i="41"/>
  <c r="F61" i="39"/>
  <c r="I54" i="11"/>
  <c r="E315" i="29"/>
  <c r="H54" i="11"/>
  <c r="H26" i="11"/>
  <c r="F738" i="41"/>
  <c r="E1064" i="41"/>
  <c r="E332" i="29"/>
  <c r="H52" i="11"/>
  <c r="F324" i="29"/>
  <c r="E278" i="29"/>
  <c r="I50" i="11"/>
  <c r="F843" i="41"/>
  <c r="E1030" i="41"/>
  <c r="F821" i="41"/>
  <c r="F847" i="41"/>
  <c r="E776" i="41"/>
  <c r="E1066" i="41"/>
  <c r="E1168" i="41"/>
  <c r="E790" i="41"/>
  <c r="F772" i="41"/>
  <c r="E735" i="41"/>
  <c r="E971" i="41"/>
  <c r="E249" i="29"/>
  <c r="J31" i="11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J59" i="11"/>
  <c r="J24" i="11"/>
  <c r="J29" i="11"/>
  <c r="F240" i="29"/>
  <c r="I52" i="11"/>
  <c r="J48" i="11"/>
  <c r="E263" i="29"/>
  <c r="F277" i="29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F783" i="41"/>
  <c r="E1081" i="41"/>
  <c r="E755" i="41"/>
  <c r="F755" i="41"/>
  <c r="E320" i="29"/>
  <c r="F320" i="29"/>
  <c r="E291" i="29"/>
  <c r="E284" i="29"/>
  <c r="F284" i="29"/>
  <c r="F273" i="29"/>
  <c r="E273" i="29"/>
  <c r="E979" i="41"/>
  <c r="E844" i="41"/>
  <c r="F844" i="41"/>
  <c r="E944" i="41"/>
  <c r="E355" i="29"/>
  <c r="F355" i="29"/>
  <c r="E67" i="3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J46" i="11"/>
  <c r="H46" i="11"/>
  <c r="I46" i="11"/>
  <c r="E72" i="39"/>
  <c r="H19" i="11"/>
  <c r="J19" i="11"/>
  <c r="I19" i="11"/>
  <c r="J40" i="11"/>
  <c r="I40" i="11"/>
  <c r="H40" i="11"/>
  <c r="F339" i="29"/>
  <c r="E255" i="29"/>
  <c r="E364" i="29"/>
  <c r="F318" i="29"/>
  <c r="F243" i="29"/>
  <c r="E243" i="29"/>
  <c r="F245" i="29"/>
  <c r="E245" i="29"/>
  <c r="J63" i="11"/>
  <c r="H63" i="11"/>
  <c r="I63" i="11"/>
  <c r="F335" i="29"/>
  <c r="E335" i="29"/>
  <c r="E331" i="29"/>
  <c r="F331" i="29"/>
  <c r="E258" i="29"/>
  <c r="F258" i="29"/>
  <c r="E290" i="29"/>
  <c r="E373" i="29"/>
  <c r="E297" i="29"/>
  <c r="F297" i="29"/>
  <c r="F302" i="29"/>
  <c r="E302" i="29"/>
  <c r="F309" i="29"/>
  <c r="E309" i="29"/>
  <c r="J17" i="11"/>
  <c r="H17" i="11"/>
  <c r="I74" i="11"/>
  <c r="H74" i="11"/>
  <c r="E328" i="29"/>
  <c r="F328" i="29"/>
  <c r="J33" i="11"/>
  <c r="H33" i="11"/>
  <c r="E226" i="29"/>
  <c r="E295" i="29"/>
  <c r="F295" i="29"/>
  <c r="H44" i="11"/>
  <c r="J44" i="11"/>
  <c r="I44" i="11"/>
  <c r="I22" i="11"/>
  <c r="J22" i="11"/>
  <c r="H22" i="11"/>
  <c r="E340" i="29"/>
  <c r="E252" i="29"/>
  <c r="F270" i="29"/>
  <c r="E280" i="29"/>
  <c r="I60" i="11"/>
  <c r="H47" i="11"/>
  <c r="I67" i="11"/>
  <c r="F286" i="29"/>
  <c r="E246" i="29"/>
  <c r="F266" i="29"/>
  <c r="F60" i="39"/>
  <c r="J74" i="11"/>
  <c r="H20" i="11"/>
  <c r="E327" i="29"/>
  <c r="E342" i="29"/>
  <c r="J60" i="11"/>
  <c r="F321" i="29"/>
  <c r="I33" i="11"/>
  <c r="H15" i="11"/>
  <c r="H37" i="11"/>
  <c r="I17" i="11"/>
  <c r="J21" i="11"/>
  <c r="E239" i="29"/>
  <c r="I36" i="39"/>
  <c r="J37" i="11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76" i="3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71" i="39"/>
  <c r="F36" i="39"/>
  <c r="E251" i="29"/>
  <c r="F251" i="29"/>
  <c r="F236" i="29"/>
  <c r="E236" i="29"/>
  <c r="F267" i="29"/>
  <c r="E229" i="29"/>
  <c r="F229" i="29"/>
  <c r="F306" i="29"/>
  <c r="H56" i="11"/>
  <c r="I56" i="11"/>
  <c r="J56" i="11"/>
  <c r="I61" i="11"/>
  <c r="H61" i="11"/>
  <c r="J61" i="11"/>
  <c r="F62" i="39"/>
  <c r="E70" i="39"/>
  <c r="E287" i="29"/>
  <c r="F287" i="29"/>
  <c r="F260" i="29"/>
  <c r="E260" i="29"/>
  <c r="E300" i="29"/>
  <c r="E232" i="29"/>
  <c r="F232" i="29"/>
  <c r="F357" i="29"/>
  <c r="E325" i="29"/>
  <c r="F325" i="29"/>
  <c r="E372" i="29"/>
  <c r="E65" i="39"/>
  <c r="E323" i="29"/>
  <c r="F323" i="29"/>
  <c r="F299" i="29"/>
  <c r="E299" i="29"/>
  <c r="E303" i="29"/>
  <c r="F303" i="29"/>
  <c r="F265" i="29"/>
  <c r="E265" i="29"/>
  <c r="F301" i="29"/>
  <c r="E63" i="39"/>
  <c r="F271" i="29"/>
  <c r="E250" i="29"/>
  <c r="F250" i="29"/>
  <c r="E244" i="29"/>
  <c r="F334" i="29"/>
  <c r="F343" i="29"/>
  <c r="E69" i="39"/>
  <c r="F264" i="29"/>
  <c r="E264" i="29"/>
  <c r="E317" i="29"/>
  <c r="F317" i="29"/>
  <c r="E234" i="29"/>
  <c r="F234" i="29"/>
  <c r="F344" i="29"/>
  <c r="F358" i="29"/>
  <c r="E272" i="29"/>
  <c r="E275" i="29"/>
  <c r="F275" i="29"/>
  <c r="J38" i="11"/>
  <c r="H38" i="11"/>
  <c r="E310" i="29"/>
  <c r="F310" i="29"/>
  <c r="I15" i="11"/>
  <c r="H49" i="11"/>
  <c r="I49" i="11"/>
  <c r="J30" i="11"/>
  <c r="H30" i="11"/>
  <c r="I30" i="11"/>
  <c r="E283" i="29"/>
  <c r="F283" i="29"/>
  <c r="K15" i="29"/>
  <c r="E288" i="29"/>
  <c r="F288" i="29"/>
  <c r="H57" i="11"/>
  <c r="I57" i="11"/>
  <c r="H45" i="11"/>
  <c r="I45" i="11"/>
  <c r="E281" i="29"/>
  <c r="F253" i="29"/>
  <c r="E293" i="29"/>
  <c r="F261" i="29"/>
  <c r="E256" i="29"/>
  <c r="E294" i="29"/>
  <c r="J49" i="11"/>
  <c r="H42" i="11"/>
  <c r="I42" i="11"/>
  <c r="J42" i="11"/>
  <c r="H51" i="11"/>
  <c r="I51" i="11"/>
  <c r="J25" i="11"/>
  <c r="I25" i="11"/>
  <c r="E268" i="29"/>
  <c r="F268" i="29"/>
  <c r="J79" i="11"/>
  <c r="I79" i="11"/>
  <c r="H71" i="11"/>
  <c r="J71" i="11"/>
  <c r="E313" i="29"/>
  <c r="J66" i="11"/>
  <c r="I20" i="11"/>
  <c r="I78" i="11"/>
  <c r="H55" i="11"/>
  <c r="J65" i="11"/>
  <c r="K34" i="11" l="1"/>
  <c r="F809" i="4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72" i="11"/>
  <c r="H7" i="54"/>
  <c r="D7" i="54"/>
  <c r="H8" i="54"/>
  <c r="D8" i="54"/>
  <c r="E8" i="54" s="1"/>
  <c r="C9" i="54"/>
  <c r="K73" i="11"/>
  <c r="F373" i="29"/>
  <c r="F1089" i="41"/>
  <c r="F65" i="39"/>
  <c r="F69" i="39"/>
  <c r="F372" i="29"/>
  <c r="F1158" i="41"/>
  <c r="F1052" i="41"/>
  <c r="F371" i="29"/>
  <c r="F940" i="41"/>
  <c r="F369" i="29"/>
  <c r="K76" i="11"/>
  <c r="K70" i="11"/>
  <c r="K68" i="11"/>
  <c r="K69" i="11"/>
  <c r="K36" i="39"/>
  <c r="K31" i="11"/>
  <c r="K36" i="11"/>
  <c r="K26" i="11"/>
  <c r="F852" i="41"/>
  <c r="K29" i="11"/>
  <c r="K21" i="1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28" i="11"/>
  <c r="K23" i="11"/>
  <c r="K53" i="11"/>
  <c r="K65" i="11"/>
  <c r="K55" i="11"/>
  <c r="K43" i="11"/>
  <c r="K78" i="11"/>
  <c r="K50" i="11"/>
  <c r="K67" i="11"/>
  <c r="K48" i="11"/>
  <c r="K35" i="11"/>
  <c r="K27" i="11"/>
  <c r="K39" i="11"/>
  <c r="K24" i="11"/>
  <c r="K62" i="11"/>
  <c r="K77" i="11"/>
  <c r="K32" i="11"/>
  <c r="K52" i="11"/>
  <c r="K16" i="11"/>
  <c r="K66" i="11"/>
  <c r="K64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81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0" i="11"/>
  <c r="K47" i="11"/>
  <c r="K54" i="11"/>
  <c r="K41" i="11"/>
  <c r="K58" i="11"/>
  <c r="K59" i="11"/>
  <c r="K18" i="11"/>
  <c r="K37" i="11"/>
  <c r="K44" i="11"/>
  <c r="K33" i="11"/>
  <c r="F338" i="29"/>
  <c r="K49" i="11"/>
  <c r="F837" i="41"/>
  <c r="K17" i="11"/>
  <c r="K40" i="11"/>
  <c r="K45" i="11"/>
  <c r="K71" i="11"/>
  <c r="K74" i="11"/>
  <c r="K22" i="11"/>
  <c r="K60" i="11"/>
  <c r="K63" i="11"/>
  <c r="K51" i="11"/>
  <c r="K79" i="11"/>
  <c r="K38" i="11"/>
  <c r="F347" i="29"/>
  <c r="K19" i="11"/>
  <c r="K46" i="11"/>
  <c r="K30" i="11"/>
  <c r="K42" i="11"/>
  <c r="K56" i="11"/>
  <c r="K57" i="11"/>
  <c r="H83" i="11"/>
  <c r="F828" i="41"/>
  <c r="F802" i="41"/>
  <c r="K61" i="11"/>
  <c r="F312" i="29"/>
  <c r="F233" i="29"/>
  <c r="I83" i="11"/>
  <c r="K15" i="11"/>
  <c r="K25" i="11"/>
  <c r="I9" i="54" l="1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G22" i="39" s="1"/>
  <c r="C34" i="39"/>
  <c r="D34" i="39" s="1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B27" i="39" s="1"/>
  <c r="E27" i="39" s="1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D614" i="41" s="1"/>
  <c r="F126" i="41"/>
  <c r="C171" i="41"/>
  <c r="G171" i="41" s="1"/>
  <c r="F62" i="41"/>
  <c r="C86" i="29"/>
  <c r="G86" i="29" s="1"/>
  <c r="F18" i="41"/>
  <c r="F63" i="29"/>
  <c r="F33" i="29"/>
  <c r="C83" i="29"/>
  <c r="D83" i="29" s="1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L191" i="41" s="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B16" i="29"/>
  <c r="E16" i="29" s="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D48" i="29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84" i="11"/>
  <c r="H85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D380" i="41"/>
  <c r="L495" i="41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G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L496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D191" i="41"/>
  <c r="I84" i="11"/>
  <c r="I85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L614" i="41"/>
  <c r="B339" i="41"/>
  <c r="D43" i="2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C17" i="29"/>
  <c r="G20" i="39"/>
  <c r="J80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G25" i="3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B13" i="41" l="1"/>
  <c r="D513" i="41"/>
  <c r="G35" i="39"/>
  <c r="G27" i="39"/>
  <c r="D339" i="41"/>
  <c r="G614" i="41"/>
  <c r="B191" i="41"/>
  <c r="B412" i="41"/>
  <c r="I412" i="41" s="1"/>
  <c r="B614" i="41"/>
  <c r="G83" i="29"/>
  <c r="G191" i="41"/>
  <c r="B34" i="39"/>
  <c r="E34" i="39" s="1"/>
  <c r="G19" i="39"/>
  <c r="G546" i="41"/>
  <c r="L412" i="41"/>
  <c r="G412" i="41"/>
  <c r="G339" i="41"/>
  <c r="D61" i="29"/>
  <c r="J61" i="29" s="1"/>
  <c r="G66" i="29"/>
  <c r="D86" i="29"/>
  <c r="H86" i="29" s="1"/>
  <c r="D66" i="29"/>
  <c r="J66" i="29" s="1"/>
  <c r="D599" i="41"/>
  <c r="B19" i="39"/>
  <c r="E19" i="39" s="1"/>
  <c r="L370" i="41"/>
  <c r="D106" i="29"/>
  <c r="G554" i="41"/>
  <c r="D22" i="39"/>
  <c r="H22" i="39" s="1"/>
  <c r="D202" i="41"/>
  <c r="D21" i="39"/>
  <c r="J21" i="39" s="1"/>
  <c r="B495" i="41"/>
  <c r="B22" i="39"/>
  <c r="E22" i="39" s="1"/>
  <c r="L202" i="41"/>
  <c r="D398" i="41"/>
  <c r="G21" i="39"/>
  <c r="B202" i="41"/>
  <c r="I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I22" i="39"/>
  <c r="J22" i="39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80" i="11"/>
  <c r="K83" i="11" s="1"/>
  <c r="J83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H202" i="41"/>
  <c r="E202" i="41"/>
  <c r="K202" i="41"/>
  <c r="J202" i="41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J43" i="29"/>
  <c r="H4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E164" i="41"/>
  <c r="E393" i="41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H106" i="29"/>
  <c r="J106" i="29"/>
  <c r="I106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H327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J13" i="41"/>
  <c r="H13" i="41"/>
  <c r="K13" i="41"/>
  <c r="I13" i="41"/>
  <c r="E13" i="4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608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H426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E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K133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H21" i="39"/>
  <c r="K495" i="41"/>
  <c r="H495" i="41"/>
  <c r="I495" i="41"/>
  <c r="J495" i="41"/>
  <c r="E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H412" i="41" l="1"/>
  <c r="I86" i="29"/>
  <c r="J412" i="41"/>
  <c r="J86" i="29"/>
  <c r="K412" i="41"/>
  <c r="H61" i="29"/>
  <c r="I21" i="39"/>
  <c r="K21" i="39" s="1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K22" i="39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3" i="29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K86" i="29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K61" i="29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84" i="11"/>
  <c r="J85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84" i="11"/>
  <c r="K85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K106" i="29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66" i="29" l="1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86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C24" i="54"/>
  <c r="E23" i="54"/>
  <c r="S13" i="54"/>
  <c r="Q14" i="54"/>
  <c r="T13" i="54"/>
  <c r="J23" i="54" l="1"/>
  <c r="D24" i="54"/>
  <c r="E24" i="54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5" i="54" s="1"/>
  <c r="J24" i="54"/>
  <c r="L24" i="54"/>
  <c r="M24" i="54" s="1"/>
  <c r="Q16" i="54"/>
  <c r="T16" i="54" s="1"/>
  <c r="S15" i="54"/>
  <c r="T15" i="54"/>
  <c r="N24" i="54" l="1"/>
  <c r="P24" i="54" s="1"/>
  <c r="N25" i="54"/>
  <c r="P25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C28" i="54"/>
  <c r="I27" i="54"/>
  <c r="H27" i="54"/>
  <c r="J27" i="54" s="1"/>
  <c r="E27" i="54"/>
  <c r="L27" i="54" s="1"/>
  <c r="M27" i="54" s="1"/>
  <c r="S17" i="54"/>
  <c r="Q18" i="54"/>
  <c r="T18" i="54" s="1"/>
  <c r="N26" i="54" l="1"/>
  <c r="P26" i="54" s="1"/>
  <c r="N27" i="54"/>
  <c r="P27" i="54" s="1"/>
  <c r="I28" i="54"/>
  <c r="H28" i="54"/>
  <c r="J28" i="54" s="1"/>
  <c r="C29" i="54"/>
  <c r="D28" i="54"/>
  <c r="E28" i="54" s="1"/>
  <c r="L28" i="54" s="1"/>
  <c r="M28" i="54" s="1"/>
  <c r="S18" i="54"/>
  <c r="Q19" i="54"/>
  <c r="T19" i="54" s="1"/>
  <c r="N28" i="54" l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J32" i="54" s="1"/>
  <c r="S22" i="54"/>
  <c r="Q23" i="54"/>
  <c r="T23" i="54" s="1"/>
  <c r="N31" i="54" l="1"/>
  <c r="P31" i="54" s="1"/>
  <c r="L32" i="54"/>
  <c r="M32" i="54" s="1"/>
  <c r="J33" i="54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<sst xmlns="http://schemas.openxmlformats.org/spreadsheetml/2006/main" count="4768" uniqueCount="1643">
  <si>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</si>
  <si>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</si>
  <si>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</si>
  <si>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</si>
  <si>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</si>
  <si>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</si>
  <si>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</si>
  <si>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</si>
  <si>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</si>
  <si>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</si>
  <si>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</si>
  <si>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</si>
  <si>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</si>
  <si>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</si>
  <si>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</si>
  <si>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</si>
  <si>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</si>
  <si>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</si>
  <si>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</si>
  <si>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</si>
  <si>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</si>
  <si>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</si>
  <si>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</si>
  <si>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</si>
  <si>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</si>
  <si>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</si>
  <si>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</si>
  <si>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</si>
  <si>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</si>
  <si>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</si>
  <si>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</si>
  <si>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</si>
  <si>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</si>
  <si>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</si>
  <si>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</si>
  <si>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</si>
  <si>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</si>
  <si>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</si>
  <si>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</si>
  <si>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</si>
  <si>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</si>
  <si>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</si>
  <si>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</si>
  <si>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</si>
  <si>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</si>
  <si>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</si>
  <si>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</si>
  <si>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</si>
  <si>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</si>
  <si>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</si>
  <si>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</si>
  <si>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</si>
  <si>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</si>
  <si>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</si>
  <si>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</si>
  <si>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</si>
  <si>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</si>
  <si>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</si>
  <si>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</si>
  <si>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</si>
  <si>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</si>
  <si>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</si>
  <si>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</si>
  <si>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</si>
  <si>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</si>
  <si>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</si>
  <si>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</si>
  <si>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</si>
  <si>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</si>
  <si>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</si>
  <si>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</si>
  <si>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</si>
  <si>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</si>
  <si>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</si>
  <si>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</si>
  <si>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</si>
  <si>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</si>
  <si>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</si>
  <si>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</si>
  <si>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</si>
  <si>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</si>
  <si>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</si>
  <si>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</si>
  <si>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</si>
  <si>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</si>
  <si>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</si>
  <si>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</si>
  <si>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</si>
  <si>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</si>
  <si>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</si>
  <si>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</si>
  <si>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</si>
  <si>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</si>
  <si>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</si>
  <si>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</si>
  <si>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</si>
  <si>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</si>
  <si>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</si>
  <si>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</si>
  <si>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</si>
  <si>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</si>
  <si>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</si>
  <si>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</si>
  <si>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</si>
  <si>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</si>
  <si>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</si>
  <si>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</si>
  <si>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</si>
  <si>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</si>
  <si>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</si>
  <si>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</si>
  <si>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</si>
  <si>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</si>
  <si>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</si>
  <si>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</si>
  <si>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</si>
  <si>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</si>
  <si>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</si>
  <si>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</si>
  <si>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</si>
  <si>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</si>
  <si>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</si>
  <si>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</si>
  <si>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</si>
  <si>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</si>
  <si>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</si>
  <si>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</si>
  <si>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</si>
  <si>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</si>
  <si>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</si>
  <si>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</si>
  <si>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</si>
  <si>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</si>
  <si>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</si>
  <si>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</si>
  <si>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</si>
  <si>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</si>
  <si>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</si>
  <si>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</si>
  <si>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</si>
  <si>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</si>
  <si>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</si>
  <si>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</si>
  <si>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</si>
  <si>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</si>
  <si>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</si>
  <si>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</si>
  <si>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</si>
  <si>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</si>
  <si>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</si>
  <si>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</si>
  <si>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</si>
  <si>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</si>
  <si>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</si>
  <si>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</si>
  <si>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</si>
  <si>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</si>
  <si>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</si>
  <si>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</si>
  <si>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</si>
  <si>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</si>
  <si>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</si>
  <si>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</si>
  <si>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</si>
  <si>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</si>
  <si>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</si>
  <si>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</si>
  <si>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</si>
  <si>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</si>
  <si>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</si>
  <si>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</si>
  <si>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</si>
  <si>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</si>
  <si>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</si>
  <si>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</si>
  <si>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</si>
  <si>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</si>
  <si>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</si>
  <si>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</si>
  <si>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</si>
  <si>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</si>
  <si>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</si>
  <si>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</si>
  <si>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</si>
  <si>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</si>
  <si>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</si>
  <si>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</si>
  <si>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</si>
  <si>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</si>
  <si>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</si>
  <si>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</si>
  <si>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</si>
  <si>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</si>
  <si>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</si>
  <si>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</si>
  <si>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</si>
  <si>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</si>
  <si>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</si>
  <si>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</si>
  <si>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</si>
  <si>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</si>
  <si>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</si>
  <si>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</si>
  <si>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</si>
  <si>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</si>
  <si>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</si>
  <si>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</si>
  <si>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</si>
  <si>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</si>
  <si>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</si>
  <si>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</si>
  <si>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</si>
  <si>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</si>
  <si>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</si>
  <si>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</si>
  <si>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</si>
  <si>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</si>
  <si>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</si>
  <si>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</si>
  <si>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</si>
  <si>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</si>
  <si>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</si>
  <si>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</si>
  <si>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</si>
  <si>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</si>
  <si>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</si>
  <si>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</si>
  <si>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</si>
  <si>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</si>
  <si>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</si>
  <si>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</si>
  <si>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</si>
  <si>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</si>
  <si>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</si>
  <si>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</si>
  <si>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</si>
  <si>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</si>
  <si>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</si>
  <si>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</si>
  <si>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</si>
  <si>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</si>
  <si>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</si>
  <si>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</si>
  <si>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</si>
  <si>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</si>
  <si>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</si>
  <si>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</si>
  <si>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</si>
  <si>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</si>
  <si>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</si>
  <si>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</si>
  <si>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</si>
  <si>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</si>
  <si>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</si>
  <si>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</si>
  <si>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</si>
  <si>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</si>
  <si>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</si>
  <si>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</si>
  <si>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</si>
  <si>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</si>
  <si>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</si>
  <si>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</si>
  <si>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</si>
  <si>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</si>
  <si>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</si>
  <si>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</si>
  <si>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</si>
  <si>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</si>
  <si>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</si>
  <si>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</si>
  <si>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</si>
  <si>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</si>
  <si>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</si>
  <si>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</si>
  <si>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</si>
  <si>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</si>
  <si>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</si>
  <si>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</si>
  <si>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</si>
  <si>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</si>
  <si>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</si>
  <si>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</si>
  <si>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</si>
  <si>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</si>
  <si>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</si>
  <si>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</si>
  <si>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</si>
  <si>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</si>
  <si>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</si>
  <si>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</si>
  <si>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</si>
  <si>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</si>
  <si>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</si>
  <si>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</si>
  <si>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</si>
  <si>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</si>
  <si>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</si>
  <si>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</si>
  <si>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</si>
  <si>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</si>
  <si>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</si>
  <si>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</si>
  <si>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</si>
  <si>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</si>
  <si>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</si>
  <si>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</si>
  <si>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</si>
  <si>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</si>
  <si>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</si>
  <si>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</si>
  <si>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</si>
  <si>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</si>
  <si>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</si>
  <si>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</si>
  <si>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</si>
  <si>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</si>
  <si>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</si>
  <si>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</si>
  <si>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</si>
  <si>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</si>
  <si>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</si>
  <si>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</si>
  <si>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</si>
  <si>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</si>
  <si>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</si>
  <si>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</si>
  <si>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</si>
  <si>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</si>
  <si>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</si>
  <si>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</si>
  <si>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</si>
  <si>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</si>
  <si>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</si>
  <si>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</si>
  <si>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</si>
  <si>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</si>
  <si>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</si>
  <si>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</si>
  <si>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</si>
  <si>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</si>
  <si>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</si>
  <si>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</si>
  <si>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</si>
  <si>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</si>
  <si>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</si>
  <si>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</si>
  <si>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</si>
  <si>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</si>
  <si>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</si>
  <si>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</si>
  <si>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</si>
  <si>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</si>
  <si>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</si>
  <si>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</si>
  <si>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</si>
  <si>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</si>
  <si>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</si>
  <si>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</si>
  <si>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</si>
  <si>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</si>
  <si>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</si>
  <si>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</si>
  <si>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</si>
  <si>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</si>
  <si>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</si>
  <si>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</si>
  <si>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</si>
  <si>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</si>
  <si>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</si>
  <si>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</si>
  <si>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</si>
  <si>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</si>
  <si>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</si>
  <si>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</si>
  <si>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</si>
  <si>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</si>
  <si>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</si>
  <si>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</si>
  <si>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</si>
  <si>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</si>
  <si>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</si>
  <si>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</si>
  <si>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</si>
  <si>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</si>
  <si>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</si>
  <si>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</si>
  <si>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</si>
  <si>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</si>
  <si>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</si>
  <si>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</si>
  <si>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</si>
  <si>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</si>
  <si>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</si>
  <si>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</si>
  <si>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</si>
  <si>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</si>
  <si>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</si>
  <si>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</si>
  <si>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</si>
  <si>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</si>
  <si>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</si>
  <si>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</si>
  <si>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</si>
  <si>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</si>
  <si>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</si>
  <si>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</si>
  <si>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</si>
  <si>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</si>
  <si>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</si>
  <si>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</si>
  <si>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</si>
  <si>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</si>
  <si>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</si>
  <si>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</si>
  <si>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</si>
  <si>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</si>
  <si>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</si>
  <si>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</si>
  <si>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</si>
  <si>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</si>
  <si>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</si>
  <si>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</si>
  <si>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</si>
  <si>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</si>
  <si>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</si>
  <si>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</si>
  <si>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</si>
  <si>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</si>
  <si>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</si>
  <si>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</si>
  <si>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</si>
  <si>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</si>
  <si>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</si>
  <si>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</si>
  <si>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</si>
  <si>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</si>
  <si>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</si>
  <si>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</si>
  <si>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</si>
  <si>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</si>
  <si>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</si>
  <si>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</si>
  <si>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</si>
  <si>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</si>
  <si>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</si>
  <si>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</si>
  <si>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</si>
  <si>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</si>
  <si>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</si>
  <si>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</si>
  <si>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</si>
  <si>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</si>
  <si>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</si>
  <si>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</si>
  <si>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</si>
  <si>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</si>
  <si>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</si>
  <si>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</si>
  <si>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</si>
  <si>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</si>
  <si>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</si>
  <si>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</si>
  <si>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</si>
  <si>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</si>
  <si>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</si>
  <si>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</si>
  <si>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</si>
  <si>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</si>
  <si>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</si>
  <si>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</si>
  <si>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</si>
  <si>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</si>
  <si>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</si>
  <si>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</si>
  <si>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</si>
  <si>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</si>
  <si>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</si>
  <si>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</si>
  <si>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</si>
  <si>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</si>
  <si>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</si>
  <si>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</si>
  <si>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</si>
  <si>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</si>
  <si>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</si>
  <si>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</si>
  <si>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</si>
  <si>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</si>
  <si>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</si>
  <si>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</si>
  <si>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</si>
  <si>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</si>
  <si>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</si>
  <si>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</si>
  <si>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</si>
  <si>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</si>
  <si>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</si>
  <si>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</si>
  <si>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</si>
  <si>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</si>
  <si>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</si>
  <si>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</si>
  <si>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</si>
  <si>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</si>
  <si>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</si>
  <si>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</si>
  <si>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</si>
  <si>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</si>
  <si>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</si>
  <si>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</si>
  <si>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</si>
  <si>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</si>
  <si>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</si>
  <si>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</si>
  <si>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</si>
  <si>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</si>
  <si>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</si>
  <si>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</si>
  <si>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</si>
  <si>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</si>
  <si>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</si>
  <si>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</si>
  <si>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</si>
  <si>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</si>
  <si>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</si>
  <si>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</si>
  <si>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</si>
  <si>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</si>
  <si>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</si>
  <si>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</si>
  <si>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</si>
  <si>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</si>
  <si>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</si>
  <si>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</si>
  <si>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</si>
  <si>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</si>
  <si>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</si>
  <si>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</si>
  <si>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</si>
  <si>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</si>
  <si>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</si>
  <si>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</si>
  <si>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</si>
  <si>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</si>
  <si>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</si>
  <si>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</si>
  <si>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</si>
  <si>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</si>
  <si>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</si>
  <si>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</si>
  <si>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</si>
  <si>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</si>
  <si>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</si>
  <si>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</si>
  <si>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</si>
  <si>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</si>
  <si>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</si>
  <si>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</si>
  <si>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</si>
  <si>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</si>
  <si>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</si>
  <si>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</si>
  <si>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</si>
  <si>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</si>
  <si>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</si>
  <si>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</si>
  <si>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</si>
  <si>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</si>
  <si>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</si>
  <si>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</si>
  <si>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</si>
  <si>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</si>
  <si>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</si>
  <si>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</si>
  <si>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</si>
  <si>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</si>
  <si>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</si>
  <si>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</si>
  <si>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</si>
  <si>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</si>
  <si>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</si>
  <si>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</si>
  <si>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</si>
  <si>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</si>
  <si>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</si>
  <si>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</si>
  <si>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</si>
  <si>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</si>
  <si>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</si>
  <si>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</si>
  <si>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</si>
  <si>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</si>
  <si>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</si>
  <si>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</si>
  <si>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</si>
  <si>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</si>
  <si>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</si>
  <si>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</si>
  <si>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</si>
  <si>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</si>
  <si>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</si>
  <si>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</si>
  <si>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</si>
  <si>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</si>
  <si>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</si>
  <si>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</si>
  <si>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</si>
  <si>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</si>
  <si>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</si>
  <si>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</si>
  <si>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</si>
  <si>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</si>
  <si>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</si>
  <si>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</si>
  <si>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</si>
  <si>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</si>
  <si>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</si>
  <si>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</si>
  <si>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</si>
  <si>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</si>
  <si>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</si>
  <si>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</si>
  <si>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</si>
  <si>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</si>
  <si>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</si>
  <si>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</si>
  <si>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</si>
  <si>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</si>
  <si>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</si>
  <si>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</si>
  <si>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</si>
  <si>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</si>
  <si>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</si>
  <si>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</si>
  <si>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</si>
  <si>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</si>
  <si>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</si>
  <si>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</si>
  <si>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</si>
  <si>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</si>
  <si>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</si>
  <si>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</si>
  <si>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</si>
  <si>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</si>
  <si>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</si>
  <si>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</si>
  <si>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</si>
  <si>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</si>
  <si>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</si>
  <si>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</si>
  <si>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</si>
  <si>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</si>
  <si>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</si>
  <si>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</si>
  <si>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</si>
  <si>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</si>
  <si>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</si>
  <si>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</si>
  <si>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</si>
  <si>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</si>
  <si>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</si>
  <si>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</si>
  <si>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</si>
  <si>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</si>
  <si>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</si>
  <si>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</si>
  <si>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</si>
  <si>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</si>
  <si>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</si>
  <si>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</si>
  <si>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</si>
  <si>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</si>
  <si>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</si>
  <si>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</si>
  <si>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</si>
  <si>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</si>
  <si>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</si>
  <si>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</si>
  <si>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</si>
  <si>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</si>
  <si>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</si>
  <si>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</si>
  <si>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</si>
  <si>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</si>
  <si>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</si>
  <si>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</si>
  <si>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</si>
  <si>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</si>
  <si>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</si>
  <si>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</si>
  <si>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</si>
  <si>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</si>
  <si>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</si>
  <si>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</si>
  <si>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</si>
  <si>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</si>
  <si>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</si>
  <si>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</si>
  <si>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</si>
  <si>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</si>
  <si>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</si>
  <si>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</si>
  <si>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</si>
  <si>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</si>
  <si>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</si>
  <si>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</si>
  <si>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</si>
  <si>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</si>
  <si>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</si>
  <si>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</si>
  <si>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</si>
  <si>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</si>
  <si>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</si>
  <si>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</si>
  <si>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</si>
  <si>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</si>
  <si>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</si>
  <si>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</si>
  <si>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</si>
  <si>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</si>
  <si>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</si>
  <si>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</si>
  <si>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</si>
  <si>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</si>
  <si>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</si>
  <si>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</si>
  <si>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</si>
  <si>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</si>
  <si>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</si>
  <si>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</si>
  <si>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</si>
  <si>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</si>
  <si>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</si>
  <si>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</si>
  <si>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</si>
  <si>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</si>
  <si>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</si>
  <si>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</si>
  <si>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</si>
  <si>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</si>
  <si>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</si>
  <si>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</si>
  <si>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</si>
  <si>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</si>
  <si>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</si>
  <si>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</si>
  <si>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</si>
  <si>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</si>
  <si>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</si>
  <si>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</si>
  <si>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</si>
  <si>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</si>
  <si>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</si>
  <si>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</si>
  <si>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</si>
  <si>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</si>
  <si>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</si>
  <si>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</si>
  <si>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</si>
  <si>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</si>
  <si>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</si>
  <si>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</si>
  <si>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</si>
  <si>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</si>
  <si>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</si>
  <si>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</si>
  <si>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</si>
  <si>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</si>
  <si>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</si>
  <si>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</si>
  <si>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</si>
  <si>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</si>
  <si>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</si>
  <si>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</si>
  <si>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</si>
  <si>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</si>
  <si>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</si>
  <si>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</si>
  <si>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</si>
  <si>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</si>
  <si>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</si>
  <si>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</si>
  <si>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</si>
  <si>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</si>
  <si>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</si>
  <si>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</si>
  <si>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</si>
  <si>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</si>
  <si>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</si>
  <si>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</si>
  <si>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</si>
  <si>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</si>
  <si>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</si>
  <si>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</si>
  <si>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</si>
  <si>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</si>
  <si>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</si>
  <si>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</si>
  <si>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</si>
  <si>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</si>
  <si>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</si>
  <si>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</si>
  <si>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</si>
  <si>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</si>
  <si>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</si>
  <si>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</si>
  <si>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</si>
  <si>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</si>
  <si>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</si>
  <si>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</si>
  <si>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</si>
  <si>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</si>
  <si>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</si>
  <si>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</si>
  <si>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</si>
  <si>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</si>
  <si>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</si>
  <si>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</si>
  <si>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</si>
  <si>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</si>
  <si>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</si>
  <si>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</si>
  <si>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</si>
  <si>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</si>
  <si>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</si>
  <si>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</si>
  <si>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</si>
  <si>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</si>
  <si>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</si>
  <si>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</si>
  <si>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</si>
  <si>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</si>
  <si>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</si>
  <si>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</si>
  <si>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</si>
  <si>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</si>
  <si>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</si>
  <si>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</si>
  <si>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</si>
  <si>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</si>
  <si>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</si>
  <si>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</si>
  <si>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</si>
  <si>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</si>
  <si>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</si>
  <si>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</si>
  <si>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</si>
  <si>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</si>
  <si>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</si>
  <si>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</si>
  <si>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</si>
  <si>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</si>
  <si>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</si>
  <si>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</si>
  <si>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</si>
  <si>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</si>
  <si>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</si>
  <si>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</si>
  <si>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</si>
  <si>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</si>
  <si>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</si>
  <si>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</si>
  <si>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</si>
  <si>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</si>
  <si>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</si>
  <si>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</si>
  <si>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</si>
  <si>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</si>
  <si>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</si>
  <si>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</si>
  <si>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</si>
  <si>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</si>
  <si>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</si>
  <si>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</si>
  <si>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</si>
  <si>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</si>
  <si>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</si>
  <si>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</si>
  <si>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</si>
  <si>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</si>
  <si>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</si>
  <si>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</si>
  <si>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</si>
  <si>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</si>
  <si>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</si>
  <si>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</si>
  <si>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</si>
  <si>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</si>
  <si>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</si>
  <si>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</si>
  <si>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</si>
  <si>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</si>
  <si>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</si>
  <si>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</si>
  <si>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</si>
  <si>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</si>
  <si>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</si>
  <si>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</si>
  <si>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</si>
  <si>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</si>
  <si>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</si>
  <si>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</si>
  <si>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</si>
  <si>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</si>
  <si>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</si>
  <si>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</si>
  <si>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</si>
  <si>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</si>
  <si>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</si>
  <si>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</si>
  <si>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</si>
  <si>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</si>
  <si>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</si>
  <si>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</si>
  <si>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</si>
  <si>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</si>
  <si>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</si>
  <si>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</si>
  <si>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</si>
  <si>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</si>
  <si>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</si>
  <si>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</si>
  <si>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</si>
  <si>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</si>
  <si>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</si>
  <si>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</si>
  <si>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</si>
  <si>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</si>
  <si>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</si>
  <si>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</si>
  <si>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</si>
  <si>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</si>
  <si>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</si>
  <si>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</si>
  <si>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</si>
  <si>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</si>
  <si>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</si>
  <si>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</si>
  <si>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</si>
  <si>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</si>
  <si>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</si>
  <si>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</si>
  <si>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</si>
  <si>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</si>
  <si>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</si>
  <si>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</si>
  <si>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</si>
  <si>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</si>
  <si>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</si>
  <si>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</si>
  <si>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</si>
  <si>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</si>
  <si>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</si>
  <si>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</si>
  <si>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</si>
  <si>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</si>
  <si>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</si>
  <si>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</si>
  <si>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</si>
  <si>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</si>
  <si>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</si>
  <si>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</si>
  <si>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</si>
  <si>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</si>
  <si>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</si>
  <si>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</si>
  <si>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</si>
  <si>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</si>
  <si>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</si>
  <si>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</si>
  <si>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</si>
  <si>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</si>
  <si>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</si>
  <si>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</si>
  <si>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</si>
  <si>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</si>
  <si>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</si>
  <si>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</si>
  <si>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</si>
  <si>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</si>
  <si>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</si>
  <si>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</si>
  <si>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</si>
  <si>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</si>
  <si>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</si>
  <si>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</si>
  <si>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</si>
  <si>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</si>
  <si>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</si>
  <si>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</si>
  <si>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</si>
  <si>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</si>
  <si>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</si>
  <si>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</si>
  <si>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</si>
  <si>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</si>
  <si>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</si>
  <si>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</si>
  <si>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</si>
  <si>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</si>
  <si>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</si>
  <si>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</si>
  <si>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</si>
  <si>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</si>
  <si>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</si>
  <si>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</si>
  <si>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</si>
  <si>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</si>
  <si>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</si>
  <si>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</si>
  <si>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</si>
  <si>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</si>
  <si>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</si>
  <si>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</si>
  <si>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</si>
  <si>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</si>
  <si>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</si>
  <si>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</si>
  <si>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</si>
  <si>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</si>
  <si>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</si>
  <si>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</si>
  <si>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</si>
  <si>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</si>
  <si>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</si>
  <si>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</si>
  <si>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</si>
  <si>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</si>
  <si>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</si>
  <si>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</si>
  <si>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</si>
  <si>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</si>
  <si>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</si>
  <si>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</si>
  <si>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</si>
  <si>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</si>
  <si>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</si>
  <si>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</si>
  <si>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</si>
  <si>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</si>
  <si>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</si>
  <si>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</si>
  <si>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</si>
  <si>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</si>
  <si>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</si>
  <si>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</si>
  <si>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</si>
  <si>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</si>
  <si>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</si>
  <si>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</si>
  <si>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</si>
  <si>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</si>
  <si>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</si>
  <si>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</si>
  <si>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</si>
  <si>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</si>
  <si>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</si>
  <si>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</si>
  <si>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</si>
  <si>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</si>
  <si>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</si>
  <si>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</si>
  <si>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</si>
  <si>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</si>
  <si>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</si>
  <si>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</si>
  <si>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</si>
  <si>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</si>
  <si>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</si>
  <si>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</si>
  <si>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</si>
  <si>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</si>
  <si>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</si>
  <si>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</si>
  <si>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</si>
  <si>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</si>
  <si>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</si>
  <si>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</si>
  <si>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</si>
  <si>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</si>
  <si>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</si>
  <si>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</si>
  <si>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</si>
  <si>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</si>
  <si>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</si>
  <si>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</si>
  <si>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</si>
  <si>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</si>
  <si>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</si>
  <si>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</si>
  <si>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</si>
  <si>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</si>
  <si>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</si>
  <si>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</si>
  <si>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</si>
  <si>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</si>
  <si>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</si>
  <si>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</si>
  <si>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</si>
  <si>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</si>
  <si>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</si>
  <si>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</si>
  <si>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</si>
  <si>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</si>
  <si>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</si>
  <si>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</si>
  <si>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</si>
  <si>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</si>
  <si>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</si>
  <si>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</si>
  <si>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</si>
  <si>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</si>
  <si>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</si>
  <si>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</si>
  <si>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</si>
  <si>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</si>
  <si>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</si>
  <si>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</si>
  <si>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</si>
  <si>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</si>
  <si>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</si>
  <si>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</si>
  <si>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</si>
  <si>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</si>
  <si>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</si>
  <si>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</si>
  <si>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</si>
  <si>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</si>
  <si>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</si>
  <si>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</si>
  <si>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</si>
  <si>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</si>
  <si>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</si>
  <si>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</si>
  <si>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</si>
  <si>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</si>
  <si>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</si>
  <si>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</si>
  <si>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</si>
  <si>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</si>
  <si>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</si>
  <si>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</si>
  <si>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</si>
  <si>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</si>
  <si>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</si>
  <si>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</si>
  <si>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</si>
  <si>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</si>
  <si>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</si>
  <si>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</si>
  <si>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</si>
  <si>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</si>
  <si>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</si>
  <si>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</si>
  <si>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</si>
  <si>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</si>
  <si>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</si>
  <si>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</si>
  <si>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</si>
  <si>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</si>
  <si>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</si>
  <si>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</si>
  <si>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</si>
  <si>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</si>
  <si>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</si>
  <si>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</si>
  <si>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</si>
  <si>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</si>
  <si>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</si>
  <si>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</si>
  <si>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</si>
  <si>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</si>
  <si>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</si>
  <si>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</si>
  <si>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</si>
  <si>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</si>
  <si>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</si>
  <si>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</si>
  <si>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</si>
  <si>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</si>
  <si>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</si>
  <si>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</si>
  <si>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</si>
  <si>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</si>
  <si>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</si>
  <si>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</si>
  <si>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</si>
  <si>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</si>
  <si>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</si>
  <si>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</si>
  <si>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</si>
  <si>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</si>
  <si>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</si>
  <si>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</si>
  <si>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</si>
  <si>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</si>
  <si>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</si>
  <si>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</si>
  <si>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</si>
  <si>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</si>
  <si>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</si>
  <si>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</si>
  <si>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</si>
  <si>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</si>
  <si>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</si>
  <si>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</si>
  <si>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</si>
  <si>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</si>
  <si>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</si>
  <si>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</si>
  <si>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</si>
  <si>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</si>
  <si>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</si>
  <si>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</si>
  <si>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</si>
  <si>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</si>
  <si>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</si>
  <si>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</si>
  <si>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</si>
  <si>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</si>
  <si>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</si>
  <si>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</si>
  <si>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</si>
  <si>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</si>
  <si>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</si>
  <si>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</si>
  <si>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</si>
  <si>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</si>
  <si>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</si>
  <si>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</si>
  <si>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</si>
  <si>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</si>
  <si>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</si>
  <si>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</si>
  <si>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</si>
  <si>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</si>
  <si>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</si>
  <si>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</si>
  <si>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</si>
  <si>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</si>
  <si>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</si>
  <si>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</si>
  <si>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</si>
  <si>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</si>
  <si>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</si>
  <si>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</si>
  <si>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</si>
  <si>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</si>
  <si>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</si>
  <si>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</si>
  <si>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</si>
  <si>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</si>
  <si>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</si>
  <si>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</si>
  <si>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</si>
  <si>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</si>
  <si>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</si>
  <si>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</si>
  <si>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</si>
  <si>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</si>
  <si>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</si>
  <si>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</si>
  <si>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</si>
  <si>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</si>
  <si>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</si>
  <si>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</si>
  <si>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</si>
  <si>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</si>
  <si>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</si>
  <si>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</si>
  <si>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</si>
  <si>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</si>
  <si>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</si>
  <si>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</si>
  <si>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</si>
  <si>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</si>
  <si>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</si>
  <si>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</si>
  <si>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</si>
  <si>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</si>
  <si>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</si>
  <si>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</si>
  <si>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</si>
  <si>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</si>
  <si>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</si>
  <si>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</si>
  <si>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</si>
  <si>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</si>
  <si>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</si>
  <si>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</si>
  <si>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</si>
  <si>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</si>
  <si>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</si>
  <si>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</si>
  <si>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</si>
  <si>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</si>
  <si>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</si>
  <si>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</si>
  <si>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</si>
  <si>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</si>
  <si>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</si>
  <si>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</si>
  <si>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</si>
  <si>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</si>
  <si>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</si>
  <si>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</si>
  <si>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</si>
  <si>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</si>
  <si>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</si>
  <si>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</si>
  <si>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</si>
  <si>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</si>
  <si>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</si>
  <si>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</si>
  <si>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</si>
  <si>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</si>
  <si>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</si>
  <si>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</si>
  <si>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</si>
  <si>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</si>
  <si>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</si>
  <si>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</si>
  <si>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</si>
  <si>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</si>
  <si>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</si>
  <si>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</si>
  <si>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</si>
  <si>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</si>
  <si>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</si>
  <si>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</si>
  <si>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</si>
  <si>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</si>
  <si>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</si>
  <si>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</si>
  <si>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</si>
  <si>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</si>
  <si>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</si>
  <si>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</si>
  <si>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</si>
  <si>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</si>
  <si>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</si>
  <si>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</si>
  <si>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</si>
  <si>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</si>
  <si>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</si>
  <si>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</si>
  <si>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</si>
  <si>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</si>
  <si>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</si>
  <si>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</si>
  <si>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</si>
  <si>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</si>
  <si>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</si>
  <si>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</si>
  <si>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</si>
  <si>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</si>
  <si>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</si>
  <si>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</si>
  <si>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</si>
  <si>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</si>
  <si>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</si>
  <si>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</si>
  <si>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</si>
  <si>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</si>
  <si>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</si>
  <si>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</si>
  <si>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</si>
  <si>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</si>
  <si>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</si>
  <si>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</si>
  <si>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</si>
  <si>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</si>
  <si>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</si>
  <si>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</si>
  <si>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</si>
  <si>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</si>
  <si>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</si>
  <si>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</si>
  <si>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</si>
  <si>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</si>
  <si>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</si>
  <si>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</si>
  <si>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</si>
  <si>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</si>
  <si>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</si>
  <si>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</si>
  <si>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</si>
  <si>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</si>
  <si>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</si>
  <si>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</si>
  <si>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</si>
  <si>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</si>
  <si>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</si>
  <si>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</si>
  <si>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</si>
  <si>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</si>
  <si>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</si>
  <si>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</si>
  <si>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</si>
  <si>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</si>
  <si>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</si>
  <si>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</si>
  <si>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</si>
  <si>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</si>
  <si>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</si>
  <si>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</si>
  <si>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</si>
  <si>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</si>
  <si>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</si>
  <si>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</si>
  <si>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</si>
  <si>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</si>
  <si>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</si>
  <si>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</si>
  <si>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</si>
  <si>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</si>
  <si>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</si>
  <si>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</si>
  <si>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</si>
  <si>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</si>
  <si>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</si>
  <si>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</si>
  <si>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</si>
  <si>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</si>
  <si>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</si>
  <si>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</si>
  <si>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</si>
  <si>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</si>
  <si>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</si>
  <si>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</si>
  <si>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</si>
  <si>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</si>
  <si>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</si>
  <si>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</si>
  <si>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</si>
  <si>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</si>
  <si>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</si>
  <si>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</si>
  <si>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</si>
  <si>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</si>
  <si>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</si>
  <si>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</si>
  <si>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</si>
  <si>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</si>
  <si>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</si>
  <si>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</si>
  <si>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</si>
  <si>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</si>
  <si>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</si>
  <si>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</si>
  <si>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</si>
  <si>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</si>
  <si>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</si>
  <si>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</si>
  <si>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</si>
  <si>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</si>
  <si>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</si>
  <si>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</si>
  <si>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</si>
  <si>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</si>
  <si>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</si>
  <si>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</si>
  <si>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</si>
  <si>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</si>
  <si>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</si>
  <si>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</si>
  <si>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</si>
  <si>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</si>
  <si>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</si>
  <si>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</si>
  <si>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</si>
  <si>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</si>
  <si>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</si>
  <si>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</si>
  <si>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</si>
  <si>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</si>
  <si>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</si>
  <si>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</si>
  <si>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</si>
  <si>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</si>
  <si>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</si>
  <si>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</si>
  <si>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</si>
  <si>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</si>
  <si>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</si>
  <si>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</si>
  <si>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</si>
  <si>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</si>
  <si>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</si>
  <si>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</si>
  <si>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</si>
  <si>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</si>
  <si>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</si>
  <si>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</si>
  <si>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</si>
  <si>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</si>
  <si>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</si>
  <si>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</si>
  <si>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</si>
  <si>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</si>
  <si>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</si>
  <si>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</si>
  <si>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</si>
  <si>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</si>
  <si>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</si>
  <si>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</si>
  <si>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</si>
  <si>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</si>
  <si>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</si>
  <si>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</si>
  <si>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</si>
  <si>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</si>
  <si>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</si>
  <si>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</si>
  <si>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</si>
  <si>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</si>
  <si>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</si>
  <si>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</si>
  <si>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</si>
  <si>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</si>
  <si>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</si>
  <si>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</si>
  <si>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</si>
  <si>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</si>
  <si>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</si>
  <si>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</si>
  <si>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</si>
  <si>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</si>
  <si>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</si>
  <si>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</si>
  <si>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</si>
  <si>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</si>
  <si>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</si>
  <si>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</si>
  <si>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</si>
  <si>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</si>
  <si>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</si>
  <si>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</si>
  <si>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</si>
  <si>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</si>
  <si>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</si>
  <si>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</si>
  <si>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</si>
  <si>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</si>
  <si>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</si>
  <si>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</si>
  <si>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</si>
  <si>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</si>
  <si>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</si>
  <si>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</si>
  <si>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</si>
  <si>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</si>
  <si>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</si>
  <si>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</si>
  <si>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</si>
  <si>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</si>
  <si>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</si>
  <si>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</si>
  <si>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</si>
  <si>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</si>
  <si>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</si>
  <si>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</si>
  <si>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</si>
  <si>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</si>
  <si>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</si>
  <si>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</si>
  <si>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</si>
  <si>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</si>
  <si>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</si>
  <si>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</si>
  <si>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</si>
  <si>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</si>
  <si>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</si>
  <si>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</si>
  <si>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</si>
  <si>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</si>
  <si>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</si>
  <si>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NFA2X-T 3 x 70 + N 50 mm²</t>
  </si>
  <si>
    <t>PEKERJAAN PEMASANGAN KONDUKTOR</t>
  </si>
  <si>
    <t>PEKERJAAN PEMASANGAN APP</t>
  </si>
  <si>
    <t>B2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</si>
  <si>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</si>
  <si>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</si>
  <si>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</si>
  <si>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</si>
  <si>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</si>
  <si>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</si>
  <si>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</si>
  <si>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</si>
  <si>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</si>
  <si>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</si>
  <si>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</si>
  <si>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</si>
  <si>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</si>
  <si>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</si>
  <si>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</si>
  <si>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</si>
  <si>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</si>
  <si>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</si>
  <si>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</si>
  <si>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</si>
  <si>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</si>
  <si>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</si>
  <si>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</si>
  <si>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</si>
  <si>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</si>
  <si>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</si>
  <si>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</si>
  <si>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</si>
  <si>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</si>
  <si>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</si>
  <si>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</si>
  <si>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</si>
  <si>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</si>
  <si>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</si>
  <si>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</si>
  <si>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</si>
  <si>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</si>
  <si>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</si>
  <si>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</si>
  <si>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</si>
  <si>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</si>
  <si>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</si>
  <si>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</si>
  <si>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MGN04</t>
  </si>
  <si>
    <t>Trafo 3 Fasa 50 KVA 1 Tiang (G312-A)</t>
  </si>
  <si>
    <t>Daya 23.000 VA</t>
  </si>
  <si>
    <t>Hasil Ukur Trafo 3 Ph 50 KVA ( X ) di SYG5-206A/4</t>
  </si>
  <si>
    <t>APP 23KVA</t>
  </si>
  <si>
    <t>CJ6-T</t>
  </si>
  <si>
    <t>G312-A 50KVA</t>
  </si>
  <si>
    <t>CJ5-T</t>
  </si>
  <si>
    <t>Keterangan Tambahan :  '-7.065240, 110.528642</t>
  </si>
  <si>
    <t>PB 23KVA RYAN GHOZALI</t>
  </si>
  <si>
    <t>KOORDINAT LOKASI :  '-7.065240, 110.528642</t>
  </si>
  <si>
    <t>RYAN GHOZALI</t>
  </si>
  <si>
    <t>DS MARGOHAYU</t>
  </si>
  <si>
    <t>T1-6/12</t>
  </si>
  <si>
    <t>Tegowanu, …...........</t>
  </si>
  <si>
    <t>MANAGER ULP TEGOWANU</t>
  </si>
  <si>
    <t>HARY PRATAMA</t>
  </si>
  <si>
    <t>ATB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</si>
</sst>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9"/>
      <color rgb="FF000000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731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5" fontId="100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5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63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2" fillId="0" borderId="0" applyFont="0" applyFill="0" applyBorder="0" applyAlignment="0" applyProtection="0"/>
    <xf numFmtId="164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6" fontId="19" fillId="0" borderId="0" applyFont="0" applyFill="0" applyBorder="0" applyAlignment="0" applyProtection="0"/>
    <xf numFmtId="166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7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65" fillId="0" borderId="0"/>
    <xf numFmtId="0" fontId="32" fillId="0" borderId="0"/>
    <xf numFmtId="0" fontId="107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7" fillId="0" borderId="0"/>
    <xf numFmtId="0" fontId="10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7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7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7" fillId="0" borderId="0"/>
    <xf numFmtId="0" fontId="107" fillId="0" borderId="0"/>
    <xf numFmtId="0" fontId="107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7" fillId="0" borderId="0"/>
    <xf numFmtId="0" fontId="108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109" fillId="0" borderId="0"/>
    <xf numFmtId="0" fontId="18" fillId="0" borderId="0"/>
    <xf numFmtId="0" fontId="18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9" fillId="0" borderId="0"/>
    <xf numFmtId="0" fontId="108" fillId="0" borderId="0"/>
    <xf numFmtId="0" fontId="6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8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39" fillId="0" borderId="0" applyFont="0" applyFill="0" applyBorder="0" applyAlignment="0" applyProtection="0"/>
    <xf numFmtId="41" fontId="151" fillId="0" borderId="0" applyFont="0" applyFill="0" applyBorder="0" applyAlignment="0" applyProtection="0"/>
    <xf numFmtId="0" fontId="18" fillId="0" borderId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7" fontId="18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8" fillId="0" borderId="0" applyFont="0" applyFill="0" applyBorder="0" applyAlignment="0" applyProtection="0"/>
    <xf numFmtId="0" fontId="3" fillId="0" borderId="0"/>
    <xf numFmtId="0" fontId="3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" fillId="0" borderId="0"/>
    <xf numFmtId="0" fontId="12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0" fontId="3" fillId="0" borderId="0"/>
    <xf numFmtId="41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0" fontId="2" fillId="0" borderId="0"/>
    <xf numFmtId="41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717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4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4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4" fontId="41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5" fontId="49" fillId="0" borderId="0" xfId="1652" applyNumberFormat="1" applyFont="1"/>
    <xf numFmtId="0" fontId="107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5" fontId="40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5" fontId="40" fillId="0" borderId="0" xfId="1615" applyNumberFormat="1" applyFont="1" applyAlignment="1">
      <alignment horizontal="left" vertical="center"/>
    </xf>
    <xf numFmtId="165" fontId="49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4" fontId="91" fillId="0" borderId="0" xfId="1448" applyNumberFormat="1" applyFont="1" applyAlignment="1">
      <alignment wrapText="1"/>
    </xf>
    <xf numFmtId="164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4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13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16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5" fontId="112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14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14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26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4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16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22" fillId="36" borderId="0" xfId="2670" applyFont="1" applyFill="1" applyAlignment="1">
      <alignment horizontal="left" vertical="center"/>
    </xf>
    <xf numFmtId="0" fontId="122" fillId="36" borderId="0" xfId="2670" applyFont="1" applyFill="1" applyAlignment="1">
      <alignment horizontal="center" vertical="center"/>
    </xf>
    <xf numFmtId="0" fontId="123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right" vertical="center"/>
    </xf>
    <xf numFmtId="9" fontId="125" fillId="36" borderId="0" xfId="2671" applyFont="1" applyFill="1" applyBorder="1" applyAlignment="1" applyProtection="1">
      <alignment horizontal="right" vertical="center"/>
    </xf>
    <xf numFmtId="165" fontId="124" fillId="36" borderId="0" xfId="2672" applyFont="1" applyFill="1" applyBorder="1" applyAlignment="1" applyProtection="1">
      <alignment horizontal="right" vertical="center"/>
    </xf>
    <xf numFmtId="165" fontId="125" fillId="36" borderId="0" xfId="2672" applyFont="1" applyFill="1" applyBorder="1" applyAlignment="1" applyProtection="1">
      <alignment horizontal="right" vertical="center"/>
    </xf>
    <xf numFmtId="10" fontId="125" fillId="36" borderId="0" xfId="2671" applyNumberFormat="1" applyFont="1" applyFill="1" applyBorder="1" applyAlignment="1" applyProtection="1">
      <alignment horizontal="right" vertical="center"/>
    </xf>
    <xf numFmtId="169" fontId="124" fillId="36" borderId="0" xfId="2672" applyNumberFormat="1" applyFont="1" applyFill="1" applyBorder="1" applyAlignment="1" applyProtection="1">
      <alignment horizontal="right" vertical="center"/>
    </xf>
    <xf numFmtId="0" fontId="118" fillId="0" borderId="0" xfId="2670" applyFont="1" applyAlignment="1">
      <alignment horizontal="left" vertical="center"/>
    </xf>
    <xf numFmtId="0" fontId="121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08" fillId="0" borderId="0" xfId="1538"/>
    <xf numFmtId="165" fontId="108" fillId="0" borderId="0" xfId="1538" applyNumberFormat="1"/>
    <xf numFmtId="0" fontId="58" fillId="0" borderId="0" xfId="1538" applyFont="1"/>
    <xf numFmtId="0" fontId="111" fillId="0" borderId="0" xfId="1538" applyFont="1"/>
    <xf numFmtId="0" fontId="49" fillId="0" borderId="42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8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5" fontId="0" fillId="0" borderId="3" xfId="1026" applyFont="1" applyFill="1" applyBorder="1" applyProtection="1"/>
    <xf numFmtId="165" fontId="108" fillId="0" borderId="3" xfId="1538" applyNumberFormat="1" applyBorder="1"/>
    <xf numFmtId="165" fontId="119" fillId="0" borderId="3" xfId="1026" applyFont="1" applyBorder="1" applyProtection="1"/>
    <xf numFmtId="165" fontId="0" fillId="0" borderId="3" xfId="1026" applyFont="1" applyBorder="1" applyProtection="1"/>
    <xf numFmtId="165" fontId="111" fillId="0" borderId="3" xfId="1538" applyNumberFormat="1" applyFont="1" applyBorder="1"/>
    <xf numFmtId="0" fontId="58" fillId="0" borderId="3" xfId="1538" applyFont="1" applyBorder="1"/>
    <xf numFmtId="164" fontId="108" fillId="0" borderId="3" xfId="1538" applyNumberFormat="1" applyBorder="1"/>
    <xf numFmtId="165" fontId="100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5" fontId="46" fillId="0" borderId="3" xfId="1538" applyNumberFormat="1" applyFont="1" applyBorder="1"/>
    <xf numFmtId="0" fontId="108" fillId="29" borderId="0" xfId="1538" applyFill="1"/>
    <xf numFmtId="0" fontId="46" fillId="0" borderId="0" xfId="1538" applyFont="1" applyAlignment="1">
      <alignment horizontal="center"/>
    </xf>
    <xf numFmtId="165" fontId="46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5" fontId="108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27" fillId="0" borderId="0" xfId="1614" applyFont="1" applyAlignment="1">
      <alignment horizontal="center"/>
    </xf>
    <xf numFmtId="0" fontId="128" fillId="0" borderId="0" xfId="1614" applyFont="1" applyAlignment="1">
      <alignment horizontal="center" vertical="center"/>
    </xf>
    <xf numFmtId="0" fontId="129" fillId="0" borderId="0" xfId="1614" applyFont="1" applyAlignment="1">
      <alignment horizontal="left" vertical="center"/>
    </xf>
    <xf numFmtId="0" fontId="129" fillId="0" borderId="0" xfId="1614" applyFont="1" applyAlignment="1">
      <alignment vertical="center"/>
    </xf>
    <xf numFmtId="0" fontId="130" fillId="0" borderId="0" xfId="1614" applyFont="1" applyAlignment="1">
      <alignment horizontal="center" vertical="center"/>
    </xf>
    <xf numFmtId="3" fontId="128" fillId="0" borderId="0" xfId="1614" applyNumberFormat="1" applyFont="1" applyAlignment="1">
      <alignment horizontal="center" vertical="center"/>
    </xf>
    <xf numFmtId="0" fontId="131" fillId="0" borderId="0" xfId="1614" applyFont="1" applyAlignment="1">
      <alignment horizontal="center" vertical="center"/>
    </xf>
    <xf numFmtId="0" fontId="130" fillId="0" borderId="0" xfId="1614" applyFont="1" applyAlignment="1">
      <alignment horizontal="center"/>
    </xf>
    <xf numFmtId="0" fontId="128" fillId="0" borderId="0" xfId="1614" applyFont="1" applyAlignment="1">
      <alignment horizontal="center"/>
    </xf>
    <xf numFmtId="3" fontId="127" fillId="0" borderId="0" xfId="1614" applyNumberFormat="1" applyFont="1" applyAlignment="1">
      <alignment horizontal="center"/>
    </xf>
    <xf numFmtId="0" fontId="132" fillId="0" borderId="0" xfId="1614" applyFont="1"/>
    <xf numFmtId="165" fontId="132" fillId="0" borderId="0" xfId="1652" applyNumberFormat="1" applyFont="1"/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horizontal="center" vertical="center"/>
    </xf>
    <xf numFmtId="3" fontId="129" fillId="0" borderId="0" xfId="1614" applyNumberFormat="1" applyFont="1" applyAlignment="1">
      <alignment horizontal="left" vertical="center"/>
    </xf>
    <xf numFmtId="0" fontId="132" fillId="0" borderId="0" xfId="1614" applyFont="1" applyAlignment="1">
      <alignment horizontal="center"/>
    </xf>
    <xf numFmtId="0" fontId="129" fillId="0" borderId="0" xfId="1614" applyFont="1" applyAlignment="1">
      <alignment horizontal="center"/>
    </xf>
    <xf numFmtId="0" fontId="132" fillId="0" borderId="0" xfId="1614" applyFont="1" applyAlignment="1">
      <alignment horizontal="center" vertical="center" wrapText="1"/>
    </xf>
    <xf numFmtId="0" fontId="129" fillId="0" borderId="0" xfId="1614" applyFont="1" applyAlignment="1">
      <alignment horizontal="center" vertical="center" wrapText="1"/>
    </xf>
    <xf numFmtId="3" fontId="128" fillId="0" borderId="0" xfId="1614" applyNumberFormat="1" applyFont="1" applyAlignment="1">
      <alignment vertical="center"/>
    </xf>
    <xf numFmtId="0" fontId="129" fillId="0" borderId="20" xfId="1615" applyFont="1" applyBorder="1" applyAlignment="1">
      <alignment horizontal="center" vertical="center"/>
    </xf>
    <xf numFmtId="0" fontId="129" fillId="0" borderId="21" xfId="1615" applyFont="1" applyBorder="1" applyAlignment="1">
      <alignment horizontal="left" vertical="center" wrapText="1"/>
    </xf>
    <xf numFmtId="0" fontId="128" fillId="0" borderId="21" xfId="1614" applyFont="1" applyBorder="1" applyAlignment="1">
      <alignment horizontal="center" vertical="center" wrapText="1"/>
    </xf>
    <xf numFmtId="0" fontId="135" fillId="0" borderId="21" xfId="1614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28" fillId="0" borderId="21" xfId="1614" applyNumberFormat="1" applyFont="1" applyBorder="1" applyAlignment="1">
      <alignment horizontal="center" vertical="center"/>
    </xf>
    <xf numFmtId="3" fontId="128" fillId="0" borderId="22" xfId="1614" applyNumberFormat="1" applyFont="1" applyBorder="1" applyAlignment="1">
      <alignment horizontal="center" vertical="center"/>
    </xf>
    <xf numFmtId="3" fontId="128" fillId="0" borderId="0" xfId="1614" applyNumberFormat="1" applyFont="1" applyAlignment="1">
      <alignment horizontal="center"/>
    </xf>
    <xf numFmtId="3" fontId="127" fillId="0" borderId="0" xfId="1614" applyNumberFormat="1" applyFont="1" applyAlignment="1">
      <alignment horizontal="center" vertical="center"/>
    </xf>
    <xf numFmtId="0" fontId="135" fillId="0" borderId="0" xfId="1614" applyFont="1" applyAlignment="1">
      <alignment horizontal="center"/>
    </xf>
    <xf numFmtId="0" fontId="130" fillId="0" borderId="21" xfId="1653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1" fillId="0" borderId="0" xfId="1614" applyFont="1" applyAlignment="1">
      <alignment horizontal="center"/>
    </xf>
    <xf numFmtId="0" fontId="128" fillId="0" borderId="21" xfId="1451" applyFont="1" applyBorder="1" applyAlignment="1">
      <alignment horizontal="left"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vertical="center" wrapText="1"/>
    </xf>
    <xf numFmtId="0" fontId="135" fillId="0" borderId="21" xfId="1652" applyFont="1" applyBorder="1" applyAlignment="1">
      <alignment horizontal="center" vertical="center"/>
    </xf>
    <xf numFmtId="0" fontId="135" fillId="0" borderId="44" xfId="1652" applyFont="1" applyBorder="1" applyAlignment="1">
      <alignment horizontal="center" vertical="center"/>
    </xf>
    <xf numFmtId="0" fontId="135" fillId="0" borderId="3" xfId="1652" applyFont="1" applyBorder="1" applyAlignment="1">
      <alignment vertical="center" wrapText="1"/>
    </xf>
    <xf numFmtId="0" fontId="128" fillId="0" borderId="3" xfId="1614" applyFont="1" applyBorder="1" applyAlignment="1">
      <alignment horizontal="center" vertical="center" wrapText="1"/>
    </xf>
    <xf numFmtId="0" fontId="135" fillId="0" borderId="3" xfId="1614" applyFont="1" applyBorder="1" applyAlignment="1">
      <alignment horizontal="center" vertical="center"/>
    </xf>
    <xf numFmtId="0" fontId="135" fillId="0" borderId="3" xfId="1652" applyFont="1" applyBorder="1" applyAlignment="1">
      <alignment horizontal="center" vertical="center"/>
    </xf>
    <xf numFmtId="207" fontId="135" fillId="0" borderId="3" xfId="1614" applyNumberFormat="1" applyFont="1" applyBorder="1" applyAlignment="1">
      <alignment horizontal="center" vertical="center"/>
    </xf>
    <xf numFmtId="3" fontId="128" fillId="0" borderId="3" xfId="1614" applyNumberFormat="1" applyFont="1" applyBorder="1" applyAlignment="1">
      <alignment horizontal="center" vertical="center"/>
    </xf>
    <xf numFmtId="3" fontId="128" fillId="0" borderId="39" xfId="1614" applyNumberFormat="1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28" fillId="0" borderId="23" xfId="1614" applyFont="1" applyBorder="1" applyAlignment="1">
      <alignment horizontal="center" vertical="center"/>
    </xf>
    <xf numFmtId="0" fontId="128" fillId="0" borderId="24" xfId="1614" applyFont="1" applyBorder="1" applyAlignment="1">
      <alignment horizontal="left" vertical="center"/>
    </xf>
    <xf numFmtId="0" fontId="128" fillId="0" borderId="24" xfId="1614" applyFont="1" applyBorder="1" applyAlignment="1">
      <alignment vertical="center"/>
    </xf>
    <xf numFmtId="0" fontId="135" fillId="0" borderId="24" xfId="1614" applyFont="1" applyBorder="1" applyAlignment="1">
      <alignment horizontal="center" vertical="center"/>
    </xf>
    <xf numFmtId="3" fontId="128" fillId="0" borderId="24" xfId="1614" applyNumberFormat="1" applyFont="1" applyBorder="1" applyAlignment="1">
      <alignment horizontal="center" vertical="center"/>
    </xf>
    <xf numFmtId="3" fontId="128" fillId="0" borderId="25" xfId="1614" applyNumberFormat="1" applyFont="1" applyBorder="1" applyAlignment="1">
      <alignment horizontal="center" vertical="center"/>
    </xf>
    <xf numFmtId="0" fontId="130" fillId="0" borderId="26" xfId="1614" applyFont="1" applyBorder="1" applyAlignment="1">
      <alignment horizontal="center" vertical="center"/>
    </xf>
    <xf numFmtId="37" fontId="132" fillId="0" borderId="27" xfId="1614" applyNumberFormat="1" applyFont="1" applyBorder="1" applyAlignment="1">
      <alignment horizontal="center"/>
    </xf>
    <xf numFmtId="37" fontId="130" fillId="0" borderId="27" xfId="1614" applyNumberFormat="1" applyFont="1" applyBorder="1" applyAlignment="1">
      <alignment horizontal="center"/>
    </xf>
    <xf numFmtId="0" fontId="130" fillId="0" borderId="28" xfId="1614" applyFont="1" applyBorder="1" applyAlignment="1">
      <alignment horizontal="center" vertical="center"/>
    </xf>
    <xf numFmtId="37" fontId="132" fillId="0" borderId="29" xfId="1614" applyNumberFormat="1" applyFont="1" applyBorder="1" applyAlignment="1">
      <alignment horizontal="center"/>
    </xf>
    <xf numFmtId="37" fontId="130" fillId="0" borderId="29" xfId="1614" applyNumberFormat="1" applyFont="1" applyBorder="1" applyAlignment="1">
      <alignment horizontal="center"/>
    </xf>
    <xf numFmtId="37" fontId="136" fillId="0" borderId="30" xfId="1614" applyNumberFormat="1" applyFont="1" applyBorder="1" applyAlignment="1">
      <alignment horizontal="center"/>
    </xf>
    <xf numFmtId="37" fontId="136" fillId="0" borderId="32" xfId="1614" applyNumberFormat="1" applyFont="1" applyBorder="1" applyAlignment="1">
      <alignment horizontal="center"/>
    </xf>
    <xf numFmtId="0" fontId="136" fillId="0" borderId="34" xfId="1614" applyFont="1" applyBorder="1" applyAlignment="1">
      <alignment vertical="center"/>
    </xf>
    <xf numFmtId="0" fontId="130" fillId="0" borderId="19" xfId="1614" applyFont="1" applyBorder="1"/>
    <xf numFmtId="0" fontId="130" fillId="0" borderId="19" xfId="1614" applyFont="1" applyBorder="1" applyAlignment="1">
      <alignment horizontal="center"/>
    </xf>
    <xf numFmtId="0" fontId="130" fillId="0" borderId="19" xfId="1614" applyFont="1" applyBorder="1" applyAlignment="1">
      <alignment horizontal="right"/>
    </xf>
    <xf numFmtId="0" fontId="130" fillId="0" borderId="31" xfId="1614" applyFont="1" applyBorder="1" applyAlignment="1">
      <alignment horizontal="right"/>
    </xf>
    <xf numFmtId="0" fontId="128" fillId="0" borderId="0" xfId="1614" applyFont="1" applyAlignment="1">
      <alignment horizontal="left" vertical="center"/>
    </xf>
    <xf numFmtId="0" fontId="128" fillId="0" borderId="0" xfId="1614" applyFont="1" applyAlignment="1">
      <alignment vertical="center"/>
    </xf>
    <xf numFmtId="0" fontId="135" fillId="0" borderId="0" xfId="1614" applyFont="1" applyAlignment="1">
      <alignment horizontal="center" vertical="center"/>
    </xf>
    <xf numFmtId="164" fontId="135" fillId="0" borderId="0" xfId="1652" applyNumberFormat="1" applyFont="1" applyAlignment="1">
      <alignment vertical="center"/>
    </xf>
    <xf numFmtId="0" fontId="130" fillId="0" borderId="0" xfId="1652" applyFont="1" applyAlignment="1">
      <alignment horizontal="right"/>
    </xf>
    <xf numFmtId="0" fontId="137" fillId="0" borderId="0" xfId="1644" applyFont="1" applyAlignment="1">
      <alignment horizontal="center" vertical="center"/>
    </xf>
    <xf numFmtId="0" fontId="135" fillId="0" borderId="0" xfId="1652" applyFont="1" applyAlignment="1">
      <alignment vertical="center"/>
    </xf>
    <xf numFmtId="0" fontId="138" fillId="39" borderId="59" xfId="2670" applyFont="1" applyFill="1" applyBorder="1" applyAlignment="1">
      <alignment horizontal="left" vertical="center"/>
    </xf>
    <xf numFmtId="0" fontId="138" fillId="39" borderId="60" xfId="2670" applyFont="1" applyFill="1" applyBorder="1" applyAlignment="1">
      <alignment horizontal="center" vertical="center"/>
    </xf>
    <xf numFmtId="0" fontId="138" fillId="39" borderId="62" xfId="2670" applyFont="1" applyFill="1" applyBorder="1" applyAlignment="1">
      <alignment horizontal="left" vertical="center"/>
    </xf>
    <xf numFmtId="0" fontId="138" fillId="39" borderId="58" xfId="2670" applyFont="1" applyFill="1" applyBorder="1" applyAlignment="1">
      <alignment horizontal="center" vertical="center"/>
    </xf>
    <xf numFmtId="0" fontId="138" fillId="39" borderId="64" xfId="2670" applyFont="1" applyFill="1" applyBorder="1" applyAlignment="1">
      <alignment horizontal="left" vertical="center"/>
    </xf>
    <xf numFmtId="0" fontId="138" fillId="39" borderId="65" xfId="2670" applyFont="1" applyFill="1" applyBorder="1" applyAlignment="1">
      <alignment horizontal="center" vertical="center"/>
    </xf>
    <xf numFmtId="165" fontId="120" fillId="40" borderId="61" xfId="2672" applyFont="1" applyFill="1" applyBorder="1" applyAlignment="1" applyProtection="1">
      <alignment horizontal="right" vertical="center" wrapText="1"/>
      <protection locked="0"/>
    </xf>
    <xf numFmtId="165" fontId="120" fillId="40" borderId="63" xfId="2672" applyFont="1" applyFill="1" applyBorder="1" applyAlignment="1" applyProtection="1">
      <alignment horizontal="right" vertical="center"/>
      <protection locked="0"/>
    </xf>
    <xf numFmtId="169" fontId="120" fillId="40" borderId="63" xfId="2672" applyNumberFormat="1" applyFont="1" applyFill="1" applyBorder="1" applyAlignment="1" applyProtection="1">
      <alignment horizontal="right" vertical="center"/>
      <protection locked="0"/>
    </xf>
    <xf numFmtId="169" fontId="120" fillId="40" borderId="66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51" xfId="2673" applyFont="1" applyBorder="1" applyAlignment="1">
      <alignment horizontal="center" vertical="center" wrapText="1"/>
    </xf>
    <xf numFmtId="0" fontId="141" fillId="0" borderId="0" xfId="2673" applyFont="1" applyAlignment="1">
      <alignment horizontal="center" vertical="center" wrapText="1"/>
    </xf>
    <xf numFmtId="0" fontId="142" fillId="0" borderId="0" xfId="2673" applyFont="1" applyAlignment="1">
      <alignment vertical="center" wrapText="1"/>
    </xf>
    <xf numFmtId="0" fontId="143" fillId="0" borderId="0" xfId="2673" applyFont="1" applyAlignment="1">
      <alignment vertical="center" wrapText="1"/>
    </xf>
    <xf numFmtId="0" fontId="126" fillId="35" borderId="70" xfId="2673" applyFont="1" applyFill="1" applyBorder="1" applyAlignment="1">
      <alignment vertical="center" wrapText="1"/>
    </xf>
    <xf numFmtId="0" fontId="126" fillId="43" borderId="70" xfId="2673" applyFont="1" applyFill="1" applyBorder="1" applyAlignment="1">
      <alignment vertical="center" wrapText="1"/>
    </xf>
    <xf numFmtId="0" fontId="140" fillId="0" borderId="0" xfId="2673" applyFont="1" applyAlignment="1">
      <alignment vertical="center" wrapText="1"/>
    </xf>
    <xf numFmtId="0" fontId="146" fillId="0" borderId="0" xfId="2673" applyFont="1" applyAlignment="1">
      <alignment horizontal="center" vertical="center" wrapText="1"/>
    </xf>
    <xf numFmtId="1" fontId="147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15" fillId="35" borderId="32" xfId="2673" applyFont="1" applyFill="1" applyBorder="1" applyAlignment="1">
      <alignment vertical="center" wrapText="1"/>
    </xf>
    <xf numFmtId="0" fontId="115" fillId="43" borderId="32" xfId="2673" applyFont="1" applyFill="1" applyBorder="1" applyAlignment="1">
      <alignment vertical="center" wrapText="1"/>
    </xf>
    <xf numFmtId="0" fontId="115" fillId="0" borderId="0" xfId="2673" applyFont="1" applyAlignment="1">
      <alignment vertical="center" wrapText="1"/>
    </xf>
    <xf numFmtId="2" fontId="115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2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5" fillId="0" borderId="0" xfId="2675" applyFont="1" applyFill="1" applyBorder="1" applyAlignment="1">
      <alignment horizontal="center" vertical="center" wrapText="1"/>
    </xf>
    <xf numFmtId="1" fontId="115" fillId="0" borderId="45" xfId="2673" applyNumberFormat="1" applyFont="1" applyBorder="1" applyAlignment="1">
      <alignment vertical="center" wrapText="1"/>
    </xf>
    <xf numFmtId="0" fontId="148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2" fontId="148" fillId="0" borderId="0" xfId="2673" applyNumberFormat="1" applyFont="1" applyAlignment="1">
      <alignment horizontal="center" vertical="center" wrapText="1"/>
    </xf>
    <xf numFmtId="1" fontId="148" fillId="0" borderId="0" xfId="2673" applyNumberFormat="1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26" fillId="35" borderId="46" xfId="2673" applyFont="1" applyFill="1" applyBorder="1" applyAlignment="1">
      <alignment vertical="center" wrapText="1"/>
    </xf>
    <xf numFmtId="0" fontId="126" fillId="0" borderId="48" xfId="2673" applyFont="1" applyBorder="1" applyAlignment="1">
      <alignment horizontal="center" vertical="center" wrapText="1"/>
    </xf>
    <xf numFmtId="0" fontId="126" fillId="35" borderId="44" xfId="2673" applyFont="1" applyFill="1" applyBorder="1" applyAlignment="1">
      <alignment vertical="center" wrapText="1"/>
    </xf>
    <xf numFmtId="1" fontId="115" fillId="0" borderId="50" xfId="2673" applyNumberFormat="1" applyFont="1" applyBorder="1" applyAlignment="1">
      <alignment vertical="center" wrapText="1"/>
    </xf>
    <xf numFmtId="0" fontId="115" fillId="35" borderId="44" xfId="2673" applyFont="1" applyFill="1" applyBorder="1" applyAlignment="1">
      <alignment vertical="center" wrapText="1"/>
    </xf>
    <xf numFmtId="0" fontId="115" fillId="35" borderId="74" xfId="2673" applyFont="1" applyFill="1" applyBorder="1" applyAlignment="1">
      <alignment vertical="center" wrapText="1"/>
    </xf>
    <xf numFmtId="0" fontId="102" fillId="0" borderId="52" xfId="2673" applyFont="1" applyBorder="1" applyAlignment="1">
      <alignment horizontal="center" vertical="center" wrapText="1"/>
    </xf>
    <xf numFmtId="0" fontId="126" fillId="0" borderId="46" xfId="2673" applyFont="1" applyBorder="1" applyAlignment="1">
      <alignment vertical="center" wrapText="1"/>
    </xf>
    <xf numFmtId="0" fontId="126" fillId="0" borderId="44" xfId="2673" applyFont="1" applyBorder="1" applyAlignment="1">
      <alignment vertical="center" wrapText="1"/>
    </xf>
    <xf numFmtId="0" fontId="115" fillId="0" borderId="44" xfId="2673" applyFont="1" applyBorder="1" applyAlignment="1">
      <alignment vertical="center" wrapText="1"/>
    </xf>
    <xf numFmtId="0" fontId="115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41" fontId="131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11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24" fillId="47" borderId="0" xfId="2672" applyNumberFormat="1" applyFont="1" applyFill="1" applyBorder="1" applyAlignment="1" applyProtection="1">
      <alignment horizontal="right" vertical="center"/>
    </xf>
    <xf numFmtId="0" fontId="159" fillId="33" borderId="81" xfId="0" applyFont="1" applyFill="1" applyBorder="1" applyAlignment="1">
      <alignment horizontal="center" vertical="center"/>
    </xf>
    <xf numFmtId="0" fontId="156" fillId="33" borderId="18" xfId="0" applyFont="1" applyFill="1" applyBorder="1" applyAlignment="1">
      <alignment horizontal="left"/>
    </xf>
    <xf numFmtId="0" fontId="135" fillId="0" borderId="21" xfId="1615" applyFont="1" applyBorder="1" applyAlignment="1">
      <alignment horizontal="center" vertical="center"/>
    </xf>
    <xf numFmtId="20" fontId="152" fillId="33" borderId="101" xfId="0" applyNumberFormat="1" applyFont="1" applyFill="1" applyBorder="1" applyAlignment="1">
      <alignment horizontal="center"/>
    </xf>
    <xf numFmtId="0" fontId="152" fillId="33" borderId="101" xfId="0" applyFont="1" applyFill="1" applyBorder="1" applyAlignment="1">
      <alignment horizontal="center"/>
    </xf>
    <xf numFmtId="3" fontId="135" fillId="0" borderId="21" xfId="1615" applyNumberFormat="1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52" fillId="33" borderId="26" xfId="0" applyFont="1" applyFill="1" applyBorder="1" applyAlignment="1">
      <alignment horizontal="center"/>
    </xf>
    <xf numFmtId="0" fontId="152" fillId="33" borderId="36" xfId="0" applyFont="1" applyFill="1" applyBorder="1" applyAlignment="1">
      <alignment horizontal="center"/>
    </xf>
    <xf numFmtId="0" fontId="152" fillId="33" borderId="28" xfId="0" applyFont="1" applyFill="1" applyBorder="1" applyAlignment="1">
      <alignment horizontal="center"/>
    </xf>
    <xf numFmtId="0" fontId="152" fillId="33" borderId="37" xfId="0" applyFont="1" applyFill="1" applyBorder="1" applyAlignment="1">
      <alignment horizontal="center"/>
    </xf>
    <xf numFmtId="0" fontId="155" fillId="33" borderId="0" xfId="0" applyFont="1" applyFill="1" applyAlignment="1">
      <alignment horizontal="center"/>
    </xf>
    <xf numFmtId="0" fontId="157" fillId="33" borderId="28" xfId="0" applyFont="1" applyFill="1" applyBorder="1" applyAlignment="1">
      <alignment horizontal="center"/>
    </xf>
    <xf numFmtId="0" fontId="157" fillId="33" borderId="0" xfId="0" applyFont="1" applyFill="1" applyAlignment="1">
      <alignment horizontal="center"/>
    </xf>
    <xf numFmtId="0" fontId="159" fillId="33" borderId="82" xfId="0" applyFont="1" applyFill="1" applyBorder="1" applyAlignment="1">
      <alignment horizontal="center" vertical="center"/>
    </xf>
    <xf numFmtId="0" fontId="161" fillId="33" borderId="85" xfId="0" applyFont="1" applyFill="1" applyBorder="1" applyAlignment="1">
      <alignment horizontal="center" vertical="center"/>
    </xf>
    <xf numFmtId="0" fontId="159" fillId="33" borderId="86" xfId="0" applyFont="1" applyFill="1" applyBorder="1" applyAlignment="1">
      <alignment horizontal="center" vertical="center"/>
    </xf>
    <xf numFmtId="0" fontId="162" fillId="33" borderId="0" xfId="0" applyFont="1" applyFill="1" applyAlignment="1">
      <alignment horizontal="center"/>
    </xf>
    <xf numFmtId="0" fontId="161" fillId="33" borderId="91" xfId="0" applyFont="1" applyFill="1" applyBorder="1" applyAlignment="1">
      <alignment horizontal="center" vertical="center"/>
    </xf>
    <xf numFmtId="0" fontId="163" fillId="33" borderId="94" xfId="0" applyFont="1" applyFill="1" applyBorder="1" applyAlignment="1">
      <alignment horizontal="center" vertical="top" wrapText="1"/>
    </xf>
    <xf numFmtId="0" fontId="163" fillId="33" borderId="95" xfId="0" applyFont="1" applyFill="1" applyBorder="1" applyAlignment="1">
      <alignment horizontal="center" vertical="top" wrapText="1"/>
    </xf>
    <xf numFmtId="0" fontId="152" fillId="33" borderId="40" xfId="0" applyFont="1" applyFill="1" applyBorder="1" applyAlignment="1">
      <alignment horizontal="center"/>
    </xf>
    <xf numFmtId="0" fontId="152" fillId="33" borderId="41" xfId="0" applyFont="1" applyFill="1" applyBorder="1" applyAlignment="1">
      <alignment vertical="top" wrapText="1"/>
    </xf>
    <xf numFmtId="0" fontId="152" fillId="33" borderId="42" xfId="0" applyFont="1" applyFill="1" applyBorder="1" applyAlignment="1">
      <alignment vertical="top" wrapText="1"/>
    </xf>
    <xf numFmtId="0" fontId="152" fillId="33" borderId="77" xfId="0" applyFont="1" applyFill="1" applyBorder="1" applyAlignment="1">
      <alignment vertical="top" wrapText="1"/>
    </xf>
    <xf numFmtId="0" fontId="163" fillId="33" borderId="28" xfId="0" applyFont="1" applyFill="1" applyBorder="1" applyAlignment="1">
      <alignment horizontal="center"/>
    </xf>
    <xf numFmtId="0" fontId="163" fillId="33" borderId="0" xfId="0" applyFont="1" applyFill="1" applyAlignment="1">
      <alignment horizontal="center"/>
    </xf>
    <xf numFmtId="0" fontId="152" fillId="33" borderId="40" xfId="0" applyFont="1" applyFill="1" applyBorder="1" applyAlignment="1">
      <alignment horizontal="center" vertical="center" wrapText="1"/>
    </xf>
    <xf numFmtId="0" fontId="163" fillId="33" borderId="34" xfId="0" applyFont="1" applyFill="1" applyBorder="1" applyAlignment="1">
      <alignment horizontal="center"/>
    </xf>
    <xf numFmtId="0" fontId="163" fillId="33" borderId="19" xfId="0" applyFont="1" applyFill="1" applyBorder="1" applyAlignment="1">
      <alignment horizontal="center"/>
    </xf>
    <xf numFmtId="0" fontId="152" fillId="33" borderId="19" xfId="0" applyFont="1" applyFill="1" applyBorder="1" applyAlignment="1">
      <alignment horizontal="center"/>
    </xf>
    <xf numFmtId="0" fontId="152" fillId="33" borderId="96" xfId="0" applyFont="1" applyFill="1" applyBorder="1" applyAlignment="1">
      <alignment horizontal="center"/>
    </xf>
    <xf numFmtId="0" fontId="152" fillId="33" borderId="99" xfId="0" applyFont="1" applyFill="1" applyBorder="1" applyAlignment="1">
      <alignment horizontal="center" vertical="top" wrapText="1"/>
    </xf>
    <xf numFmtId="0" fontId="152" fillId="33" borderId="102" xfId="0" applyFont="1" applyFill="1" applyBorder="1" applyAlignment="1">
      <alignment horizontal="center" vertical="top" wrapText="1"/>
    </xf>
    <xf numFmtId="49" fontId="152" fillId="33" borderId="99" xfId="0" applyNumberFormat="1" applyFont="1" applyFill="1" applyBorder="1" applyAlignment="1">
      <alignment horizontal="center" vertical="top" wrapText="1"/>
    </xf>
    <xf numFmtId="49" fontId="152" fillId="33" borderId="102" xfId="0" applyNumberFormat="1" applyFont="1" applyFill="1" applyBorder="1" applyAlignment="1">
      <alignment horizontal="center" vertical="top" wrapText="1"/>
    </xf>
    <xf numFmtId="0" fontId="152" fillId="33" borderId="101" xfId="0" applyFont="1" applyFill="1" applyBorder="1" applyAlignment="1">
      <alignment vertical="top" wrapText="1"/>
    </xf>
    <xf numFmtId="0" fontId="152" fillId="33" borderId="100" xfId="0" applyFont="1" applyFill="1" applyBorder="1" applyAlignment="1">
      <alignment vertical="top" wrapText="1"/>
    </xf>
    <xf numFmtId="0" fontId="152" fillId="33" borderId="101" xfId="0" applyFont="1" applyFill="1" applyBorder="1" applyAlignment="1">
      <alignment horizontal="center" vertical="center"/>
    </xf>
    <xf numFmtId="0" fontId="152" fillId="33" borderId="100" xfId="0" applyFont="1" applyFill="1" applyBorder="1" applyAlignment="1">
      <alignment horizontal="center" vertical="center"/>
    </xf>
    <xf numFmtId="0" fontId="152" fillId="33" borderId="100" xfId="0" applyFont="1" applyFill="1" applyBorder="1" applyAlignment="1">
      <alignment horizontal="left" vertical="center"/>
    </xf>
    <xf numFmtId="0" fontId="152" fillId="33" borderId="105" xfId="0" applyFont="1" applyFill="1" applyBorder="1" applyAlignment="1">
      <alignment horizontal="center"/>
    </xf>
    <xf numFmtId="0" fontId="152" fillId="33" borderId="100" xfId="0" applyFont="1" applyFill="1" applyBorder="1" applyAlignment="1">
      <alignment horizontal="center"/>
    </xf>
    <xf numFmtId="0" fontId="155" fillId="0" borderId="100" xfId="1450" applyFont="1" applyBorder="1" applyAlignment="1">
      <alignment horizontal="center"/>
    </xf>
    <xf numFmtId="0" fontId="36" fillId="0" borderId="0" xfId="1614" applyFont="1" applyAlignment="1">
      <alignment horizontal="center" vertical="center"/>
    </xf>
    <xf numFmtId="0" fontId="164" fillId="0" borderId="26" xfId="1451" applyFont="1" applyBorder="1"/>
    <xf numFmtId="0" fontId="164" fillId="0" borderId="36" xfId="1451" applyFont="1" applyBorder="1"/>
    <xf numFmtId="0" fontId="164" fillId="0" borderId="43" xfId="1451" applyFont="1" applyBorder="1"/>
    <xf numFmtId="0" fontId="164" fillId="0" borderId="28" xfId="1451" applyFont="1" applyBorder="1"/>
    <xf numFmtId="0" fontId="164" fillId="0" borderId="37" xfId="1451" applyFont="1" applyBorder="1"/>
    <xf numFmtId="0" fontId="156" fillId="0" borderId="37" xfId="1451" applyFont="1" applyBorder="1" applyAlignment="1">
      <alignment vertical="center"/>
    </xf>
    <xf numFmtId="0" fontId="164" fillId="0" borderId="34" xfId="1451" applyFont="1" applyBorder="1"/>
    <xf numFmtId="0" fontId="164" fillId="0" borderId="19" xfId="1451" applyFont="1" applyBorder="1"/>
    <xf numFmtId="0" fontId="156" fillId="0" borderId="19" xfId="1451" applyFont="1" applyBorder="1" applyAlignment="1">
      <alignment vertical="center"/>
    </xf>
    <xf numFmtId="0" fontId="156" fillId="0" borderId="19" xfId="1451" applyFont="1" applyBorder="1" applyAlignment="1">
      <alignment horizontal="center" vertical="center"/>
    </xf>
    <xf numFmtId="0" fontId="156" fillId="0" borderId="31" xfId="1451" applyFont="1" applyBorder="1" applyAlignment="1">
      <alignment vertical="center"/>
    </xf>
    <xf numFmtId="0" fontId="41" fillId="0" borderId="21" xfId="0" applyFont="1" applyBorder="1" applyAlignment="1">
      <alignment horizontal="left" vertical="center" wrapText="1"/>
    </xf>
    <xf numFmtId="0" fontId="164" fillId="33" borderId="0" xfId="1451" applyFont="1" applyFill="1"/>
    <xf numFmtId="0" fontId="164" fillId="33" borderId="26" xfId="1451" applyFont="1" applyFill="1" applyBorder="1"/>
    <xf numFmtId="0" fontId="164" fillId="33" borderId="36" xfId="1451" applyFont="1" applyFill="1" applyBorder="1"/>
    <xf numFmtId="0" fontId="164" fillId="33" borderId="43" xfId="1451" applyFont="1" applyFill="1" applyBorder="1"/>
    <xf numFmtId="0" fontId="164" fillId="33" borderId="28" xfId="1451" applyFont="1" applyFill="1" applyBorder="1"/>
    <xf numFmtId="0" fontId="164" fillId="33" borderId="37" xfId="1451" applyFont="1" applyFill="1" applyBorder="1"/>
    <xf numFmtId="0" fontId="166" fillId="33" borderId="0" xfId="1451" applyFont="1" applyFill="1" applyAlignment="1">
      <alignment vertical="center"/>
    </xf>
    <xf numFmtId="0" fontId="165" fillId="33" borderId="0" xfId="1451" applyFont="1" applyFill="1" applyAlignment="1">
      <alignment vertical="center"/>
    </xf>
    <xf numFmtId="0" fontId="169" fillId="33" borderId="0" xfId="1451" applyFont="1" applyFill="1" applyAlignment="1">
      <alignment horizontal="center" vertical="center"/>
    </xf>
    <xf numFmtId="0" fontId="170" fillId="33" borderId="0" xfId="1451" applyFont="1" applyFill="1"/>
    <xf numFmtId="0" fontId="171" fillId="33" borderId="0" xfId="1451" applyFont="1" applyFill="1"/>
    <xf numFmtId="0" fontId="156" fillId="33" borderId="0" xfId="1451" applyFont="1" applyFill="1" applyAlignment="1">
      <alignment vertical="center"/>
    </xf>
    <xf numFmtId="0" fontId="156" fillId="33" borderId="37" xfId="1451" applyFont="1" applyFill="1" applyBorder="1" applyAlignment="1">
      <alignment vertical="center"/>
    </xf>
    <xf numFmtId="0" fontId="171" fillId="33" borderId="0" xfId="1451" applyFont="1" applyFill="1" applyAlignment="1">
      <alignment horizontal="center"/>
    </xf>
    <xf numFmtId="0" fontId="156" fillId="33" borderId="0" xfId="1451" applyFont="1" applyFill="1" applyAlignment="1">
      <alignment horizontal="center" vertical="center"/>
    </xf>
    <xf numFmtId="0" fontId="156" fillId="33" borderId="37" xfId="1451" applyFont="1" applyFill="1" applyBorder="1" applyAlignment="1">
      <alignment horizontal="center" vertical="center"/>
    </xf>
    <xf numFmtId="0" fontId="172" fillId="33" borderId="0" xfId="1451" applyFont="1" applyFill="1" applyAlignment="1">
      <alignment vertical="center"/>
    </xf>
    <xf numFmtId="0" fontId="172" fillId="33" borderId="37" xfId="1451" applyFont="1" applyFill="1" applyBorder="1" applyAlignment="1">
      <alignment vertical="center"/>
    </xf>
    <xf numFmtId="0" fontId="164" fillId="33" borderId="34" xfId="1451" applyFont="1" applyFill="1" applyBorder="1"/>
    <xf numFmtId="0" fontId="164" fillId="33" borderId="19" xfId="1451" applyFont="1" applyFill="1" applyBorder="1"/>
    <xf numFmtId="0" fontId="156" fillId="33" borderId="19" xfId="1451" applyFont="1" applyFill="1" applyBorder="1" applyAlignment="1">
      <alignment vertical="center"/>
    </xf>
    <xf numFmtId="0" fontId="156" fillId="33" borderId="19" xfId="1451" applyFont="1" applyFill="1" applyBorder="1" applyAlignment="1">
      <alignment horizontal="center" vertical="center"/>
    </xf>
    <xf numFmtId="0" fontId="156" fillId="33" borderId="31" xfId="1451" applyFont="1" applyFill="1" applyBorder="1" applyAlignment="1">
      <alignment vertical="center"/>
    </xf>
    <xf numFmtId="0" fontId="164" fillId="33" borderId="31" xfId="1451" applyFont="1" applyFill="1" applyBorder="1"/>
    <xf numFmtId="0" fontId="152" fillId="33" borderId="0" xfId="0" applyFont="1" applyFill="1" applyAlignment="1">
      <alignment horizontal="center"/>
    </xf>
    <xf numFmtId="0" fontId="129" fillId="0" borderId="20" xfId="1653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134" fillId="0" borderId="20" xfId="1653" applyFont="1" applyBorder="1" applyAlignment="1">
      <alignment horizontal="center" vertical="center"/>
    </xf>
    <xf numFmtId="0" fontId="130" fillId="0" borderId="20" xfId="1653" applyFont="1" applyBorder="1" applyAlignment="1">
      <alignment horizontal="center" vertical="center"/>
    </xf>
    <xf numFmtId="0" fontId="164" fillId="0" borderId="0" xfId="1451" applyFont="1"/>
    <xf numFmtId="0" fontId="166" fillId="0" borderId="0" xfId="1451" applyFont="1" applyAlignment="1">
      <alignment vertical="center"/>
    </xf>
    <xf numFmtId="0" fontId="167" fillId="0" borderId="0" xfId="1451" applyFont="1"/>
    <xf numFmtId="0" fontId="165" fillId="0" borderId="0" xfId="1451" applyFont="1" applyAlignment="1">
      <alignment vertical="center"/>
    </xf>
    <xf numFmtId="0" fontId="169" fillId="0" borderId="0" xfId="1451" applyFont="1" applyAlignment="1">
      <alignment horizontal="center" vertical="center"/>
    </xf>
    <xf numFmtId="0" fontId="170" fillId="0" borderId="0" xfId="1451" applyFont="1"/>
    <xf numFmtId="0" fontId="171" fillId="0" borderId="0" xfId="1451" applyFont="1"/>
    <xf numFmtId="0" fontId="156" fillId="0" borderId="0" xfId="1451" applyFont="1" applyAlignment="1">
      <alignment vertical="center"/>
    </xf>
    <xf numFmtId="0" fontId="156" fillId="0" borderId="0" xfId="1451" applyFont="1" applyAlignment="1">
      <alignment horizontal="center" vertical="center"/>
    </xf>
    <xf numFmtId="0" fontId="164" fillId="0" borderId="0" xfId="1451" applyFont="1" applyAlignment="1">
      <alignment horizontal="center" vertical="center"/>
    </xf>
    <xf numFmtId="0" fontId="164" fillId="0" borderId="0" xfId="1451" applyFont="1" applyAlignment="1">
      <alignment horizontal="center"/>
    </xf>
    <xf numFmtId="0" fontId="165" fillId="35" borderId="0" xfId="1451" applyFont="1" applyFill="1" applyAlignment="1">
      <alignment vertical="center"/>
    </xf>
    <xf numFmtId="0" fontId="171" fillId="0" borderId="19" xfId="1451" applyFont="1" applyBorder="1" applyAlignment="1">
      <alignment horizontal="center"/>
    </xf>
    <xf numFmtId="0" fontId="171" fillId="0" borderId="19" xfId="1451" applyFont="1" applyBorder="1"/>
    <xf numFmtId="0" fontId="154" fillId="0" borderId="0" xfId="2669" applyFont="1" applyAlignment="1">
      <alignment vertical="center"/>
    </xf>
    <xf numFmtId="0" fontId="155" fillId="0" borderId="0" xfId="1450" applyFont="1" applyAlignment="1">
      <alignment horizontal="center"/>
    </xf>
    <xf numFmtId="0" fontId="128" fillId="0" borderId="21" xfId="1615" applyFont="1" applyBorder="1" applyAlignment="1">
      <alignment horizontal="left" vertical="center" wrapText="1"/>
    </xf>
    <xf numFmtId="0" fontId="110" fillId="0" borderId="20" xfId="1652" applyFont="1" applyBorder="1" applyAlignment="1">
      <alignment horizontal="center" vertical="center"/>
    </xf>
    <xf numFmtId="0" fontId="110" fillId="0" borderId="21" xfId="1652" applyFont="1" applyBorder="1" applyAlignment="1">
      <alignment vertical="center"/>
    </xf>
    <xf numFmtId="0" fontId="41" fillId="0" borderId="21" xfId="1450" applyFont="1" applyBorder="1" applyAlignment="1">
      <alignment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54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0" xfId="1615" applyNumberFormat="1" applyFont="1" applyFill="1" applyBorder="1" applyAlignment="1">
      <alignment horizontal="center" vertical="center"/>
    </xf>
    <xf numFmtId="3" fontId="40" fillId="31" borderId="41" xfId="1615" applyNumberFormat="1" applyFont="1" applyFill="1" applyBorder="1" applyAlignment="1">
      <alignment horizontal="center" vertical="center"/>
    </xf>
    <xf numFmtId="3" fontId="40" fillId="31" borderId="55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7" fillId="0" borderId="46" xfId="1614" applyFont="1" applyBorder="1" applyAlignment="1">
      <alignment horizontal="center" vertical="center"/>
    </xf>
    <xf numFmtId="0" fontId="47" fillId="0" borderId="44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48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49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3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41" fillId="42" borderId="67" xfId="2673" applyFont="1" applyFill="1" applyBorder="1" applyAlignment="1">
      <alignment horizontal="center" vertical="center" wrapText="1"/>
    </xf>
    <xf numFmtId="0" fontId="141" fillId="42" borderId="68" xfId="2673" applyFont="1" applyFill="1" applyBorder="1" applyAlignment="1">
      <alignment horizontal="center" vertical="center" wrapText="1"/>
    </xf>
    <xf numFmtId="0" fontId="141" fillId="42" borderId="69" xfId="2673" applyFont="1" applyFill="1" applyBorder="1" applyAlignment="1">
      <alignment horizontal="center" vertical="center" wrapText="1"/>
    </xf>
    <xf numFmtId="43" fontId="126" fillId="43" borderId="7" xfId="2673" applyNumberFormat="1" applyFont="1" applyFill="1" applyBorder="1" applyAlignment="1">
      <alignment horizontal="center" vertical="center" wrapText="1"/>
    </xf>
    <xf numFmtId="0" fontId="126" fillId="43" borderId="50" xfId="2673" applyFont="1" applyFill="1" applyBorder="1" applyAlignment="1">
      <alignment horizontal="center" vertical="center" wrapText="1"/>
    </xf>
    <xf numFmtId="1" fontId="115" fillId="43" borderId="7" xfId="2673" applyNumberFormat="1" applyFont="1" applyFill="1" applyBorder="1" applyAlignment="1">
      <alignment horizontal="center" vertical="center" wrapText="1"/>
    </xf>
    <xf numFmtId="1" fontId="115" fillId="43" borderId="50" xfId="2673" applyNumberFormat="1" applyFont="1" applyFill="1" applyBorder="1" applyAlignment="1">
      <alignment horizontal="center" vertical="center" wrapText="1"/>
    </xf>
    <xf numFmtId="0" fontId="115" fillId="43" borderId="7" xfId="2673" applyFont="1" applyFill="1" applyBorder="1" applyAlignment="1">
      <alignment horizontal="center" vertical="center" wrapText="1"/>
    </xf>
    <xf numFmtId="0" fontId="115" fillId="43" borderId="50" xfId="2673" applyFont="1" applyFill="1" applyBorder="1" applyAlignment="1">
      <alignment horizontal="center" vertical="center" wrapText="1"/>
    </xf>
    <xf numFmtId="1" fontId="126" fillId="44" borderId="45" xfId="2673" applyNumberFormat="1" applyFont="1" applyFill="1" applyBorder="1" applyAlignment="1">
      <alignment horizontal="center" vertical="center" wrapText="1"/>
    </xf>
    <xf numFmtId="1" fontId="126" fillId="44" borderId="50" xfId="2673" applyNumberFormat="1" applyFont="1" applyFill="1" applyBorder="1" applyAlignment="1">
      <alignment horizontal="center" vertical="center" wrapText="1"/>
    </xf>
    <xf numFmtId="2" fontId="115" fillId="43" borderId="51" xfId="2673" applyNumberFormat="1" applyFont="1" applyFill="1" applyBorder="1" applyAlignment="1">
      <alignment horizontal="center" vertical="center" wrapText="1"/>
    </xf>
    <xf numFmtId="2" fontId="115" fillId="43" borderId="71" xfId="2673" applyNumberFormat="1" applyFont="1" applyFill="1" applyBorder="1" applyAlignment="1">
      <alignment horizontal="center" vertical="center" wrapText="1"/>
    </xf>
    <xf numFmtId="43" fontId="126" fillId="44" borderId="75" xfId="2673" applyNumberFormat="1" applyFont="1" applyFill="1" applyBorder="1" applyAlignment="1">
      <alignment horizontal="center" vertical="center" wrapText="1"/>
    </xf>
    <xf numFmtId="43" fontId="126" fillId="44" borderId="69" xfId="2673" applyNumberFormat="1" applyFont="1" applyFill="1" applyBorder="1" applyAlignment="1">
      <alignment horizontal="center" vertical="center" wrapText="1"/>
    </xf>
    <xf numFmtId="2" fontId="115" fillId="35" borderId="3" xfId="2673" applyNumberFormat="1" applyFont="1" applyFill="1" applyBorder="1" applyAlignment="1">
      <alignment horizontal="center" vertical="center" wrapText="1"/>
    </xf>
    <xf numFmtId="2" fontId="115" fillId="35" borderId="39" xfId="2673" applyNumberFormat="1" applyFont="1" applyFill="1" applyBorder="1" applyAlignment="1">
      <alignment horizontal="center" vertical="center" wrapText="1"/>
    </xf>
    <xf numFmtId="2" fontId="115" fillId="0" borderId="3" xfId="2673" applyNumberFormat="1" applyFont="1" applyBorder="1" applyAlignment="1">
      <alignment horizontal="center" vertical="center" wrapText="1"/>
    </xf>
    <xf numFmtId="2" fontId="115" fillId="0" borderId="39" xfId="2673" applyNumberFormat="1" applyFont="1" applyBorder="1" applyAlignment="1">
      <alignment horizontal="center" vertical="center" wrapText="1"/>
    </xf>
    <xf numFmtId="0" fontId="144" fillId="0" borderId="45" xfId="2673" applyFont="1" applyBorder="1" applyAlignment="1">
      <alignment horizontal="center" vertical="center" wrapText="1"/>
    </xf>
    <xf numFmtId="0" fontId="144" fillId="0" borderId="50" xfId="2673" applyFont="1" applyBorder="1" applyAlignment="1">
      <alignment horizontal="center" vertical="center" wrapText="1"/>
    </xf>
    <xf numFmtId="0" fontId="144" fillId="44" borderId="3" xfId="2673" applyFont="1" applyFill="1" applyBorder="1" applyAlignment="1">
      <alignment horizontal="center" vertical="center" wrapText="1"/>
    </xf>
    <xf numFmtId="0" fontId="144" fillId="44" borderId="39" xfId="2673" applyFont="1" applyFill="1" applyBorder="1" applyAlignment="1">
      <alignment horizontal="center" vertical="center" wrapText="1"/>
    </xf>
    <xf numFmtId="1" fontId="115" fillId="0" borderId="3" xfId="2673" applyNumberFormat="1" applyFont="1" applyBorder="1" applyAlignment="1">
      <alignment horizontal="center" vertical="center" wrapText="1"/>
    </xf>
    <xf numFmtId="1" fontId="115" fillId="0" borderId="39" xfId="2673" applyNumberFormat="1" applyFont="1" applyBorder="1" applyAlignment="1">
      <alignment horizontal="center" vertical="center" wrapText="1"/>
    </xf>
    <xf numFmtId="2" fontId="115" fillId="45" borderId="3" xfId="2673" applyNumberFormat="1" applyFont="1" applyFill="1" applyBorder="1" applyAlignment="1">
      <alignment horizontal="center" vertical="center" wrapText="1"/>
    </xf>
    <xf numFmtId="2" fontId="115" fillId="45" borderId="39" xfId="2673" applyNumberFormat="1" applyFont="1" applyFill="1" applyBorder="1" applyAlignment="1">
      <alignment horizontal="center" vertical="center" wrapText="1"/>
    </xf>
    <xf numFmtId="0" fontId="5" fillId="0" borderId="72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73" xfId="2673" applyBorder="1" applyAlignment="1">
      <alignment horizontal="center" vertical="center" wrapText="1"/>
    </xf>
    <xf numFmtId="9" fontId="148" fillId="0" borderId="0" xfId="2675" applyFont="1" applyFill="1" applyBorder="1" applyAlignment="1">
      <alignment horizontal="center" vertical="center" wrapText="1"/>
    </xf>
    <xf numFmtId="0" fontId="145" fillId="37" borderId="0" xfId="2673" applyFont="1" applyFill="1" applyAlignment="1">
      <alignment horizontal="left" vertical="center" wrapText="1"/>
    </xf>
    <xf numFmtId="43" fontId="126" fillId="35" borderId="7" xfId="2673" applyNumberFormat="1" applyFont="1" applyFill="1" applyBorder="1" applyAlignment="1">
      <alignment horizontal="center" vertical="center" wrapText="1"/>
    </xf>
    <xf numFmtId="0" fontId="126" fillId="35" borderId="50" xfId="2673" applyFont="1" applyFill="1" applyBorder="1" applyAlignment="1">
      <alignment horizontal="center" vertical="center" wrapText="1"/>
    </xf>
    <xf numFmtId="2" fontId="115" fillId="35" borderId="51" xfId="2673" applyNumberFormat="1" applyFont="1" applyFill="1" applyBorder="1" applyAlignment="1">
      <alignment horizontal="center" vertical="center" wrapText="1"/>
    </xf>
    <xf numFmtId="2" fontId="115" fillId="35" borderId="71" xfId="2673" applyNumberFormat="1" applyFont="1" applyFill="1" applyBorder="1" applyAlignment="1">
      <alignment horizontal="center" vertical="center" wrapText="1"/>
    </xf>
    <xf numFmtId="0" fontId="141" fillId="41" borderId="67" xfId="2673" applyFont="1" applyFill="1" applyBorder="1" applyAlignment="1">
      <alignment horizontal="center" vertical="center" wrapText="1"/>
    </xf>
    <xf numFmtId="0" fontId="141" fillId="41" borderId="68" xfId="2673" applyFont="1" applyFill="1" applyBorder="1" applyAlignment="1">
      <alignment horizontal="center" vertical="center" wrapText="1"/>
    </xf>
    <xf numFmtId="0" fontId="141" fillId="41" borderId="69" xfId="2673" applyFont="1" applyFill="1" applyBorder="1" applyAlignment="1">
      <alignment horizontal="center" vertical="center" wrapText="1"/>
    </xf>
    <xf numFmtId="0" fontId="115" fillId="35" borderId="7" xfId="2673" applyFont="1" applyFill="1" applyBorder="1" applyAlignment="1">
      <alignment horizontal="center" vertical="center" wrapText="1"/>
    </xf>
    <xf numFmtId="0" fontId="115" fillId="35" borderId="50" xfId="2673" applyFont="1" applyFill="1" applyBorder="1" applyAlignment="1">
      <alignment horizontal="center" vertical="center" wrapText="1"/>
    </xf>
    <xf numFmtId="1" fontId="126" fillId="35" borderId="7" xfId="2673" applyNumberFormat="1" applyFont="1" applyFill="1" applyBorder="1" applyAlignment="1">
      <alignment horizontal="center" vertical="center" wrapText="1"/>
    </xf>
    <xf numFmtId="1" fontId="126" fillId="35" borderId="50" xfId="2673" applyNumberFormat="1" applyFont="1" applyFill="1" applyBorder="1" applyAlignment="1">
      <alignment horizontal="center" vertical="center" wrapText="1"/>
    </xf>
    <xf numFmtId="43" fontId="126" fillId="0" borderId="48" xfId="2673" applyNumberFormat="1" applyFont="1" applyBorder="1" applyAlignment="1">
      <alignment horizontal="center" vertical="center" wrapText="1"/>
    </xf>
    <xf numFmtId="0" fontId="126" fillId="0" borderId="49" xfId="2673" applyFont="1" applyBorder="1" applyAlignment="1">
      <alignment horizontal="center" vertical="center" wrapText="1"/>
    </xf>
    <xf numFmtId="9" fontId="115" fillId="0" borderId="52" xfId="2675" applyFont="1" applyFill="1" applyBorder="1" applyAlignment="1">
      <alignment horizontal="center" vertical="center" wrapText="1"/>
    </xf>
    <xf numFmtId="9" fontId="115" fillId="0" borderId="53" xfId="2675" applyFont="1" applyFill="1" applyBorder="1" applyAlignment="1">
      <alignment horizontal="center" vertical="center" wrapText="1"/>
    </xf>
    <xf numFmtId="1" fontId="126" fillId="0" borderId="3" xfId="2673" applyNumberFormat="1" applyFont="1" applyBorder="1" applyAlignment="1">
      <alignment horizontal="center" vertical="center" wrapText="1"/>
    </xf>
    <xf numFmtId="1" fontId="126" fillId="0" borderId="39" xfId="2673" applyNumberFormat="1" applyFont="1" applyBorder="1" applyAlignment="1">
      <alignment horizontal="center" vertical="center" wrapText="1"/>
    </xf>
    <xf numFmtId="9" fontId="115" fillId="35" borderId="52" xfId="2675" applyFont="1" applyFill="1" applyBorder="1" applyAlignment="1">
      <alignment horizontal="center" vertical="center" wrapText="1"/>
    </xf>
    <xf numFmtId="9" fontId="115" fillId="35" borderId="53" xfId="2675" applyFont="1" applyFill="1" applyBorder="1" applyAlignment="1">
      <alignment horizontal="center" vertical="center" wrapText="1"/>
    </xf>
    <xf numFmtId="0" fontId="6" fillId="34" borderId="56" xfId="2670" applyFill="1" applyBorder="1" applyAlignment="1">
      <alignment horizontal="center" vertical="center"/>
    </xf>
    <xf numFmtId="0" fontId="118" fillId="0" borderId="57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9" fillId="0" borderId="42" xfId="1538" applyFont="1" applyBorder="1" applyAlignment="1">
      <alignment horizontal="left"/>
    </xf>
    <xf numFmtId="0" fontId="129" fillId="0" borderId="0" xfId="1644" applyFont="1" applyAlignment="1">
      <alignment horizontal="center" vertical="center"/>
    </xf>
    <xf numFmtId="37" fontId="136" fillId="0" borderId="19" xfId="1614" applyNumberFormat="1" applyFont="1" applyBorder="1" applyAlignment="1">
      <alignment horizontal="center"/>
    </xf>
    <xf numFmtId="37" fontId="130" fillId="0" borderId="0" xfId="1614" applyNumberFormat="1" applyFont="1" applyAlignment="1">
      <alignment horizontal="center"/>
    </xf>
    <xf numFmtId="0" fontId="150" fillId="0" borderId="26" xfId="1614" applyFont="1" applyBorder="1" applyAlignment="1">
      <alignment horizontal="left" vertical="center" wrapText="1"/>
    </xf>
    <xf numFmtId="0" fontId="150" fillId="0" borderId="36" xfId="1614" applyFont="1" applyBorder="1" applyAlignment="1">
      <alignment horizontal="left" vertical="center" wrapText="1"/>
    </xf>
    <xf numFmtId="0" fontId="150" fillId="0" borderId="43" xfId="1614" applyFont="1" applyBorder="1" applyAlignment="1">
      <alignment horizontal="left" vertical="center" wrapText="1"/>
    </xf>
    <xf numFmtId="0" fontId="150" fillId="0" borderId="28" xfId="1614" applyFont="1" applyBorder="1" applyAlignment="1">
      <alignment horizontal="left" vertical="center" wrapText="1"/>
    </xf>
    <xf numFmtId="0" fontId="150" fillId="0" borderId="0" xfId="1614" applyFont="1" applyAlignment="1">
      <alignment horizontal="left" vertical="center" wrapText="1"/>
    </xf>
    <xf numFmtId="0" fontId="150" fillId="0" borderId="37" xfId="1614" applyFont="1" applyBorder="1" applyAlignment="1">
      <alignment horizontal="left" vertical="center" wrapText="1"/>
    </xf>
    <xf numFmtId="0" fontId="135" fillId="0" borderId="0" xfId="1652" applyFont="1" applyAlignment="1">
      <alignment horizontal="center" vertical="center"/>
    </xf>
    <xf numFmtId="0" fontId="130" fillId="0" borderId="0" xfId="1652" applyFont="1" applyAlignment="1">
      <alignment horizontal="center" vertical="center"/>
    </xf>
    <xf numFmtId="0" fontId="132" fillId="30" borderId="3" xfId="1614" applyFont="1" applyFill="1" applyBorder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37" fontId="130" fillId="0" borderId="36" xfId="1614" applyNumberFormat="1" applyFont="1" applyBorder="1" applyAlignment="1">
      <alignment horizontal="center"/>
    </xf>
    <xf numFmtId="0" fontId="134" fillId="35" borderId="46" xfId="1614" applyFont="1" applyFill="1" applyBorder="1" applyAlignment="1">
      <alignment horizontal="center" vertical="center"/>
    </xf>
    <xf numFmtId="0" fontId="134" fillId="35" borderId="44" xfId="1614" applyFont="1" applyFill="1" applyBorder="1" applyAlignment="1">
      <alignment horizontal="center" vertical="center"/>
    </xf>
    <xf numFmtId="0" fontId="134" fillId="35" borderId="47" xfId="1614" applyFont="1" applyFill="1" applyBorder="1" applyAlignment="1">
      <alignment horizontal="center" vertical="center"/>
    </xf>
    <xf numFmtId="0" fontId="134" fillId="35" borderId="21" xfId="1614" applyFont="1" applyFill="1" applyBorder="1" applyAlignment="1">
      <alignment horizontal="center" vertical="center"/>
    </xf>
    <xf numFmtId="0" fontId="134" fillId="35" borderId="33" xfId="1614" applyFont="1" applyFill="1" applyBorder="1" applyAlignment="1">
      <alignment horizontal="center" vertical="center"/>
    </xf>
    <xf numFmtId="0" fontId="134" fillId="35" borderId="48" xfId="1614" applyFont="1" applyFill="1" applyBorder="1" applyAlignment="1">
      <alignment horizontal="center" vertical="center"/>
    </xf>
    <xf numFmtId="0" fontId="134" fillId="35" borderId="3" xfId="1614" applyFont="1" applyFill="1" applyBorder="1" applyAlignment="1">
      <alignment horizontal="center" vertical="center"/>
    </xf>
    <xf numFmtId="0" fontId="134" fillId="35" borderId="47" xfId="1614" applyFont="1" applyFill="1" applyBorder="1" applyAlignment="1">
      <alignment horizontal="center" vertical="center" wrapText="1"/>
    </xf>
    <xf numFmtId="0" fontId="134" fillId="35" borderId="21" xfId="1614" applyFont="1" applyFill="1" applyBorder="1" applyAlignment="1">
      <alignment horizontal="center" vertical="center" wrapText="1"/>
    </xf>
    <xf numFmtId="0" fontId="134" fillId="35" borderId="33" xfId="1614" applyFont="1" applyFill="1" applyBorder="1" applyAlignment="1">
      <alignment horizontal="center" vertical="center" wrapText="1"/>
    </xf>
    <xf numFmtId="0" fontId="134" fillId="35" borderId="35" xfId="1652" applyFont="1" applyFill="1" applyBorder="1" applyAlignment="1">
      <alignment horizontal="center" vertical="center" wrapText="1"/>
    </xf>
    <xf numFmtId="0" fontId="134" fillId="35" borderId="33" xfId="1652" applyFont="1" applyFill="1" applyBorder="1" applyAlignment="1">
      <alignment horizontal="center" vertical="center" wrapText="1"/>
    </xf>
    <xf numFmtId="0" fontId="134" fillId="35" borderId="49" xfId="1614" applyFont="1" applyFill="1" applyBorder="1" applyAlignment="1">
      <alignment horizontal="center" vertical="center"/>
    </xf>
    <xf numFmtId="0" fontId="134" fillId="35" borderId="39" xfId="1614" applyFont="1" applyFill="1" applyBorder="1" applyAlignment="1">
      <alignment horizontal="center" vertical="center"/>
    </xf>
    <xf numFmtId="0" fontId="152" fillId="33" borderId="51" xfId="0" applyFont="1" applyFill="1" applyBorder="1" applyAlignment="1">
      <alignment horizontal="center"/>
    </xf>
    <xf numFmtId="0" fontId="152" fillId="33" borderId="97" xfId="0" applyFont="1" applyFill="1" applyBorder="1" applyAlignment="1">
      <alignment horizontal="center"/>
    </xf>
    <xf numFmtId="0" fontId="152" fillId="33" borderId="52" xfId="0" applyFont="1" applyFill="1" applyBorder="1" applyAlignment="1">
      <alignment horizontal="center"/>
    </xf>
    <xf numFmtId="0" fontId="152" fillId="33" borderId="53" xfId="0" applyFont="1" applyFill="1" applyBorder="1" applyAlignment="1">
      <alignment horizontal="center"/>
    </xf>
    <xf numFmtId="0" fontId="152" fillId="33" borderId="102" xfId="0" applyFont="1" applyFill="1" applyBorder="1" applyAlignment="1">
      <alignment horizontal="center"/>
    </xf>
    <xf numFmtId="0" fontId="152" fillId="33" borderId="99" xfId="0" applyFont="1" applyFill="1" applyBorder="1" applyAlignment="1">
      <alignment horizontal="center"/>
    </xf>
    <xf numFmtId="0" fontId="152" fillId="33" borderId="100" xfId="0" applyFont="1" applyFill="1" applyBorder="1" applyAlignment="1">
      <alignment horizontal="center"/>
    </xf>
    <xf numFmtId="0" fontId="152" fillId="33" borderId="101" xfId="0" applyFont="1" applyFill="1" applyBorder="1" applyAlignment="1">
      <alignment horizontal="center"/>
    </xf>
    <xf numFmtId="15" fontId="152" fillId="33" borderId="100" xfId="0" applyNumberFormat="1" applyFont="1" applyFill="1" applyBorder="1" applyAlignment="1">
      <alignment horizontal="center"/>
    </xf>
    <xf numFmtId="0" fontId="152" fillId="33" borderId="78" xfId="0" applyFont="1" applyFill="1" applyBorder="1" applyAlignment="1">
      <alignment horizontal="center" vertical="center"/>
    </xf>
    <xf numFmtId="0" fontId="152" fillId="33" borderId="104" xfId="0" applyFont="1" applyFill="1" applyBorder="1" applyAlignment="1">
      <alignment horizontal="center" vertical="center"/>
    </xf>
    <xf numFmtId="0" fontId="152" fillId="33" borderId="0" xfId="0" applyFont="1" applyFill="1" applyAlignment="1">
      <alignment horizontal="center" vertical="center" wrapText="1"/>
    </xf>
    <xf numFmtId="0" fontId="152" fillId="33" borderId="37" xfId="0" applyFont="1" applyFill="1" applyBorder="1" applyAlignment="1">
      <alignment horizontal="center" vertical="center" wrapText="1"/>
    </xf>
    <xf numFmtId="0" fontId="152" fillId="33" borderId="42" xfId="0" applyFont="1" applyFill="1" applyBorder="1" applyAlignment="1">
      <alignment horizontal="center" vertical="center" wrapText="1"/>
    </xf>
    <xf numFmtId="0" fontId="152" fillId="33" borderId="77" xfId="0" applyFont="1" applyFill="1" applyBorder="1" applyAlignment="1">
      <alignment horizontal="center" vertical="center" wrapText="1"/>
    </xf>
    <xf numFmtId="0" fontId="156" fillId="33" borderId="105" xfId="0" applyFont="1" applyFill="1" applyBorder="1" applyAlignment="1">
      <alignment horizontal="left" vertical="top" wrapText="1"/>
    </xf>
    <xf numFmtId="0" fontId="156" fillId="33" borderId="78" xfId="0" applyFont="1" applyFill="1" applyBorder="1" applyAlignment="1">
      <alignment horizontal="left" vertical="top" wrapText="1"/>
    </xf>
    <xf numFmtId="0" fontId="156" fillId="33" borderId="104" xfId="0" applyFont="1" applyFill="1" applyBorder="1" applyAlignment="1">
      <alignment horizontal="left" vertical="top" wrapText="1"/>
    </xf>
    <xf numFmtId="0" fontId="161" fillId="33" borderId="89" xfId="0" applyFont="1" applyFill="1" applyBorder="1" applyAlignment="1">
      <alignment horizontal="center" vertical="center"/>
    </xf>
    <xf numFmtId="0" fontId="161" fillId="33" borderId="90" xfId="0" applyFont="1" applyFill="1" applyBorder="1" applyAlignment="1">
      <alignment horizontal="center" vertical="center"/>
    </xf>
    <xf numFmtId="0" fontId="152" fillId="33" borderId="102" xfId="0" applyFont="1" applyFill="1" applyBorder="1" applyAlignment="1">
      <alignment horizontal="center" vertical="top" wrapText="1"/>
    </xf>
    <xf numFmtId="0" fontId="152" fillId="33" borderId="99" xfId="0" applyFont="1" applyFill="1" applyBorder="1" applyAlignment="1">
      <alignment horizontal="center" vertical="top" wrapText="1"/>
    </xf>
    <xf numFmtId="0" fontId="159" fillId="33" borderId="83" xfId="0" applyFont="1" applyFill="1" applyBorder="1" applyAlignment="1">
      <alignment horizontal="center" vertical="center"/>
    </xf>
    <xf numFmtId="0" fontId="159" fillId="33" borderId="81" xfId="0" applyFont="1" applyFill="1" applyBorder="1" applyAlignment="1">
      <alignment horizontal="center" vertical="center"/>
    </xf>
    <xf numFmtId="0" fontId="163" fillId="33" borderId="92" xfId="0" applyFont="1" applyFill="1" applyBorder="1" applyAlignment="1">
      <alignment horizontal="center" vertical="center" wrapText="1"/>
    </xf>
    <xf numFmtId="0" fontId="163" fillId="33" borderId="93" xfId="0" applyFont="1" applyFill="1" applyBorder="1" applyAlignment="1">
      <alignment horizontal="center" vertical="center" wrapText="1"/>
    </xf>
    <xf numFmtId="0" fontId="159" fillId="33" borderId="79" xfId="0" applyFont="1" applyFill="1" applyBorder="1" applyAlignment="1">
      <alignment horizontal="center" vertical="center"/>
    </xf>
    <xf numFmtId="0" fontId="159" fillId="33" borderId="80" xfId="0" applyFont="1" applyFill="1" applyBorder="1" applyAlignment="1">
      <alignment horizontal="center" vertical="center"/>
    </xf>
    <xf numFmtId="49" fontId="152" fillId="33" borderId="98" xfId="0" applyNumberFormat="1" applyFont="1" applyFill="1" applyBorder="1" applyAlignment="1">
      <alignment horizontal="center" vertical="center"/>
    </xf>
    <xf numFmtId="49" fontId="152" fillId="33" borderId="99" xfId="0" applyNumberFormat="1" applyFont="1" applyFill="1" applyBorder="1" applyAlignment="1">
      <alignment horizontal="center" vertical="center"/>
    </xf>
    <xf numFmtId="0" fontId="159" fillId="33" borderId="87" xfId="0" applyFont="1" applyFill="1" applyBorder="1" applyAlignment="1">
      <alignment horizontal="center" vertical="center"/>
    </xf>
    <xf numFmtId="0" fontId="159" fillId="33" borderId="88" xfId="0" applyFont="1" applyFill="1" applyBorder="1" applyAlignment="1">
      <alignment horizontal="center" vertical="center"/>
    </xf>
    <xf numFmtId="49" fontId="152" fillId="33" borderId="102" xfId="0" applyNumberFormat="1" applyFont="1" applyFill="1" applyBorder="1" applyAlignment="1">
      <alignment horizontal="center" vertical="center"/>
    </xf>
    <xf numFmtId="49" fontId="152" fillId="33" borderId="102" xfId="0" applyNumberFormat="1" applyFont="1" applyFill="1" applyBorder="1" applyAlignment="1">
      <alignment horizontal="center" vertical="top" wrapText="1"/>
    </xf>
    <xf numFmtId="49" fontId="152" fillId="33" borderId="99" xfId="0" applyNumberFormat="1" applyFont="1" applyFill="1" applyBorder="1" applyAlignment="1">
      <alignment horizontal="center" vertical="top" wrapText="1"/>
    </xf>
    <xf numFmtId="0" fontId="159" fillId="33" borderId="79" xfId="0" applyFont="1" applyFill="1" applyBorder="1" applyAlignment="1">
      <alignment horizontal="left" vertical="center"/>
    </xf>
    <xf numFmtId="0" fontId="159" fillId="33" borderId="84" xfId="0" applyFont="1" applyFill="1" applyBorder="1" applyAlignment="1">
      <alignment horizontal="left" vertical="center"/>
    </xf>
    <xf numFmtId="0" fontId="161" fillId="33" borderId="79" xfId="0" applyFont="1" applyFill="1" applyBorder="1" applyAlignment="1">
      <alignment horizontal="left" vertical="center"/>
    </xf>
    <xf numFmtId="0" fontId="161" fillId="33" borderId="80" xfId="0" applyFont="1" applyFill="1" applyBorder="1" applyAlignment="1">
      <alignment horizontal="left" vertical="center"/>
    </xf>
    <xf numFmtId="49" fontId="152" fillId="33" borderId="98" xfId="0" applyNumberFormat="1" applyFont="1" applyFill="1" applyBorder="1" applyAlignment="1">
      <alignment horizontal="left" vertical="center"/>
    </xf>
    <xf numFmtId="49" fontId="152" fillId="33" borderId="99" xfId="0" applyNumberFormat="1" applyFont="1" applyFill="1" applyBorder="1" applyAlignment="1">
      <alignment horizontal="left" vertical="center"/>
    </xf>
    <xf numFmtId="0" fontId="159" fillId="33" borderId="83" xfId="0" applyFont="1" applyFill="1" applyBorder="1" applyAlignment="1">
      <alignment horizontal="left" vertical="center"/>
    </xf>
    <xf numFmtId="0" fontId="159" fillId="33" borderId="81" xfId="0" applyFont="1" applyFill="1" applyBorder="1" applyAlignment="1">
      <alignment horizontal="left" vertical="center"/>
    </xf>
    <xf numFmtId="0" fontId="160" fillId="33" borderId="79" xfId="0" applyFont="1" applyFill="1" applyBorder="1" applyAlignment="1">
      <alignment horizontal="left" vertical="center"/>
    </xf>
    <xf numFmtId="0" fontId="160" fillId="33" borderId="84" xfId="0" applyFont="1" applyFill="1" applyBorder="1" applyAlignment="1">
      <alignment horizontal="left" vertical="center"/>
    </xf>
    <xf numFmtId="0" fontId="152" fillId="33" borderId="78" xfId="0" applyFont="1" applyFill="1" applyBorder="1" applyAlignment="1">
      <alignment horizontal="center"/>
    </xf>
    <xf numFmtId="0" fontId="152" fillId="33" borderId="104" xfId="0" applyFont="1" applyFill="1" applyBorder="1" applyAlignment="1">
      <alignment horizontal="center"/>
    </xf>
    <xf numFmtId="0" fontId="156" fillId="33" borderId="18" xfId="0" applyFont="1" applyFill="1" applyBorder="1" applyAlignment="1">
      <alignment horizontal="left"/>
    </xf>
    <xf numFmtId="0" fontId="156" fillId="33" borderId="0" xfId="0" applyFont="1" applyFill="1" applyAlignment="1">
      <alignment horizontal="left"/>
    </xf>
    <xf numFmtId="0" fontId="156" fillId="33" borderId="37" xfId="0" applyFont="1" applyFill="1" applyBorder="1" applyAlignment="1">
      <alignment horizontal="left"/>
    </xf>
    <xf numFmtId="0" fontId="158" fillId="33" borderId="98" xfId="0" applyFont="1" applyFill="1" applyBorder="1" applyAlignment="1">
      <alignment horizontal="center" vertical="center"/>
    </xf>
    <xf numFmtId="0" fontId="158" fillId="33" borderId="102" xfId="0" applyFont="1" applyFill="1" applyBorder="1" applyAlignment="1">
      <alignment horizontal="center" vertical="center"/>
    </xf>
    <xf numFmtId="0" fontId="158" fillId="33" borderId="99" xfId="0" applyFont="1" applyFill="1" applyBorder="1" applyAlignment="1">
      <alignment horizontal="center" vertical="center"/>
    </xf>
    <xf numFmtId="0" fontId="156" fillId="33" borderId="98" xfId="0" applyFont="1" applyFill="1" applyBorder="1" applyAlignment="1">
      <alignment horizontal="center" vertical="center"/>
    </xf>
    <xf numFmtId="0" fontId="156" fillId="33" borderId="102" xfId="0" applyFont="1" applyFill="1" applyBorder="1" applyAlignment="1">
      <alignment horizontal="center" vertical="center"/>
    </xf>
    <xf numFmtId="0" fontId="156" fillId="33" borderId="103" xfId="0" applyFont="1" applyFill="1" applyBorder="1" applyAlignment="1">
      <alignment horizontal="center" vertical="center"/>
    </xf>
    <xf numFmtId="0" fontId="154" fillId="0" borderId="100" xfId="2669" applyFont="1" applyBorder="1" applyAlignment="1">
      <alignment horizontal="center" vertical="center"/>
    </xf>
    <xf numFmtId="0" fontId="154" fillId="0" borderId="98" xfId="2669" applyFont="1" applyBorder="1" applyAlignment="1">
      <alignment horizontal="center" vertical="center"/>
    </xf>
    <xf numFmtId="0" fontId="154" fillId="0" borderId="99" xfId="2669" applyFont="1" applyBorder="1" applyAlignment="1">
      <alignment horizontal="center" vertical="center"/>
    </xf>
    <xf numFmtId="0" fontId="154" fillId="0" borderId="98" xfId="2669" applyFont="1" applyBorder="1" applyAlignment="1">
      <alignment horizontal="center" vertical="center" wrapText="1"/>
    </xf>
    <xf numFmtId="0" fontId="154" fillId="0" borderId="99" xfId="2669" applyFont="1" applyBorder="1" applyAlignment="1">
      <alignment horizontal="center" vertical="center" wrapText="1"/>
    </xf>
    <xf numFmtId="0" fontId="153" fillId="35" borderId="76" xfId="0" applyFont="1" applyFill="1" applyBorder="1" applyAlignment="1">
      <alignment horizontal="center" vertical="center"/>
    </xf>
    <xf numFmtId="0" fontId="153" fillId="35" borderId="36" xfId="0" applyFont="1" applyFill="1" applyBorder="1" applyAlignment="1">
      <alignment horizontal="center" vertical="center"/>
    </xf>
    <xf numFmtId="0" fontId="153" fillId="35" borderId="43" xfId="0" applyFont="1" applyFill="1" applyBorder="1" applyAlignment="1">
      <alignment horizontal="center" vertical="center"/>
    </xf>
    <xf numFmtId="0" fontId="153" fillId="35" borderId="41" xfId="0" applyFont="1" applyFill="1" applyBorder="1" applyAlignment="1">
      <alignment horizontal="center" vertical="center"/>
    </xf>
    <xf numFmtId="0" fontId="153" fillId="35" borderId="42" xfId="0" applyFont="1" applyFill="1" applyBorder="1" applyAlignment="1">
      <alignment horizontal="center" vertical="center"/>
    </xf>
    <xf numFmtId="0" fontId="153" fillId="35" borderId="77" xfId="0" applyFont="1" applyFill="1" applyBorder="1" applyAlignment="1">
      <alignment horizontal="center" vertical="center"/>
    </xf>
    <xf numFmtId="0" fontId="165" fillId="35" borderId="0" xfId="1451" applyFont="1" applyFill="1" applyAlignment="1">
      <alignment horizontal="center" vertical="center"/>
    </xf>
    <xf numFmtId="0" fontId="168" fillId="0" borderId="0" xfId="1451" applyFont="1" applyAlignment="1">
      <alignment horizontal="left"/>
    </xf>
    <xf numFmtId="0" fontId="165" fillId="35" borderId="26" xfId="1451" applyFont="1" applyFill="1" applyBorder="1" applyAlignment="1">
      <alignment horizontal="center" vertical="center"/>
    </xf>
    <xf numFmtId="0" fontId="165" fillId="35" borderId="36" xfId="1451" applyFont="1" applyFill="1" applyBorder="1" applyAlignment="1">
      <alignment horizontal="center" vertical="center"/>
    </xf>
    <xf numFmtId="0" fontId="165" fillId="35" borderId="43" xfId="1451" applyFont="1" applyFill="1" applyBorder="1" applyAlignment="1">
      <alignment horizontal="center" vertical="center"/>
    </xf>
    <xf numFmtId="0" fontId="165" fillId="35" borderId="28" xfId="1451" applyFont="1" applyFill="1" applyBorder="1" applyAlignment="1">
      <alignment horizontal="center" vertical="center"/>
    </xf>
    <xf numFmtId="0" fontId="165" fillId="35" borderId="37" xfId="1451" applyFont="1" applyFill="1" applyBorder="1" applyAlignment="1">
      <alignment horizontal="center" vertical="center"/>
    </xf>
    <xf numFmtId="0" fontId="165" fillId="35" borderId="34" xfId="1451" applyFont="1" applyFill="1" applyBorder="1" applyAlignment="1">
      <alignment horizontal="center" vertical="center"/>
    </xf>
    <xf numFmtId="0" fontId="165" fillId="35" borderId="19" xfId="1451" applyFont="1" applyFill="1" applyBorder="1" applyAlignment="1">
      <alignment horizontal="center" vertical="center"/>
    </xf>
    <xf numFmtId="0" fontId="165" fillId="35" borderId="31" xfId="1451" applyFont="1" applyFill="1" applyBorder="1" applyAlignment="1">
      <alignment horizontal="center" vertical="center"/>
    </xf>
    <xf numFmtId="0" fontId="128" fillId="48" borderId="21" xfId="1614" applyFont="1" applyFill="1" applyBorder="1" applyAlignment="1">
      <alignment horizontal="center" vertical="center" wrapText="1"/>
    </xf>
    <xf numFmtId="0" fontId="1" fillId="0" borderId="21" xfId="1652" applyFont="1" applyBorder="1" applyAlignment="1">
      <alignment vertical="center" wrapText="1"/>
    </xf>
    <xf numFmtId="3" fontId="135" fillId="0" borderId="21" xfId="1614" applyNumberFormat="1" applyFont="1" applyFill="1" applyBorder="1" applyAlignment="1">
      <alignment horizontal="center" vertical="center"/>
    </xf>
  </cellXfs>
  <cellStyles count="3731">
    <cellStyle name="&gt;? MK/l" xfId="1"/>
    <cellStyle name="20% - Accent1" xfId="2" builtinId="30" customBuiltin="1"/>
    <cellStyle name="20% - Accent1 10" xfId="3"/>
    <cellStyle name="20% - Accent1 10 2" xfId="2679"/>
    <cellStyle name="20% - Accent1 11" xfId="4"/>
    <cellStyle name="20% - Accent1 11 2" xfId="2680"/>
    <cellStyle name="20% - Accent1 12" xfId="5"/>
    <cellStyle name="20% - Accent1 12 2" xfId="2681"/>
    <cellStyle name="20% - Accent1 13" xfId="6"/>
    <cellStyle name="20% - Accent1 13 2" xfId="2682"/>
    <cellStyle name="20% - Accent1 14" xfId="7"/>
    <cellStyle name="20% - Accent1 14 2" xfId="2683"/>
    <cellStyle name="20% - Accent1 15" xfId="8"/>
    <cellStyle name="20% - Accent1 15 2" xfId="2684"/>
    <cellStyle name="20% - Accent1 16" xfId="9"/>
    <cellStyle name="20% - Accent1 16 2" xfId="2685"/>
    <cellStyle name="20% - Accent1 17" xfId="2678"/>
    <cellStyle name="20% - Accent1 2" xfId="10"/>
    <cellStyle name="20% - Accent1 2 2" xfId="11"/>
    <cellStyle name="20% - Accent1 2 2 2" xfId="2687"/>
    <cellStyle name="20% - Accent1 2 3" xfId="12"/>
    <cellStyle name="20% - Accent1 2 3 2" xfId="2688"/>
    <cellStyle name="20% - Accent1 2 4" xfId="2686"/>
    <cellStyle name="20% - Accent1 3" xfId="13"/>
    <cellStyle name="20% - Accent1 3 2" xfId="2689"/>
    <cellStyle name="20% - Accent1 4" xfId="14"/>
    <cellStyle name="20% - Accent1 4 2" xfId="2690"/>
    <cellStyle name="20% - Accent1 5" xfId="15"/>
    <cellStyle name="20% - Accent1 5 2" xfId="2691"/>
    <cellStyle name="20% - Accent1 6" xfId="16"/>
    <cellStyle name="20% - Accent1 6 2" xfId="2692"/>
    <cellStyle name="20% - Accent1 7" xfId="17"/>
    <cellStyle name="20% - Accent1 7 2" xfId="2693"/>
    <cellStyle name="20% - Accent1 8" xfId="18"/>
    <cellStyle name="20% - Accent1 8 2" xfId="2694"/>
    <cellStyle name="20% - Accent1 9" xfId="19"/>
    <cellStyle name="20% - Accent1 9 2" xfId="2695"/>
    <cellStyle name="20% - Accent2" xfId="20" builtinId="34" customBuiltin="1"/>
    <cellStyle name="20% - Accent2 10" xfId="21"/>
    <cellStyle name="20% - Accent2 10 2" xfId="2697"/>
    <cellStyle name="20% - Accent2 11" xfId="22"/>
    <cellStyle name="20% - Accent2 11 2" xfId="2698"/>
    <cellStyle name="20% - Accent2 12" xfId="23"/>
    <cellStyle name="20% - Accent2 12 2" xfId="2699"/>
    <cellStyle name="20% - Accent2 13" xfId="24"/>
    <cellStyle name="20% - Accent2 13 2" xfId="2700"/>
    <cellStyle name="20% - Accent2 14" xfId="25"/>
    <cellStyle name="20% - Accent2 14 2" xfId="2701"/>
    <cellStyle name="20% - Accent2 15" xfId="26"/>
    <cellStyle name="20% - Accent2 15 2" xfId="2702"/>
    <cellStyle name="20% - Accent2 16" xfId="27"/>
    <cellStyle name="20% - Accent2 16 2" xfId="2703"/>
    <cellStyle name="20% - Accent2 17" xfId="2696"/>
    <cellStyle name="20% - Accent2 2" xfId="28"/>
    <cellStyle name="20% - Accent2 2 2" xfId="29"/>
    <cellStyle name="20% - Accent2 2 2 2" xfId="2705"/>
    <cellStyle name="20% - Accent2 2 3" xfId="30"/>
    <cellStyle name="20% - Accent2 2 3 2" xfId="2706"/>
    <cellStyle name="20% - Accent2 2 4" xfId="2704"/>
    <cellStyle name="20% - Accent2 3" xfId="31"/>
    <cellStyle name="20% - Accent2 3 2" xfId="2707"/>
    <cellStyle name="20% - Accent2 4" xfId="32"/>
    <cellStyle name="20% - Accent2 4 2" xfId="2708"/>
    <cellStyle name="20% - Accent2 5" xfId="33"/>
    <cellStyle name="20% - Accent2 5 2" xfId="2709"/>
    <cellStyle name="20% - Accent2 6" xfId="34"/>
    <cellStyle name="20% - Accent2 6 2" xfId="2710"/>
    <cellStyle name="20% - Accent2 7" xfId="35"/>
    <cellStyle name="20% - Accent2 7 2" xfId="2711"/>
    <cellStyle name="20% - Accent2 8" xfId="36"/>
    <cellStyle name="20% - Accent2 8 2" xfId="2712"/>
    <cellStyle name="20% - Accent2 9" xfId="37"/>
    <cellStyle name="20% - Accent2 9 2" xfId="2713"/>
    <cellStyle name="20% - Accent3" xfId="38" builtinId="38" customBuiltin="1"/>
    <cellStyle name="20% - Accent3 10" xfId="39"/>
    <cellStyle name="20% - Accent3 10 2" xfId="2715"/>
    <cellStyle name="20% - Accent3 11" xfId="40"/>
    <cellStyle name="20% - Accent3 11 2" xfId="2716"/>
    <cellStyle name="20% - Accent3 12" xfId="41"/>
    <cellStyle name="20% - Accent3 12 2" xfId="2717"/>
    <cellStyle name="20% - Accent3 13" xfId="42"/>
    <cellStyle name="20% - Accent3 13 2" xfId="2718"/>
    <cellStyle name="20% - Accent3 14" xfId="43"/>
    <cellStyle name="20% - Accent3 14 2" xfId="2719"/>
    <cellStyle name="20% - Accent3 15" xfId="44"/>
    <cellStyle name="20% - Accent3 15 2" xfId="2720"/>
    <cellStyle name="20% - Accent3 16" xfId="45"/>
    <cellStyle name="20% - Accent3 16 2" xfId="2721"/>
    <cellStyle name="20% - Accent3 17" xfId="2714"/>
    <cellStyle name="20% - Accent3 2" xfId="46"/>
    <cellStyle name="20% - Accent3 2 2" xfId="47"/>
    <cellStyle name="20% - Accent3 2 2 2" xfId="2723"/>
    <cellStyle name="20% - Accent3 2 3" xfId="48"/>
    <cellStyle name="20% - Accent3 2 3 2" xfId="2724"/>
    <cellStyle name="20% - Accent3 2 4" xfId="2722"/>
    <cellStyle name="20% - Accent3 3" xfId="49"/>
    <cellStyle name="20% - Accent3 3 2" xfId="2725"/>
    <cellStyle name="20% - Accent3 4" xfId="50"/>
    <cellStyle name="20% - Accent3 4 2" xfId="2726"/>
    <cellStyle name="20% - Accent3 5" xfId="51"/>
    <cellStyle name="20% - Accent3 5 2" xfId="2727"/>
    <cellStyle name="20% - Accent3 6" xfId="52"/>
    <cellStyle name="20% - Accent3 6 2" xfId="2728"/>
    <cellStyle name="20% - Accent3 7" xfId="53"/>
    <cellStyle name="20% - Accent3 7 2" xfId="2729"/>
    <cellStyle name="20% - Accent3 8" xfId="54"/>
    <cellStyle name="20% - Accent3 8 2" xfId="2730"/>
    <cellStyle name="20% - Accent3 9" xfId="55"/>
    <cellStyle name="20% - Accent3 9 2" xfId="2731"/>
    <cellStyle name="20% - Accent4" xfId="56" builtinId="42" customBuiltin="1"/>
    <cellStyle name="20% - Accent4 10" xfId="57"/>
    <cellStyle name="20% - Accent4 10 2" xfId="2733"/>
    <cellStyle name="20% - Accent4 11" xfId="58"/>
    <cellStyle name="20% - Accent4 11 2" xfId="2734"/>
    <cellStyle name="20% - Accent4 12" xfId="59"/>
    <cellStyle name="20% - Accent4 12 2" xfId="2735"/>
    <cellStyle name="20% - Accent4 13" xfId="60"/>
    <cellStyle name="20% - Accent4 13 2" xfId="2736"/>
    <cellStyle name="20% - Accent4 14" xfId="61"/>
    <cellStyle name="20% - Accent4 14 2" xfId="2737"/>
    <cellStyle name="20% - Accent4 15" xfId="62"/>
    <cellStyle name="20% - Accent4 15 2" xfId="2738"/>
    <cellStyle name="20% - Accent4 16" xfId="63"/>
    <cellStyle name="20% - Accent4 16 2" xfId="2739"/>
    <cellStyle name="20% - Accent4 17" xfId="2732"/>
    <cellStyle name="20% - Accent4 2" xfId="64"/>
    <cellStyle name="20% - Accent4 2 2" xfId="65"/>
    <cellStyle name="20% - Accent4 2 2 2" xfId="2741"/>
    <cellStyle name="20% - Accent4 2 3" xfId="66"/>
    <cellStyle name="20% - Accent4 2 3 2" xfId="2742"/>
    <cellStyle name="20% - Accent4 2 4" xfId="2740"/>
    <cellStyle name="20% - Accent4 3" xfId="67"/>
    <cellStyle name="20% - Accent4 3 2" xfId="2743"/>
    <cellStyle name="20% - Accent4 4" xfId="68"/>
    <cellStyle name="20% - Accent4 4 2" xfId="2744"/>
    <cellStyle name="20% - Accent4 5" xfId="69"/>
    <cellStyle name="20% - Accent4 5 2" xfId="2745"/>
    <cellStyle name="20% - Accent4 6" xfId="70"/>
    <cellStyle name="20% - Accent4 6 2" xfId="2746"/>
    <cellStyle name="20% - Accent4 7" xfId="71"/>
    <cellStyle name="20% - Accent4 7 2" xfId="2747"/>
    <cellStyle name="20% - Accent4 8" xfId="72"/>
    <cellStyle name="20% - Accent4 8 2" xfId="2748"/>
    <cellStyle name="20% - Accent4 9" xfId="73"/>
    <cellStyle name="20% - Accent4 9 2" xfId="2749"/>
    <cellStyle name="20% - Accent5" xfId="74" builtinId="46" customBuiltin="1"/>
    <cellStyle name="20% - Accent5 10" xfId="75"/>
    <cellStyle name="20% - Accent5 10 2" xfId="2751"/>
    <cellStyle name="20% - Accent5 11" xfId="76"/>
    <cellStyle name="20% - Accent5 11 2" xfId="2752"/>
    <cellStyle name="20% - Accent5 12" xfId="77"/>
    <cellStyle name="20% - Accent5 12 2" xfId="2753"/>
    <cellStyle name="20% - Accent5 13" xfId="78"/>
    <cellStyle name="20% - Accent5 13 2" xfId="2754"/>
    <cellStyle name="20% - Accent5 14" xfId="79"/>
    <cellStyle name="20% - Accent5 14 2" xfId="2755"/>
    <cellStyle name="20% - Accent5 15" xfId="80"/>
    <cellStyle name="20% - Accent5 15 2" xfId="2756"/>
    <cellStyle name="20% - Accent5 16" xfId="81"/>
    <cellStyle name="20% - Accent5 16 2" xfId="2757"/>
    <cellStyle name="20% - Accent5 17" xfId="2750"/>
    <cellStyle name="20% - Accent5 2" xfId="82"/>
    <cellStyle name="20% - Accent5 2 2" xfId="83"/>
    <cellStyle name="20% - Accent5 2 2 2" xfId="2759"/>
    <cellStyle name="20% - Accent5 2 3" xfId="84"/>
    <cellStyle name="20% - Accent5 2 3 2" xfId="2760"/>
    <cellStyle name="20% - Accent5 2 4" xfId="2758"/>
    <cellStyle name="20% - Accent5 3" xfId="85"/>
    <cellStyle name="20% - Accent5 3 2" xfId="2761"/>
    <cellStyle name="20% - Accent5 4" xfId="86"/>
    <cellStyle name="20% - Accent5 4 2" xfId="2762"/>
    <cellStyle name="20% - Accent5 5" xfId="87"/>
    <cellStyle name="20% - Accent5 5 2" xfId="2763"/>
    <cellStyle name="20% - Accent5 6" xfId="88"/>
    <cellStyle name="20% - Accent5 6 2" xfId="2764"/>
    <cellStyle name="20% - Accent5 7" xfId="89"/>
    <cellStyle name="20% - Accent5 7 2" xfId="2765"/>
    <cellStyle name="20% - Accent5 8" xfId="90"/>
    <cellStyle name="20% - Accent5 8 2" xfId="2766"/>
    <cellStyle name="20% - Accent5 9" xfId="91"/>
    <cellStyle name="20% - Accent5 9 2" xfId="2767"/>
    <cellStyle name="20% - Accent6" xfId="92" builtinId="50" customBuiltin="1"/>
    <cellStyle name="20% - Accent6 10" xfId="93"/>
    <cellStyle name="20% - Accent6 10 2" xfId="2769"/>
    <cellStyle name="20% - Accent6 11" xfId="94"/>
    <cellStyle name="20% - Accent6 11 2" xfId="2770"/>
    <cellStyle name="20% - Accent6 12" xfId="95"/>
    <cellStyle name="20% - Accent6 12 2" xfId="2771"/>
    <cellStyle name="20% - Accent6 13" xfId="96"/>
    <cellStyle name="20% - Accent6 13 2" xfId="2772"/>
    <cellStyle name="20% - Accent6 14" xfId="97"/>
    <cellStyle name="20% - Accent6 14 2" xfId="2773"/>
    <cellStyle name="20% - Accent6 15" xfId="98"/>
    <cellStyle name="20% - Accent6 15 2" xfId="2774"/>
    <cellStyle name="20% - Accent6 16" xfId="99"/>
    <cellStyle name="20% - Accent6 16 2" xfId="2775"/>
    <cellStyle name="20% - Accent6 17" xfId="2768"/>
    <cellStyle name="20% - Accent6 2" xfId="100"/>
    <cellStyle name="20% - Accent6 2 2" xfId="101"/>
    <cellStyle name="20% - Accent6 2 2 2" xfId="2777"/>
    <cellStyle name="20% - Accent6 2 3" xfId="102"/>
    <cellStyle name="20% - Accent6 2 3 2" xfId="2778"/>
    <cellStyle name="20% - Accent6 2 4" xfId="2776"/>
    <cellStyle name="20% - Accent6 3" xfId="103"/>
    <cellStyle name="20% - Accent6 3 2" xfId="2779"/>
    <cellStyle name="20% - Accent6 4" xfId="104"/>
    <cellStyle name="20% - Accent6 4 2" xfId="2780"/>
    <cellStyle name="20% - Accent6 5" xfId="105"/>
    <cellStyle name="20% - Accent6 5 2" xfId="2781"/>
    <cellStyle name="20% - Accent6 6" xfId="106"/>
    <cellStyle name="20% - Accent6 6 2" xfId="2782"/>
    <cellStyle name="20% - Accent6 7" xfId="107"/>
    <cellStyle name="20% - Accent6 7 2" xfId="2783"/>
    <cellStyle name="20% - Accent6 8" xfId="108"/>
    <cellStyle name="20% - Accent6 8 2" xfId="2784"/>
    <cellStyle name="20% - Accent6 9" xfId="109"/>
    <cellStyle name="20% - Accent6 9 2" xfId="2785"/>
    <cellStyle name="40% - Accent1" xfId="110" builtinId="31" customBuiltin="1"/>
    <cellStyle name="40% - Accent1 10" xfId="111"/>
    <cellStyle name="40% - Accent1 10 2" xfId="2787"/>
    <cellStyle name="40% - Accent1 11" xfId="112"/>
    <cellStyle name="40% - Accent1 11 2" xfId="2788"/>
    <cellStyle name="40% - Accent1 12" xfId="113"/>
    <cellStyle name="40% - Accent1 12 2" xfId="2789"/>
    <cellStyle name="40% - Accent1 13" xfId="114"/>
    <cellStyle name="40% - Accent1 13 2" xfId="2790"/>
    <cellStyle name="40% - Accent1 14" xfId="115"/>
    <cellStyle name="40% - Accent1 14 2" xfId="2791"/>
    <cellStyle name="40% - Accent1 15" xfId="116"/>
    <cellStyle name="40% - Accent1 15 2" xfId="2792"/>
    <cellStyle name="40% - Accent1 16" xfId="117"/>
    <cellStyle name="40% - Accent1 16 2" xfId="2793"/>
    <cellStyle name="40% - Accent1 17" xfId="2786"/>
    <cellStyle name="40% - Accent1 2" xfId="118"/>
    <cellStyle name="40% - Accent1 2 2" xfId="119"/>
    <cellStyle name="40% - Accent1 2 2 2" xfId="2795"/>
    <cellStyle name="40% - Accent1 2 3" xfId="120"/>
    <cellStyle name="40% - Accent1 2 3 2" xfId="2796"/>
    <cellStyle name="40% - Accent1 2 4" xfId="2794"/>
    <cellStyle name="40% - Accent1 3" xfId="121"/>
    <cellStyle name="40% - Accent1 3 2" xfId="2797"/>
    <cellStyle name="40% - Accent1 4" xfId="122"/>
    <cellStyle name="40% - Accent1 4 2" xfId="2798"/>
    <cellStyle name="40% - Accent1 5" xfId="123"/>
    <cellStyle name="40% - Accent1 5 2" xfId="2799"/>
    <cellStyle name="40% - Accent1 6" xfId="124"/>
    <cellStyle name="40% - Accent1 6 2" xfId="2800"/>
    <cellStyle name="40% - Accent1 7" xfId="125"/>
    <cellStyle name="40% - Accent1 7 2" xfId="2801"/>
    <cellStyle name="40% - Accent1 8" xfId="126"/>
    <cellStyle name="40% - Accent1 8 2" xfId="2802"/>
    <cellStyle name="40% - Accent1 9" xfId="127"/>
    <cellStyle name="40% - Accent1 9 2" xfId="2803"/>
    <cellStyle name="40% - Accent2" xfId="128" builtinId="35" customBuiltin="1"/>
    <cellStyle name="40% - Accent2 10" xfId="129"/>
    <cellStyle name="40% - Accent2 10 2" xfId="2805"/>
    <cellStyle name="40% - Accent2 11" xfId="130"/>
    <cellStyle name="40% - Accent2 11 2" xfId="2806"/>
    <cellStyle name="40% - Accent2 12" xfId="131"/>
    <cellStyle name="40% - Accent2 12 2" xfId="2807"/>
    <cellStyle name="40% - Accent2 13" xfId="132"/>
    <cellStyle name="40% - Accent2 13 2" xfId="2808"/>
    <cellStyle name="40% - Accent2 14" xfId="133"/>
    <cellStyle name="40% - Accent2 14 2" xfId="2809"/>
    <cellStyle name="40% - Accent2 15" xfId="134"/>
    <cellStyle name="40% - Accent2 15 2" xfId="2810"/>
    <cellStyle name="40% - Accent2 16" xfId="135"/>
    <cellStyle name="40% - Accent2 16 2" xfId="2811"/>
    <cellStyle name="40% - Accent2 17" xfId="2804"/>
    <cellStyle name="40% - Accent2 2" xfId="136"/>
    <cellStyle name="40% - Accent2 2 2" xfId="137"/>
    <cellStyle name="40% - Accent2 2 2 2" xfId="2813"/>
    <cellStyle name="40% - Accent2 2 3" xfId="138"/>
    <cellStyle name="40% - Accent2 2 3 2" xfId="2814"/>
    <cellStyle name="40% - Accent2 2 4" xfId="2812"/>
    <cellStyle name="40% - Accent2 3" xfId="139"/>
    <cellStyle name="40% - Accent2 3 2" xfId="2815"/>
    <cellStyle name="40% - Accent2 4" xfId="140"/>
    <cellStyle name="40% - Accent2 4 2" xfId="2816"/>
    <cellStyle name="40% - Accent2 5" xfId="141"/>
    <cellStyle name="40% - Accent2 5 2" xfId="2817"/>
    <cellStyle name="40% - Accent2 6" xfId="142"/>
    <cellStyle name="40% - Accent2 6 2" xfId="2818"/>
    <cellStyle name="40% - Accent2 7" xfId="143"/>
    <cellStyle name="40% - Accent2 7 2" xfId="2819"/>
    <cellStyle name="40% - Accent2 8" xfId="144"/>
    <cellStyle name="40% - Accent2 8 2" xfId="2820"/>
    <cellStyle name="40% - Accent2 9" xfId="145"/>
    <cellStyle name="40% - Accent2 9 2" xfId="2821"/>
    <cellStyle name="40% - Accent3" xfId="146" builtinId="39" customBuiltin="1"/>
    <cellStyle name="40% - Accent3 10" xfId="147"/>
    <cellStyle name="40% - Accent3 10 2" xfId="2823"/>
    <cellStyle name="40% - Accent3 11" xfId="148"/>
    <cellStyle name="40% - Accent3 11 2" xfId="2824"/>
    <cellStyle name="40% - Accent3 12" xfId="149"/>
    <cellStyle name="40% - Accent3 12 2" xfId="2825"/>
    <cellStyle name="40% - Accent3 13" xfId="150"/>
    <cellStyle name="40% - Accent3 13 2" xfId="2826"/>
    <cellStyle name="40% - Accent3 14" xfId="151"/>
    <cellStyle name="40% - Accent3 14 2" xfId="2827"/>
    <cellStyle name="40% - Accent3 15" xfId="152"/>
    <cellStyle name="40% - Accent3 15 2" xfId="2828"/>
    <cellStyle name="40% - Accent3 16" xfId="153"/>
    <cellStyle name="40% - Accent3 16 2" xfId="2829"/>
    <cellStyle name="40% - Accent3 17" xfId="2822"/>
    <cellStyle name="40% - Accent3 2" xfId="154"/>
    <cellStyle name="40% - Accent3 2 2" xfId="155"/>
    <cellStyle name="40% - Accent3 2 2 2" xfId="2831"/>
    <cellStyle name="40% - Accent3 2 3" xfId="156"/>
    <cellStyle name="40% - Accent3 2 3 2" xfId="2832"/>
    <cellStyle name="40% - Accent3 2 4" xfId="2830"/>
    <cellStyle name="40% - Accent3 3" xfId="157"/>
    <cellStyle name="40% - Accent3 3 2" xfId="2833"/>
    <cellStyle name="40% - Accent3 4" xfId="158"/>
    <cellStyle name="40% - Accent3 4 2" xfId="2834"/>
    <cellStyle name="40% - Accent3 5" xfId="159"/>
    <cellStyle name="40% - Accent3 5 2" xfId="2835"/>
    <cellStyle name="40% - Accent3 6" xfId="160"/>
    <cellStyle name="40% - Accent3 6 2" xfId="2836"/>
    <cellStyle name="40% - Accent3 7" xfId="161"/>
    <cellStyle name="40% - Accent3 7 2" xfId="2837"/>
    <cellStyle name="40% - Accent3 8" xfId="162"/>
    <cellStyle name="40% - Accent3 8 2" xfId="2838"/>
    <cellStyle name="40% - Accent3 9" xfId="163"/>
    <cellStyle name="40% - Accent3 9 2" xfId="2839"/>
    <cellStyle name="40% - Accent4" xfId="164" builtinId="43" customBuiltin="1"/>
    <cellStyle name="40% - Accent4 10" xfId="165"/>
    <cellStyle name="40% - Accent4 10 2" xfId="2841"/>
    <cellStyle name="40% - Accent4 11" xfId="166"/>
    <cellStyle name="40% - Accent4 11 2" xfId="2842"/>
    <cellStyle name="40% - Accent4 12" xfId="167"/>
    <cellStyle name="40% - Accent4 12 2" xfId="2843"/>
    <cellStyle name="40% - Accent4 13" xfId="168"/>
    <cellStyle name="40% - Accent4 13 2" xfId="2844"/>
    <cellStyle name="40% - Accent4 14" xfId="169"/>
    <cellStyle name="40% - Accent4 14 2" xfId="2845"/>
    <cellStyle name="40% - Accent4 15" xfId="170"/>
    <cellStyle name="40% - Accent4 15 2" xfId="2846"/>
    <cellStyle name="40% - Accent4 16" xfId="171"/>
    <cellStyle name="40% - Accent4 16 2" xfId="2847"/>
    <cellStyle name="40% - Accent4 17" xfId="2840"/>
    <cellStyle name="40% - Accent4 2" xfId="172"/>
    <cellStyle name="40% - Accent4 2 2" xfId="173"/>
    <cellStyle name="40% - Accent4 2 2 2" xfId="2849"/>
    <cellStyle name="40% - Accent4 2 3" xfId="174"/>
    <cellStyle name="40% - Accent4 2 3 2" xfId="2850"/>
    <cellStyle name="40% - Accent4 2 4" xfId="2848"/>
    <cellStyle name="40% - Accent4 3" xfId="175"/>
    <cellStyle name="40% - Accent4 3 2" xfId="2851"/>
    <cellStyle name="40% - Accent4 4" xfId="176"/>
    <cellStyle name="40% - Accent4 4 2" xfId="2852"/>
    <cellStyle name="40% - Accent4 5" xfId="177"/>
    <cellStyle name="40% - Accent4 5 2" xfId="2853"/>
    <cellStyle name="40% - Accent4 6" xfId="178"/>
    <cellStyle name="40% - Accent4 6 2" xfId="2854"/>
    <cellStyle name="40% - Accent4 7" xfId="179"/>
    <cellStyle name="40% - Accent4 7 2" xfId="2855"/>
    <cellStyle name="40% - Accent4 8" xfId="180"/>
    <cellStyle name="40% - Accent4 8 2" xfId="2856"/>
    <cellStyle name="40% - Accent4 9" xfId="181"/>
    <cellStyle name="40% - Accent4 9 2" xfId="2857"/>
    <cellStyle name="40% - Accent5" xfId="182" builtinId="47" customBuiltin="1"/>
    <cellStyle name="40% - Accent5 10" xfId="183"/>
    <cellStyle name="40% - Accent5 10 2" xfId="2859"/>
    <cellStyle name="40% - Accent5 11" xfId="184"/>
    <cellStyle name="40% - Accent5 11 2" xfId="2860"/>
    <cellStyle name="40% - Accent5 12" xfId="185"/>
    <cellStyle name="40% - Accent5 12 2" xfId="2861"/>
    <cellStyle name="40% - Accent5 13" xfId="186"/>
    <cellStyle name="40% - Accent5 13 2" xfId="2862"/>
    <cellStyle name="40% - Accent5 14" xfId="187"/>
    <cellStyle name="40% - Accent5 14 2" xfId="2863"/>
    <cellStyle name="40% - Accent5 15" xfId="188"/>
    <cellStyle name="40% - Accent5 15 2" xfId="2864"/>
    <cellStyle name="40% - Accent5 16" xfId="189"/>
    <cellStyle name="40% - Accent5 16 2" xfId="2865"/>
    <cellStyle name="40% - Accent5 17" xfId="2858"/>
    <cellStyle name="40% - Accent5 2" xfId="190"/>
    <cellStyle name="40% - Accent5 2 2" xfId="191"/>
    <cellStyle name="40% - Accent5 2 2 2" xfId="2867"/>
    <cellStyle name="40% - Accent5 2 3" xfId="192"/>
    <cellStyle name="40% - Accent5 2 3 2" xfId="2868"/>
    <cellStyle name="40% - Accent5 2 4" xfId="2866"/>
    <cellStyle name="40% - Accent5 3" xfId="193"/>
    <cellStyle name="40% - Accent5 3 2" xfId="2869"/>
    <cellStyle name="40% - Accent5 4" xfId="194"/>
    <cellStyle name="40% - Accent5 4 2" xfId="2870"/>
    <cellStyle name="40% - Accent5 5" xfId="195"/>
    <cellStyle name="40% - Accent5 5 2" xfId="2871"/>
    <cellStyle name="40% - Accent5 6" xfId="196"/>
    <cellStyle name="40% - Accent5 6 2" xfId="2872"/>
    <cellStyle name="40% - Accent5 7" xfId="197"/>
    <cellStyle name="40% - Accent5 7 2" xfId="2873"/>
    <cellStyle name="40% - Accent5 8" xfId="198"/>
    <cellStyle name="40% - Accent5 8 2" xfId="2874"/>
    <cellStyle name="40% - Accent5 9" xfId="199"/>
    <cellStyle name="40% - Accent5 9 2" xfId="2875"/>
    <cellStyle name="40% - Accent6" xfId="200" builtinId="51" customBuiltin="1"/>
    <cellStyle name="40% - Accent6 10" xfId="201"/>
    <cellStyle name="40% - Accent6 10 2" xfId="2877"/>
    <cellStyle name="40% - Accent6 11" xfId="202"/>
    <cellStyle name="40% - Accent6 11 2" xfId="2878"/>
    <cellStyle name="40% - Accent6 12" xfId="203"/>
    <cellStyle name="40% - Accent6 12 2" xfId="2879"/>
    <cellStyle name="40% - Accent6 13" xfId="204"/>
    <cellStyle name="40% - Accent6 13 2" xfId="2880"/>
    <cellStyle name="40% - Accent6 14" xfId="205"/>
    <cellStyle name="40% - Accent6 14 2" xfId="2881"/>
    <cellStyle name="40% - Accent6 15" xfId="206"/>
    <cellStyle name="40% - Accent6 15 2" xfId="2882"/>
    <cellStyle name="40% - Accent6 16" xfId="207"/>
    <cellStyle name="40% - Accent6 16 2" xfId="2883"/>
    <cellStyle name="40% - Accent6 17" xfId="2876"/>
    <cellStyle name="40% - Accent6 2" xfId="208"/>
    <cellStyle name="40% - Accent6 2 2" xfId="209"/>
    <cellStyle name="40% - Accent6 2 2 2" xfId="2885"/>
    <cellStyle name="40% - Accent6 2 3" xfId="210"/>
    <cellStyle name="40% - Accent6 2 3 2" xfId="2886"/>
    <cellStyle name="40% - Accent6 2 4" xfId="2884"/>
    <cellStyle name="40% - Accent6 3" xfId="211"/>
    <cellStyle name="40% - Accent6 3 2" xfId="2887"/>
    <cellStyle name="40% - Accent6 4" xfId="212"/>
    <cellStyle name="40% - Accent6 4 2" xfId="2888"/>
    <cellStyle name="40% - Accent6 5" xfId="213"/>
    <cellStyle name="40% - Accent6 5 2" xfId="2889"/>
    <cellStyle name="40% - Accent6 6" xfId="214"/>
    <cellStyle name="40% - Accent6 6 2" xfId="2890"/>
    <cellStyle name="40% - Accent6 7" xfId="215"/>
    <cellStyle name="40% - Accent6 7 2" xfId="2891"/>
    <cellStyle name="40% - Accent6 8" xfId="216"/>
    <cellStyle name="40% - Accent6 8 2" xfId="2892"/>
    <cellStyle name="40% - Accent6 9" xfId="217"/>
    <cellStyle name="40% - Accent6 9 2" xfId="2893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2 2 2 2" xfId="3680"/>
    <cellStyle name="Comma [0] 10 2 2 2 3" xfId="3721"/>
    <cellStyle name="Comma [0] 10 3" xfId="530"/>
    <cellStyle name="Comma [0] 10 3 2" xfId="2896"/>
    <cellStyle name="Comma [0] 10 4" xfId="531"/>
    <cellStyle name="Comma [0] 10 4 2" xfId="2897"/>
    <cellStyle name="Comma [0] 10 5" xfId="2895"/>
    <cellStyle name="Comma [0] 11" xfId="532"/>
    <cellStyle name="Comma [0] 11 2" xfId="533"/>
    <cellStyle name="Comma [0] 11 2 2" xfId="534"/>
    <cellStyle name="Comma [0] 11 2 2 2" xfId="2900"/>
    <cellStyle name="Comma [0] 11 2 3" xfId="2899"/>
    <cellStyle name="Comma [0] 11 3" xfId="535"/>
    <cellStyle name="Comma [0] 11 3 2" xfId="2901"/>
    <cellStyle name="Comma [0] 11 4" xfId="2898"/>
    <cellStyle name="Comma [0] 12" xfId="536"/>
    <cellStyle name="Comma [0] 12 2" xfId="537"/>
    <cellStyle name="Comma [0] 12 2 2" xfId="538"/>
    <cellStyle name="Comma [0] 12 2 2 2" xfId="2904"/>
    <cellStyle name="Comma [0] 12 2 3" xfId="2903"/>
    <cellStyle name="Comma [0] 12 3" xfId="539"/>
    <cellStyle name="Comma [0] 12 3 2" xfId="540"/>
    <cellStyle name="Comma [0] 12 3 2 2" xfId="2906"/>
    <cellStyle name="Comma [0] 12 3 3" xfId="2905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2 2" xfId="2908"/>
    <cellStyle name="Comma [0] 14 2 3" xfId="2907"/>
    <cellStyle name="Comma [0] 14 3" xfId="546"/>
    <cellStyle name="Comma [0] 15" xfId="547"/>
    <cellStyle name="Comma [0] 15 2" xfId="548"/>
    <cellStyle name="Comma [0] 15 2 2" xfId="549"/>
    <cellStyle name="Comma [0] 15 2 2 2" xfId="2911"/>
    <cellStyle name="Comma [0] 15 2 3" xfId="2910"/>
    <cellStyle name="Comma [0] 15 3" xfId="2909"/>
    <cellStyle name="Comma [0] 15_Book2" xfId="550"/>
    <cellStyle name="Comma [0] 16" xfId="551"/>
    <cellStyle name="Comma [0] 16 2" xfId="2912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2 2" xfId="2915"/>
    <cellStyle name="Comma [0] 18 2 3" xfId="2914"/>
    <cellStyle name="Comma [0] 18 3" xfId="557"/>
    <cellStyle name="Comma [0] 18 3 2" xfId="2916"/>
    <cellStyle name="Comma [0] 18 4" xfId="2913"/>
    <cellStyle name="Comma [0] 19" xfId="558"/>
    <cellStyle name="Comma [0] 19 2" xfId="559"/>
    <cellStyle name="Comma [0] 19 2 2" xfId="560"/>
    <cellStyle name="Comma [0] 19 2 2 2" xfId="2919"/>
    <cellStyle name="Comma [0] 19 2 3" xfId="2918"/>
    <cellStyle name="Comma [0] 19 3" xfId="561"/>
    <cellStyle name="Comma [0] 19 3 2" xfId="2920"/>
    <cellStyle name="Comma [0] 19 4" xfId="2917"/>
    <cellStyle name="Comma [0] 2" xfId="562"/>
    <cellStyle name="Comma [0] 2 10" xfId="563"/>
    <cellStyle name="Comma [0] 2 10 2" xfId="564"/>
    <cellStyle name="Comma [0] 2 10 2 2" xfId="2923"/>
    <cellStyle name="Comma [0] 2 10 3" xfId="565"/>
    <cellStyle name="Comma [0] 2 10 3 2" xfId="2924"/>
    <cellStyle name="Comma [0] 2 10 4" xfId="2922"/>
    <cellStyle name="Comma [0] 2 11" xfId="566"/>
    <cellStyle name="Comma [0] 2 11 2" xfId="2925"/>
    <cellStyle name="Comma [0] 2 12" xfId="567"/>
    <cellStyle name="Comma [0] 2 12 2" xfId="2926"/>
    <cellStyle name="Comma [0] 2 13" xfId="2921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2 2" xfId="2934"/>
    <cellStyle name="Comma [0] 2 2 2 2 2 2 2 2 3" xfId="2933"/>
    <cellStyle name="Comma [0] 2 2 2 2 2 2 2 3" xfId="576"/>
    <cellStyle name="Comma [0] 2 2 2 2 2 2 2 3 2" xfId="577"/>
    <cellStyle name="Comma [0] 2 2 2 2 2 2 2 3 2 2" xfId="2936"/>
    <cellStyle name="Comma [0] 2 2 2 2 2 2 2 3 3" xfId="2935"/>
    <cellStyle name="Comma [0] 2 2 2 2 2 2 2 4" xfId="2932"/>
    <cellStyle name="Comma [0] 2 2 2 2 2 2 3" xfId="578"/>
    <cellStyle name="Comma [0] 2 2 2 2 2 2 3 2" xfId="2937"/>
    <cellStyle name="Comma [0] 2 2 2 2 2 2 4" xfId="579"/>
    <cellStyle name="Comma [0] 2 2 2 2 2 2 4 2" xfId="2938"/>
    <cellStyle name="Comma [0] 2 2 2 2 2 2 5" xfId="2931"/>
    <cellStyle name="Comma [0] 2 2 2 2 2 3" xfId="580"/>
    <cellStyle name="Comma [0] 2 2 2 2 2 3 2" xfId="581"/>
    <cellStyle name="Comma [0] 2 2 2 2 2 3 2 2" xfId="2940"/>
    <cellStyle name="Comma [0] 2 2 2 2 2 3 3" xfId="2939"/>
    <cellStyle name="Comma [0] 2 2 2 2 2 4" xfId="582"/>
    <cellStyle name="Comma [0] 2 2 2 2 2 4 2" xfId="583"/>
    <cellStyle name="Comma [0] 2 2 2 2 2 4 2 2" xfId="2942"/>
    <cellStyle name="Comma [0] 2 2 2 2 2 4 3" xfId="2941"/>
    <cellStyle name="Comma [0] 2 2 2 2 2 5" xfId="2930"/>
    <cellStyle name="Comma [0] 2 2 2 2 3" xfId="584"/>
    <cellStyle name="Comma [0] 2 2 2 2 3 2" xfId="2943"/>
    <cellStyle name="Comma [0] 2 2 2 2 4" xfId="585"/>
    <cellStyle name="Comma [0] 2 2 2 2 4 2" xfId="2944"/>
    <cellStyle name="Comma [0] 2 2 2 2 5" xfId="586"/>
    <cellStyle name="Comma [0] 2 2 2 2 5 2" xfId="2945"/>
    <cellStyle name="Comma [0] 2 2 2 2 6" xfId="2929"/>
    <cellStyle name="Comma [0] 2 2 2 3" xfId="587"/>
    <cellStyle name="Comma [0] 2 2 2 3 2" xfId="588"/>
    <cellStyle name="Comma [0] 2 2 2 3 2 2" xfId="2947"/>
    <cellStyle name="Comma [0] 2 2 2 3 3" xfId="2946"/>
    <cellStyle name="Comma [0] 2 2 2 4" xfId="589"/>
    <cellStyle name="Comma [0] 2 2 2 4 2" xfId="590"/>
    <cellStyle name="Comma [0] 2 2 2 4 2 2" xfId="2949"/>
    <cellStyle name="Comma [0] 2 2 2 4 3" xfId="2948"/>
    <cellStyle name="Comma [0] 2 2 2 5" xfId="591"/>
    <cellStyle name="Comma [0] 2 2 2 5 2" xfId="592"/>
    <cellStyle name="Comma [0] 2 2 2 5 2 2" xfId="2951"/>
    <cellStyle name="Comma [0] 2 2 2 5 3" xfId="2950"/>
    <cellStyle name="Comma [0] 2 2 2 6" xfId="593"/>
    <cellStyle name="Comma [0] 2 2 2 6 2" xfId="2952"/>
    <cellStyle name="Comma [0] 2 2 2 7" xfId="2928"/>
    <cellStyle name="Comma [0] 2 2 3" xfId="594"/>
    <cellStyle name="Comma [0] 2 2 3 2" xfId="2953"/>
    <cellStyle name="Comma [0] 2 2 4" xfId="595"/>
    <cellStyle name="Comma [0] 2 2 4 2" xfId="2954"/>
    <cellStyle name="Comma [0] 2 2 5" xfId="596"/>
    <cellStyle name="Comma [0] 2 2 5 2" xfId="2955"/>
    <cellStyle name="Comma [0] 2 2 6" xfId="597"/>
    <cellStyle name="Comma [0] 2 2 6 2" xfId="598"/>
    <cellStyle name="Comma [0] 2 2 6 2 2" xfId="2957"/>
    <cellStyle name="Comma [0] 2 2 6 3" xfId="2956"/>
    <cellStyle name="Comma [0] 2 2 7" xfId="2927"/>
    <cellStyle name="Comma [0] 2 3" xfId="599"/>
    <cellStyle name="Comma [0] 2 3 2" xfId="600"/>
    <cellStyle name="Comma [0] 2 3 2 2" xfId="601"/>
    <cellStyle name="Comma [0] 2 3 2 2 2" xfId="602"/>
    <cellStyle name="Comma [0] 2 3 2 2 2 2" xfId="2961"/>
    <cellStyle name="Comma [0] 2 3 2 2 3" xfId="603"/>
    <cellStyle name="Comma [0] 2 3 2 2 3 2" xfId="2962"/>
    <cellStyle name="Comma [0] 2 3 2 2 4" xfId="604"/>
    <cellStyle name="Comma [0] 2 3 2 2 4 2" xfId="2963"/>
    <cellStyle name="Comma [0] 2 3 2 2 5" xfId="2960"/>
    <cellStyle name="Comma [0] 2 3 2 3" xfId="605"/>
    <cellStyle name="Comma [0] 2 3 2 3 2" xfId="2964"/>
    <cellStyle name="Comma [0] 2 3 2 4" xfId="606"/>
    <cellStyle name="Comma [0] 2 3 2 4 2" xfId="2965"/>
    <cellStyle name="Comma [0] 2 3 2 5" xfId="607"/>
    <cellStyle name="Comma [0] 2 3 2 5 2" xfId="2966"/>
    <cellStyle name="Comma [0] 2 3 2 6" xfId="608"/>
    <cellStyle name="Comma [0] 2 3 2 6 2" xfId="2967"/>
    <cellStyle name="Comma [0] 2 3 2 7" xfId="2959"/>
    <cellStyle name="Comma [0] 2 3 3" xfId="609"/>
    <cellStyle name="Comma [0] 2 3 3 2" xfId="2968"/>
    <cellStyle name="Comma [0] 2 3 4" xfId="610"/>
    <cellStyle name="Comma [0] 2 3 4 2" xfId="2969"/>
    <cellStyle name="Comma [0] 2 3 5" xfId="611"/>
    <cellStyle name="Comma [0] 2 3 5 2" xfId="2970"/>
    <cellStyle name="Comma [0] 2 3 6" xfId="612"/>
    <cellStyle name="Comma [0] 2 3 6 2" xfId="2971"/>
    <cellStyle name="Comma [0] 2 3 7" xfId="613"/>
    <cellStyle name="Comma [0] 2 3 7 2" xfId="2972"/>
    <cellStyle name="Comma [0] 2 3 8" xfId="614"/>
    <cellStyle name="Comma [0] 2 3 8 2" xfId="2973"/>
    <cellStyle name="Comma [0] 2 3 9" xfId="2958"/>
    <cellStyle name="Comma [0] 2 4" xfId="615"/>
    <cellStyle name="Comma [0] 2 4 2" xfId="616"/>
    <cellStyle name="Comma [0] 2 4 2 2" xfId="2974"/>
    <cellStyle name="Comma [0] 2 4 3" xfId="617"/>
    <cellStyle name="Comma [0] 2 4 3 2" xfId="2975"/>
    <cellStyle name="Comma [0] 2 4 4" xfId="618"/>
    <cellStyle name="Comma [0] 2 4 4 2" xfId="2976"/>
    <cellStyle name="Comma [0] 2 4 5" xfId="619"/>
    <cellStyle name="Comma [0] 2 4 5 2" xfId="620"/>
    <cellStyle name="Comma [0] 2 4 5 2 2" xfId="2978"/>
    <cellStyle name="Comma [0] 2 4 5 3" xfId="2977"/>
    <cellStyle name="Comma [0] 2 4 6" xfId="621"/>
    <cellStyle name="Comma [0] 2 5" xfId="622"/>
    <cellStyle name="Comma [0] 2 5 2" xfId="623"/>
    <cellStyle name="Comma [0] 2 5 2 2" xfId="2980"/>
    <cellStyle name="Comma [0] 2 5 3" xfId="624"/>
    <cellStyle name="Comma [0] 2 5 3 2" xfId="2981"/>
    <cellStyle name="Comma [0] 2 5 4" xfId="625"/>
    <cellStyle name="Comma [0] 2 5 4 2" xfId="2982"/>
    <cellStyle name="Comma [0] 2 5 5" xfId="2979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88"/>
    <cellStyle name="Comma [0] 2 6 2 2 2 2 3" xfId="632"/>
    <cellStyle name="Comma [0] 2 6 2 2 2 2 3 2" xfId="2989"/>
    <cellStyle name="Comma [0] 2 6 2 2 2 2 4" xfId="633"/>
    <cellStyle name="Comma [0] 2 6 2 2 2 2 4 2" xfId="2990"/>
    <cellStyle name="Comma [0] 2 6 2 2 2 2 5" xfId="634"/>
    <cellStyle name="Comma [0] 2 6 2 2 2 2 5 2" xfId="2991"/>
    <cellStyle name="Comma [0] 2 6 2 2 2 2 6" xfId="2987"/>
    <cellStyle name="Comma [0] 2 6 2 2 2 3" xfId="635"/>
    <cellStyle name="Comma [0] 2 6 2 2 2 3 2" xfId="2992"/>
    <cellStyle name="Comma [0] 2 6 2 2 2 4" xfId="636"/>
    <cellStyle name="Comma [0] 2 6 2 2 2 4 2" xfId="2993"/>
    <cellStyle name="Comma [0] 2 6 2 2 2 5" xfId="637"/>
    <cellStyle name="Comma [0] 2 6 2 2 2 5 2" xfId="2994"/>
    <cellStyle name="Comma [0] 2 6 2 2 2 6" xfId="2986"/>
    <cellStyle name="Comma [0] 2 6 2 2 3" xfId="638"/>
    <cellStyle name="Comma [0] 2 6 2 2 3 2" xfId="2995"/>
    <cellStyle name="Comma [0] 2 6 2 2 4" xfId="639"/>
    <cellStyle name="Comma [0] 2 6 2 2 4 2" xfId="2996"/>
    <cellStyle name="Comma [0] 2 6 2 2 5" xfId="640"/>
    <cellStyle name="Comma [0] 2 6 2 2 5 2" xfId="2997"/>
    <cellStyle name="Comma [0] 2 6 2 2 6" xfId="2985"/>
    <cellStyle name="Comma [0] 2 6 2 3" xfId="641"/>
    <cellStyle name="Comma [0] 2 6 2 3 2" xfId="2998"/>
    <cellStyle name="Comma [0] 2 6 2 4" xfId="642"/>
    <cellStyle name="Comma [0] 2 6 2 4 2" xfId="2999"/>
    <cellStyle name="Comma [0] 2 6 2 5" xfId="643"/>
    <cellStyle name="Comma [0] 2 6 2 5 2" xfId="3000"/>
    <cellStyle name="Comma [0] 2 6 2 6" xfId="2984"/>
    <cellStyle name="Comma [0] 2 6 3" xfId="644"/>
    <cellStyle name="Comma [0] 2 6 3 2" xfId="3001"/>
    <cellStyle name="Comma [0] 2 6 4" xfId="645"/>
    <cellStyle name="Comma [0] 2 6 4 2" xfId="3002"/>
    <cellStyle name="Comma [0] 2 6 5" xfId="646"/>
    <cellStyle name="Comma [0] 2 6 5 2" xfId="3003"/>
    <cellStyle name="Comma [0] 2 6 6" xfId="2983"/>
    <cellStyle name="Comma [0] 2 7" xfId="647"/>
    <cellStyle name="Comma [0] 2 7 2" xfId="648"/>
    <cellStyle name="Comma [0] 2 7 2 2" xfId="3005"/>
    <cellStyle name="Comma [0] 2 7 3" xfId="3004"/>
    <cellStyle name="Comma [0] 2 8" xfId="649"/>
    <cellStyle name="Comma [0] 2 8 2" xfId="3006"/>
    <cellStyle name="Comma [0] 2 9" xfId="650"/>
    <cellStyle name="Comma [0] 2 9 2" xfId="3007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3008"/>
    <cellStyle name="Comma [0] 23" xfId="656"/>
    <cellStyle name="Comma [0] 23 2" xfId="3009"/>
    <cellStyle name="Comma [0] 24" xfId="657"/>
    <cellStyle name="Comma [0] 24 2" xfId="658"/>
    <cellStyle name="Comma [0] 24 2 2" xfId="659"/>
    <cellStyle name="Comma [0] 24 2 2 2" xfId="3012"/>
    <cellStyle name="Comma [0] 24 2 3" xfId="3011"/>
    <cellStyle name="Comma [0] 24 3" xfId="660"/>
    <cellStyle name="Comma [0] 24 3 2" xfId="3013"/>
    <cellStyle name="Comma [0] 24 4" xfId="3010"/>
    <cellStyle name="Comma [0] 25" xfId="661"/>
    <cellStyle name="Comma [0] 25 2" xfId="3014"/>
    <cellStyle name="Comma [0] 26" xfId="662"/>
    <cellStyle name="Comma [0] 26 2" xfId="3015"/>
    <cellStyle name="Comma [0] 27" xfId="663"/>
    <cellStyle name="Comma [0] 27 2" xfId="664"/>
    <cellStyle name="Comma [0] 27 2 2" xfId="3017"/>
    <cellStyle name="Comma [0] 27 3" xfId="3016"/>
    <cellStyle name="Comma [0] 3" xfId="665"/>
    <cellStyle name="Comma [0] 3 2" xfId="666"/>
    <cellStyle name="Comma [0] 3 2 2" xfId="667"/>
    <cellStyle name="Comma [0] 3 2 2 2" xfId="3020"/>
    <cellStyle name="Comma [0] 3 2 3" xfId="668"/>
    <cellStyle name="Comma [0] 3 2 3 2" xfId="3021"/>
    <cellStyle name="Comma [0] 3 2 4" xfId="3019"/>
    <cellStyle name="Comma [0] 3 3" xfId="669"/>
    <cellStyle name="Comma [0] 3 3 2" xfId="3022"/>
    <cellStyle name="Comma [0] 3 4" xfId="3018"/>
    <cellStyle name="Comma [0] 32" xfId="670"/>
    <cellStyle name="Comma [0] 32 2" xfId="671"/>
    <cellStyle name="Comma [0] 32 2 2" xfId="3024"/>
    <cellStyle name="Comma [0] 32 3" xfId="3023"/>
    <cellStyle name="Comma [0] 35" xfId="672"/>
    <cellStyle name="Comma [0] 35 2" xfId="3025"/>
    <cellStyle name="Comma [0] 4" xfId="673"/>
    <cellStyle name="Comma [0] 4 2" xfId="674"/>
    <cellStyle name="Comma [0] 4 2 2" xfId="675"/>
    <cellStyle name="Comma [0] 4 2 2 2" xfId="3028"/>
    <cellStyle name="Comma [0] 4 2 3" xfId="3027"/>
    <cellStyle name="Comma [0] 4 3" xfId="676"/>
    <cellStyle name="Comma [0] 4 3 2" xfId="677"/>
    <cellStyle name="Comma [0] 4 3 2 2" xfId="3030"/>
    <cellStyle name="Comma [0] 4 3 3" xfId="3029"/>
    <cellStyle name="Comma [0] 4 4" xfId="678"/>
    <cellStyle name="Comma [0] 4 4 2" xfId="679"/>
    <cellStyle name="Comma [0] 4 5" xfId="680"/>
    <cellStyle name="Comma [0] 4 5 2" xfId="3031"/>
    <cellStyle name="Comma [0] 4 6" xfId="681"/>
    <cellStyle name="Comma [0] 4 6 2" xfId="3032"/>
    <cellStyle name="Comma [0] 4 7" xfId="3026"/>
    <cellStyle name="Comma [0] 5" xfId="682"/>
    <cellStyle name="Comma [0] 5 2" xfId="683"/>
    <cellStyle name="Comma [0] 5 2 2" xfId="3034"/>
    <cellStyle name="Comma [0] 5 3" xfId="684"/>
    <cellStyle name="Comma [0] 5 3 2" xfId="3035"/>
    <cellStyle name="Comma [0] 5 4" xfId="3033"/>
    <cellStyle name="Comma [0] 6" xfId="685"/>
    <cellStyle name="Comma [0] 6 2" xfId="686"/>
    <cellStyle name="Comma [0] 6 2 2" xfId="3037"/>
    <cellStyle name="Comma [0] 6 3" xfId="687"/>
    <cellStyle name="Comma [0] 6 3 2" xfId="688"/>
    <cellStyle name="Comma [0] 6 3 2 2" xfId="3039"/>
    <cellStyle name="Comma [0] 6 3 3" xfId="3038"/>
    <cellStyle name="Comma [0] 6 4" xfId="3036"/>
    <cellStyle name="Comma [0] 7" xfId="689"/>
    <cellStyle name="Comma [0] 7 2" xfId="690"/>
    <cellStyle name="Comma [0] 7 2 2" xfId="691"/>
    <cellStyle name="Comma [0] 7 2 2 2" xfId="3041"/>
    <cellStyle name="Comma [0] 7 2 3" xfId="3040"/>
    <cellStyle name="Comma [0] 7 3" xfId="692"/>
    <cellStyle name="Comma [0] 8" xfId="693"/>
    <cellStyle name="Comma [0] 8 2" xfId="694"/>
    <cellStyle name="Comma [0] 8 2 2" xfId="695"/>
    <cellStyle name="Comma [0] 8 2 2 2" xfId="3044"/>
    <cellStyle name="Comma [0] 8 2 3" xfId="3043"/>
    <cellStyle name="Comma [0] 8 3" xfId="696"/>
    <cellStyle name="Comma [0] 8 3 2" xfId="697"/>
    <cellStyle name="Comma [0] 8 3 2 2" xfId="3046"/>
    <cellStyle name="Comma [0] 8 3 3" xfId="3045"/>
    <cellStyle name="Comma [0] 8 4" xfId="698"/>
    <cellStyle name="Comma [0] 8 4 2" xfId="3047"/>
    <cellStyle name="Comma [0] 8 5" xfId="3042"/>
    <cellStyle name="Comma [0] 9" xfId="699"/>
    <cellStyle name="Comma [0] 9 2" xfId="700"/>
    <cellStyle name="Comma [0] 9 2 2" xfId="701"/>
    <cellStyle name="Comma [0] 9 2 2 2" xfId="3050"/>
    <cellStyle name="Comma [0] 9 2 3" xfId="3049"/>
    <cellStyle name="Comma [0] 9 3" xfId="702"/>
    <cellStyle name="Comma [0] 9 3 2" xfId="703"/>
    <cellStyle name="Comma [0] 9 3 2 2" xfId="3052"/>
    <cellStyle name="Comma [0] 9 3 3" xfId="3051"/>
    <cellStyle name="Comma [0] 9 4" xfId="3048"/>
    <cellStyle name="Comma [0] 90" xfId="704"/>
    <cellStyle name="Comma [0] 90 2" xfId="705"/>
    <cellStyle name="Comma [0] 90 2 2" xfId="3054"/>
    <cellStyle name="Comma [0] 90 3" xfId="3053"/>
    <cellStyle name="Comma [0] 91" xfId="706"/>
    <cellStyle name="Comma [0] 91 2" xfId="707"/>
    <cellStyle name="Comma [0] 91 2 2" xfId="3056"/>
    <cellStyle name="Comma [0] 91 3" xfId="3055"/>
    <cellStyle name="Comma [0] 93" xfId="708"/>
    <cellStyle name="Comma [0] 93 2" xfId="709"/>
    <cellStyle name="Comma [0] 93 2 2" xfId="3058"/>
    <cellStyle name="Comma [0] 93 3" xfId="3057"/>
    <cellStyle name="Comma [0] 94" xfId="710"/>
    <cellStyle name="Comma [0] 94 2" xfId="711"/>
    <cellStyle name="Comma [0] 94 2 2" xfId="3060"/>
    <cellStyle name="Comma [0] 94 3" xfId="305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063"/>
    <cellStyle name="Comma 10 2 2 3" xfId="3062"/>
    <cellStyle name="Comma 10 2 3" xfId="718"/>
    <cellStyle name="Comma 10 2 3 2" xfId="3064"/>
    <cellStyle name="Comma 10 2 4" xfId="3061"/>
    <cellStyle name="Comma 10 3" xfId="719"/>
    <cellStyle name="Comma 10 3 2" xfId="720"/>
    <cellStyle name="Comma 10 3 2 2" xfId="3066"/>
    <cellStyle name="Comma 10 3 3" xfId="3065"/>
    <cellStyle name="Comma 10 4" xfId="721"/>
    <cellStyle name="Comma 10 4 2" xfId="722"/>
    <cellStyle name="Comma 10 4 2 2" xfId="3068"/>
    <cellStyle name="Comma 10 4 3" xfId="3067"/>
    <cellStyle name="Comma 10 5" xfId="723"/>
    <cellStyle name="Comma 10 5 2" xfId="724"/>
    <cellStyle name="Comma 10 5 2 2" xfId="3070"/>
    <cellStyle name="Comma 10 5 3" xfId="3069"/>
    <cellStyle name="Comma 10 6" xfId="725"/>
    <cellStyle name="Comma 10 6 2" xfId="726"/>
    <cellStyle name="Comma 10 6 2 2" xfId="3072"/>
    <cellStyle name="Comma 10 6 3" xfId="3071"/>
    <cellStyle name="Comma 10 7" xfId="727"/>
    <cellStyle name="Comma 10 7 2" xfId="3073"/>
    <cellStyle name="Comma 10 8" xfId="728"/>
    <cellStyle name="Comma 11" xfId="729"/>
    <cellStyle name="Comma 11 2" xfId="730"/>
    <cellStyle name="Comma 11 2 2" xfId="3075"/>
    <cellStyle name="Comma 11 3" xfId="3074"/>
    <cellStyle name="Comma 12" xfId="731"/>
    <cellStyle name="Comma 12 2" xfId="732"/>
    <cellStyle name="Comma 12 2 2" xfId="733"/>
    <cellStyle name="Comma 12 2 2 2" xfId="3078"/>
    <cellStyle name="Comma 12 2 3" xfId="3077"/>
    <cellStyle name="Comma 12 3" xfId="734"/>
    <cellStyle name="Comma 12 3 2" xfId="735"/>
    <cellStyle name="Comma 12 3 2 2" xfId="3080"/>
    <cellStyle name="Comma 12 3 3" xfId="3079"/>
    <cellStyle name="Comma 12 4" xfId="736"/>
    <cellStyle name="Comma 12 4 2" xfId="737"/>
    <cellStyle name="Comma 12 4 2 2" xfId="3082"/>
    <cellStyle name="Comma 12 4 3" xfId="3081"/>
    <cellStyle name="Comma 12 5" xfId="738"/>
    <cellStyle name="Comma 12 5 2" xfId="739"/>
    <cellStyle name="Comma 12 5 2 2" xfId="3084"/>
    <cellStyle name="Comma 12 5 3" xfId="3083"/>
    <cellStyle name="Comma 12 6" xfId="740"/>
    <cellStyle name="Comma 12 6 2" xfId="741"/>
    <cellStyle name="Comma 12 6 2 2" xfId="3086"/>
    <cellStyle name="Comma 12 6 3" xfId="3085"/>
    <cellStyle name="Comma 12 7" xfId="742"/>
    <cellStyle name="Comma 12 7 2" xfId="3087"/>
    <cellStyle name="Comma 12 8" xfId="3076"/>
    <cellStyle name="Comma 13" xfId="743"/>
    <cellStyle name="Comma 13 2" xfId="744"/>
    <cellStyle name="Comma 13 2 2" xfId="745"/>
    <cellStyle name="Comma 13 2 2 2" xfId="3090"/>
    <cellStyle name="Comma 13 2 3" xfId="3089"/>
    <cellStyle name="Comma 13 3" xfId="746"/>
    <cellStyle name="Comma 13 3 2" xfId="3091"/>
    <cellStyle name="Comma 13 4" xfId="3088"/>
    <cellStyle name="Comma 14" xfId="747"/>
    <cellStyle name="Comma 14 2" xfId="748"/>
    <cellStyle name="Comma 14 2 2" xfId="749"/>
    <cellStyle name="Comma 14 2 2 2" xfId="750"/>
    <cellStyle name="Comma 14 2 2 2 2" xfId="3095"/>
    <cellStyle name="Comma 14 2 2 3" xfId="3094"/>
    <cellStyle name="Comma 14 2 3" xfId="751"/>
    <cellStyle name="Comma 14 2 3 2" xfId="3096"/>
    <cellStyle name="Comma 14 2 4" xfId="3093"/>
    <cellStyle name="Comma 14 3" xfId="752"/>
    <cellStyle name="Comma 14 3 2" xfId="3097"/>
    <cellStyle name="Comma 14 4" xfId="3092"/>
    <cellStyle name="Comma 15" xfId="753"/>
    <cellStyle name="Comma 15 2" xfId="754"/>
    <cellStyle name="Comma 15 2 2" xfId="755"/>
    <cellStyle name="Comma 15 2 2 2" xfId="3100"/>
    <cellStyle name="Comma 15 2 3" xfId="3099"/>
    <cellStyle name="Comma 15 3" xfId="756"/>
    <cellStyle name="Comma 15 3 2" xfId="757"/>
    <cellStyle name="Comma 15 3 2 2" xfId="3102"/>
    <cellStyle name="Comma 15 3 3" xfId="3101"/>
    <cellStyle name="Comma 15 4" xfId="758"/>
    <cellStyle name="Comma 15 4 2" xfId="759"/>
    <cellStyle name="Comma 15 4 2 2" xfId="3104"/>
    <cellStyle name="Comma 15 4 3" xfId="3103"/>
    <cellStyle name="Comma 15 5" xfId="760"/>
    <cellStyle name="Comma 15 5 2" xfId="3105"/>
    <cellStyle name="Comma 15 6" xfId="3098"/>
    <cellStyle name="Comma 16" xfId="761"/>
    <cellStyle name="Comma 16 2" xfId="762"/>
    <cellStyle name="Comma 16 2 2" xfId="3107"/>
    <cellStyle name="Comma 16 3" xfId="3106"/>
    <cellStyle name="Comma 17" xfId="763"/>
    <cellStyle name="Comma 17 2" xfId="764"/>
    <cellStyle name="Comma 17 2 2" xfId="765"/>
    <cellStyle name="Comma 17 2 2 2" xfId="3110"/>
    <cellStyle name="Comma 17 2 3" xfId="3109"/>
    <cellStyle name="Comma 17 3" xfId="3108"/>
    <cellStyle name="Comma 18" xfId="766"/>
    <cellStyle name="Comma 18 2" xfId="767"/>
    <cellStyle name="Comma 18 2 2" xfId="768"/>
    <cellStyle name="Comma 18 2 2 2" xfId="3113"/>
    <cellStyle name="Comma 18 2 3" xfId="3112"/>
    <cellStyle name="Comma 18 3" xfId="769"/>
    <cellStyle name="Comma 18 3 2" xfId="3114"/>
    <cellStyle name="Comma 18 4" xfId="3111"/>
    <cellStyle name="Comma 19" xfId="770"/>
    <cellStyle name="Comma 19 2" xfId="771"/>
    <cellStyle name="Comma 19 2 2" xfId="3116"/>
    <cellStyle name="Comma 19 3" xfId="772"/>
    <cellStyle name="Comma 19 3 2" xfId="3117"/>
    <cellStyle name="Comma 19 4" xfId="773"/>
    <cellStyle name="Comma 19 4 2" xfId="3118"/>
    <cellStyle name="Comma 19 5" xfId="774"/>
    <cellStyle name="Comma 19 5 2" xfId="3119"/>
    <cellStyle name="Comma 19 6" xfId="3115"/>
    <cellStyle name="Comma 2" xfId="775"/>
    <cellStyle name="Comma 2 10" xfId="776"/>
    <cellStyle name="Comma 2 10 2" xfId="777"/>
    <cellStyle name="Comma 2 10 2 2" xfId="3122"/>
    <cellStyle name="Comma 2 10 3" xfId="3121"/>
    <cellStyle name="Comma 2 11" xfId="778"/>
    <cellStyle name="Comma 2 11 2" xfId="779"/>
    <cellStyle name="Comma 2 11 2 2" xfId="3124"/>
    <cellStyle name="Comma 2 11 3" xfId="3123"/>
    <cellStyle name="Comma 2 12" xfId="780"/>
    <cellStyle name="Comma 2 12 2" xfId="781"/>
    <cellStyle name="Comma 2 12 2 2" xfId="3126"/>
    <cellStyle name="Comma 2 12 3" xfId="3125"/>
    <cellStyle name="Comma 2 13" xfId="782"/>
    <cellStyle name="Comma 2 13 2" xfId="783"/>
    <cellStyle name="Comma 2 13 2 2" xfId="3128"/>
    <cellStyle name="Comma 2 13 3" xfId="3127"/>
    <cellStyle name="Comma 2 14" xfId="784"/>
    <cellStyle name="Comma 2 14 2" xfId="785"/>
    <cellStyle name="Comma 2 14 2 2" xfId="3130"/>
    <cellStyle name="Comma 2 14 3" xfId="3129"/>
    <cellStyle name="Comma 2 15" xfId="786"/>
    <cellStyle name="Comma 2 15 2" xfId="787"/>
    <cellStyle name="Comma 2 15 2 2" xfId="3132"/>
    <cellStyle name="Comma 2 15 3" xfId="3131"/>
    <cellStyle name="Comma 2 16" xfId="788"/>
    <cellStyle name="Comma 2 16 2" xfId="789"/>
    <cellStyle name="Comma 2 16 2 2" xfId="3134"/>
    <cellStyle name="Comma 2 16 3" xfId="3133"/>
    <cellStyle name="Comma 2 17" xfId="790"/>
    <cellStyle name="Comma 2 17 2" xfId="791"/>
    <cellStyle name="Comma 2 17 2 2" xfId="3136"/>
    <cellStyle name="Comma 2 17 3" xfId="3135"/>
    <cellStyle name="Comma 2 18" xfId="792"/>
    <cellStyle name="Comma 2 18 2" xfId="793"/>
    <cellStyle name="Comma 2 18 2 2" xfId="3138"/>
    <cellStyle name="Comma 2 18 3" xfId="3137"/>
    <cellStyle name="Comma 2 19" xfId="794"/>
    <cellStyle name="Comma 2 19 2" xfId="795"/>
    <cellStyle name="Comma 2 19 2 2" xfId="3140"/>
    <cellStyle name="Comma 2 19 3" xfId="3139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2 2" xfId="3147"/>
    <cellStyle name="Comma 2 2 2 2 2 2 2 2 3" xfId="3146"/>
    <cellStyle name="Comma 2 2 2 2 2 2 2 3" xfId="804"/>
    <cellStyle name="Comma 2 2 2 2 2 2 2 3 2" xfId="805"/>
    <cellStyle name="Comma 2 2 2 2 2 2 2 3 2 2" xfId="3149"/>
    <cellStyle name="Comma 2 2 2 2 2 2 2 3 3" xfId="3148"/>
    <cellStyle name="Comma 2 2 2 2 2 2 2 4" xfId="3145"/>
    <cellStyle name="Comma 2 2 2 2 2 2 3" xfId="806"/>
    <cellStyle name="Comma 2 2 2 2 2 2 3 2" xfId="3150"/>
    <cellStyle name="Comma 2 2 2 2 2 2 4" xfId="807"/>
    <cellStyle name="Comma 2 2 2 2 2 2 4 2" xfId="3151"/>
    <cellStyle name="Comma 2 2 2 2 2 2 5" xfId="3144"/>
    <cellStyle name="Comma 2 2 2 2 2 3" xfId="808"/>
    <cellStyle name="Comma 2 2 2 2 2 3 2" xfId="809"/>
    <cellStyle name="Comma 2 2 2 2 2 3 2 2" xfId="3153"/>
    <cellStyle name="Comma 2 2 2 2 2 3 3" xfId="3152"/>
    <cellStyle name="Comma 2 2 2 2 2 4" xfId="810"/>
    <cellStyle name="Comma 2 2 2 2 2 4 2" xfId="811"/>
    <cellStyle name="Comma 2 2 2 2 2 4 2 2" xfId="3155"/>
    <cellStyle name="Comma 2 2 2 2 2 4 3" xfId="3154"/>
    <cellStyle name="Comma 2 2 2 2 2 5" xfId="3143"/>
    <cellStyle name="Comma 2 2 2 2 3" xfId="812"/>
    <cellStyle name="Comma 2 2 2 2 3 2" xfId="3156"/>
    <cellStyle name="Comma 2 2 2 2 4" xfId="813"/>
    <cellStyle name="Comma 2 2 2 2 4 2" xfId="3157"/>
    <cellStyle name="Comma 2 2 2 2 5" xfId="814"/>
    <cellStyle name="Comma 2 2 2 2 5 2" xfId="3158"/>
    <cellStyle name="Comma 2 2 2 2 6" xfId="3142"/>
    <cellStyle name="Comma 2 2 2 3" xfId="815"/>
    <cellStyle name="Comma 2 2 2 3 2" xfId="816"/>
    <cellStyle name="Comma 2 2 2 3 2 2" xfId="3160"/>
    <cellStyle name="Comma 2 2 2 3 3" xfId="3159"/>
    <cellStyle name="Comma 2 2 2 4" xfId="817"/>
    <cellStyle name="Comma 2 2 2 4 2" xfId="818"/>
    <cellStyle name="Comma 2 2 2 4 2 2" xfId="3162"/>
    <cellStyle name="Comma 2 2 2 4 3" xfId="3161"/>
    <cellStyle name="Comma 2 2 2 5" xfId="819"/>
    <cellStyle name="Comma 2 2 2 5 2" xfId="820"/>
    <cellStyle name="Comma 2 2 2 5 2 2" xfId="3164"/>
    <cellStyle name="Comma 2 2 2 5 3" xfId="3163"/>
    <cellStyle name="Comma 2 2 2 6" xfId="3141"/>
    <cellStyle name="Comma 2 2 3" xfId="821"/>
    <cellStyle name="Comma 2 2 3 2" xfId="822"/>
    <cellStyle name="Comma 2 2 3 2 2" xfId="3166"/>
    <cellStyle name="Comma 2 2 3 3" xfId="3165"/>
    <cellStyle name="Comma 2 2 4" xfId="823"/>
    <cellStyle name="Comma 2 2 4 2" xfId="3167"/>
    <cellStyle name="Comma 2 2 5" xfId="824"/>
    <cellStyle name="Comma 2 2 5 2" xfId="3168"/>
    <cellStyle name="Comma 2 2 6" xfId="825"/>
    <cellStyle name="Comma 2 2 6 2" xfId="3169"/>
    <cellStyle name="Comma 2 2 7" xfId="826"/>
    <cellStyle name="Comma 2 20" xfId="827"/>
    <cellStyle name="Comma 2 20 2" xfId="828"/>
    <cellStyle name="Comma 2 20 2 2" xfId="3171"/>
    <cellStyle name="Comma 2 20 3" xfId="3170"/>
    <cellStyle name="Comma 2 21" xfId="829"/>
    <cellStyle name="Comma 2 21 2" xfId="830"/>
    <cellStyle name="Comma 2 21 2 2" xfId="3173"/>
    <cellStyle name="Comma 2 21 3" xfId="3172"/>
    <cellStyle name="Comma 2 22" xfId="831"/>
    <cellStyle name="Comma 2 22 2" xfId="832"/>
    <cellStyle name="Comma 2 22 2 2" xfId="3175"/>
    <cellStyle name="Comma 2 22 3" xfId="3174"/>
    <cellStyle name="Comma 2 23" xfId="833"/>
    <cellStyle name="Comma 2 23 2" xfId="834"/>
    <cellStyle name="Comma 2 23 2 2" xfId="3177"/>
    <cellStyle name="Comma 2 23 3" xfId="3176"/>
    <cellStyle name="Comma 2 24" xfId="835"/>
    <cellStyle name="Comma 2 24 2" xfId="836"/>
    <cellStyle name="Comma 2 24 2 2" xfId="3179"/>
    <cellStyle name="Comma 2 24 3" xfId="3178"/>
    <cellStyle name="Comma 2 25" xfId="837"/>
    <cellStyle name="Comma 2 25 2" xfId="838"/>
    <cellStyle name="Comma 2 25 2 2" xfId="3181"/>
    <cellStyle name="Comma 2 25 3" xfId="3180"/>
    <cellStyle name="Comma 2 26" xfId="839"/>
    <cellStyle name="Comma 2 26 2" xfId="840"/>
    <cellStyle name="Comma 2 26 2 2" xfId="3183"/>
    <cellStyle name="Comma 2 26 3" xfId="3182"/>
    <cellStyle name="Comma 2 27" xfId="841"/>
    <cellStyle name="Comma 2 27 2" xfId="842"/>
    <cellStyle name="Comma 2 27 2 2" xfId="3185"/>
    <cellStyle name="Comma 2 27 3" xfId="3184"/>
    <cellStyle name="Comma 2 28" xfId="843"/>
    <cellStyle name="Comma 2 28 2" xfId="844"/>
    <cellStyle name="Comma 2 28 2 2" xfId="3187"/>
    <cellStyle name="Comma 2 28 3" xfId="3186"/>
    <cellStyle name="Comma 2 29" xfId="845"/>
    <cellStyle name="Comma 2 29 2" xfId="846"/>
    <cellStyle name="Comma 2 29 2 2" xfId="3189"/>
    <cellStyle name="Comma 2 29 3" xfId="3188"/>
    <cellStyle name="Comma 2 3" xfId="847"/>
    <cellStyle name="Comma 2 3 2" xfId="848"/>
    <cellStyle name="Comma 2 3 2 2" xfId="3191"/>
    <cellStyle name="Comma 2 3 3" xfId="3190"/>
    <cellStyle name="Comma 2 30" xfId="849"/>
    <cellStyle name="Comma 2 30 2" xfId="850"/>
    <cellStyle name="Comma 2 30 2 2" xfId="3193"/>
    <cellStyle name="Comma 2 30 3" xfId="3192"/>
    <cellStyle name="Comma 2 31" xfId="851"/>
    <cellStyle name="Comma 2 31 2" xfId="852"/>
    <cellStyle name="Comma 2 31 2 2" xfId="3195"/>
    <cellStyle name="Comma 2 31 3" xfId="3194"/>
    <cellStyle name="Comma 2 32" xfId="853"/>
    <cellStyle name="Comma 2 32 2" xfId="854"/>
    <cellStyle name="Comma 2 32 2 2" xfId="3197"/>
    <cellStyle name="Comma 2 32 3" xfId="3196"/>
    <cellStyle name="Comma 2 33" xfId="855"/>
    <cellStyle name="Comma 2 33 2" xfId="856"/>
    <cellStyle name="Comma 2 33 2 2" xfId="3199"/>
    <cellStyle name="Comma 2 33 3" xfId="3198"/>
    <cellStyle name="Comma 2 34" xfId="857"/>
    <cellStyle name="Comma 2 34 2" xfId="858"/>
    <cellStyle name="Comma 2 34 2 2" xfId="3201"/>
    <cellStyle name="Comma 2 34 3" xfId="3200"/>
    <cellStyle name="Comma 2 35" xfId="859"/>
    <cellStyle name="Comma 2 35 2" xfId="860"/>
    <cellStyle name="Comma 2 35 2 2" xfId="3203"/>
    <cellStyle name="Comma 2 35 3" xfId="3202"/>
    <cellStyle name="Comma 2 36" xfId="861"/>
    <cellStyle name="Comma 2 36 2" xfId="862"/>
    <cellStyle name="Comma 2 36 2 2" xfId="3205"/>
    <cellStyle name="Comma 2 36 3" xfId="3204"/>
    <cellStyle name="Comma 2 37" xfId="863"/>
    <cellStyle name="Comma 2 37 2" xfId="864"/>
    <cellStyle name="Comma 2 37 2 2" xfId="3207"/>
    <cellStyle name="Comma 2 37 3" xfId="3206"/>
    <cellStyle name="Comma 2 38" xfId="865"/>
    <cellStyle name="Comma 2 38 2" xfId="866"/>
    <cellStyle name="Comma 2 38 2 2" xfId="3209"/>
    <cellStyle name="Comma 2 38 3" xfId="3208"/>
    <cellStyle name="Comma 2 39" xfId="867"/>
    <cellStyle name="Comma 2 39 2" xfId="868"/>
    <cellStyle name="Comma 2 39 2 2" xfId="3211"/>
    <cellStyle name="Comma 2 39 3" xfId="3210"/>
    <cellStyle name="Comma 2 4" xfId="869"/>
    <cellStyle name="Comma 2 4 2" xfId="870"/>
    <cellStyle name="Comma 2 4 2 2" xfId="3212"/>
    <cellStyle name="Comma 2 4 3" xfId="871"/>
    <cellStyle name="Comma 2 4 3 2" xfId="3213"/>
    <cellStyle name="Comma 2 4 4" xfId="872"/>
    <cellStyle name="Comma 2 40" xfId="873"/>
    <cellStyle name="Comma 2 40 2" xfId="874"/>
    <cellStyle name="Comma 2 40 2 2" xfId="3215"/>
    <cellStyle name="Comma 2 40 3" xfId="3214"/>
    <cellStyle name="Comma 2 41" xfId="875"/>
    <cellStyle name="Comma 2 41 2" xfId="876"/>
    <cellStyle name="Comma 2 41 2 2" xfId="3217"/>
    <cellStyle name="Comma 2 41 3" xfId="3216"/>
    <cellStyle name="Comma 2 42" xfId="877"/>
    <cellStyle name="Comma 2 42 2" xfId="878"/>
    <cellStyle name="Comma 2 42 2 2" xfId="3219"/>
    <cellStyle name="Comma 2 42 3" xfId="3218"/>
    <cellStyle name="Comma 2 43" xfId="879"/>
    <cellStyle name="Comma 2 43 2" xfId="880"/>
    <cellStyle name="Comma 2 43 2 2" xfId="3221"/>
    <cellStyle name="Comma 2 43 3" xfId="3220"/>
    <cellStyle name="Comma 2 44" xfId="881"/>
    <cellStyle name="Comma 2 44 2" xfId="882"/>
    <cellStyle name="Comma 2 44 2 2" xfId="3223"/>
    <cellStyle name="Comma 2 44 3" xfId="3222"/>
    <cellStyle name="Comma 2 45" xfId="883"/>
    <cellStyle name="Comma 2 45 2" xfId="884"/>
    <cellStyle name="Comma 2 45 2 2" xfId="3225"/>
    <cellStyle name="Comma 2 45 3" xfId="3224"/>
    <cellStyle name="Comma 2 46" xfId="885"/>
    <cellStyle name="Comma 2 46 2" xfId="886"/>
    <cellStyle name="Comma 2 46 2 2" xfId="3227"/>
    <cellStyle name="Comma 2 46 3" xfId="3226"/>
    <cellStyle name="Comma 2 47" xfId="887"/>
    <cellStyle name="Comma 2 47 2" xfId="888"/>
    <cellStyle name="Comma 2 47 2 2" xfId="3229"/>
    <cellStyle name="Comma 2 47 3" xfId="3228"/>
    <cellStyle name="Comma 2 48" xfId="889"/>
    <cellStyle name="Comma 2 48 2" xfId="890"/>
    <cellStyle name="Comma 2 48 2 2" xfId="3231"/>
    <cellStyle name="Comma 2 48 3" xfId="3230"/>
    <cellStyle name="Comma 2 49" xfId="891"/>
    <cellStyle name="Comma 2 49 2" xfId="892"/>
    <cellStyle name="Comma 2 49 2 2" xfId="3233"/>
    <cellStyle name="Comma 2 49 3" xfId="3232"/>
    <cellStyle name="Comma 2 5" xfId="893"/>
    <cellStyle name="Comma 2 5 2" xfId="894"/>
    <cellStyle name="Comma 2 5 2 2" xfId="3235"/>
    <cellStyle name="Comma 2 5 3" xfId="3234"/>
    <cellStyle name="Comma 2 50" xfId="895"/>
    <cellStyle name="Comma 2 50 2" xfId="896"/>
    <cellStyle name="Comma 2 50 2 2" xfId="3237"/>
    <cellStyle name="Comma 2 50 3" xfId="3236"/>
    <cellStyle name="Comma 2 51" xfId="897"/>
    <cellStyle name="Comma 2 51 2" xfId="898"/>
    <cellStyle name="Comma 2 51 2 2" xfId="3239"/>
    <cellStyle name="Comma 2 51 3" xfId="3238"/>
    <cellStyle name="Comma 2 52" xfId="899"/>
    <cellStyle name="Comma 2 52 2" xfId="900"/>
    <cellStyle name="Comma 2 52 2 2" xfId="3241"/>
    <cellStyle name="Comma 2 52 3" xfId="3240"/>
    <cellStyle name="Comma 2 53" xfId="901"/>
    <cellStyle name="Comma 2 53 2" xfId="902"/>
    <cellStyle name="Comma 2 53 2 2" xfId="3243"/>
    <cellStyle name="Comma 2 53 3" xfId="3242"/>
    <cellStyle name="Comma 2 54" xfId="903"/>
    <cellStyle name="Comma 2 54 2" xfId="904"/>
    <cellStyle name="Comma 2 54 2 2" xfId="3245"/>
    <cellStyle name="Comma 2 54 3" xfId="3244"/>
    <cellStyle name="Comma 2 55" xfId="905"/>
    <cellStyle name="Comma 2 55 2" xfId="906"/>
    <cellStyle name="Comma 2 55 2 2" xfId="3247"/>
    <cellStyle name="Comma 2 55 3" xfId="3246"/>
    <cellStyle name="Comma 2 56" xfId="907"/>
    <cellStyle name="Comma 2 56 2" xfId="908"/>
    <cellStyle name="Comma 2 56 2 2" xfId="3249"/>
    <cellStyle name="Comma 2 56 3" xfId="3248"/>
    <cellStyle name="Comma 2 57" xfId="909"/>
    <cellStyle name="Comma 2 57 2" xfId="910"/>
    <cellStyle name="Comma 2 57 2 2" xfId="3251"/>
    <cellStyle name="Comma 2 57 3" xfId="3250"/>
    <cellStyle name="Comma 2 58" xfId="911"/>
    <cellStyle name="Comma 2 58 2" xfId="912"/>
    <cellStyle name="Comma 2 58 2 2" xfId="913"/>
    <cellStyle name="Comma 2 58 2 2 2" xfId="3254"/>
    <cellStyle name="Comma 2 58 2 3" xfId="3253"/>
    <cellStyle name="Comma 2 58 3" xfId="914"/>
    <cellStyle name="Comma 2 58 3 2" xfId="915"/>
    <cellStyle name="Comma 2 58 3 2 2" xfId="3256"/>
    <cellStyle name="Comma 2 58 3 3" xfId="3255"/>
    <cellStyle name="Comma 2 58 4" xfId="916"/>
    <cellStyle name="Comma 2 58 4 2" xfId="917"/>
    <cellStyle name="Comma 2 58 4 2 2" xfId="3258"/>
    <cellStyle name="Comma 2 58 4 3" xfId="3257"/>
    <cellStyle name="Comma 2 58 5" xfId="918"/>
    <cellStyle name="Comma 2 58 5 2" xfId="3259"/>
    <cellStyle name="Comma 2 58 6" xfId="3252"/>
    <cellStyle name="Comma 2 59" xfId="919"/>
    <cellStyle name="Comma 2 59 2" xfId="920"/>
    <cellStyle name="Comma 2 59 2 2" xfId="3261"/>
    <cellStyle name="Comma 2 59 3" xfId="3260"/>
    <cellStyle name="Comma 2 6" xfId="921"/>
    <cellStyle name="Comma 2 6 2" xfId="922"/>
    <cellStyle name="Comma 2 60" xfId="923"/>
    <cellStyle name="Comma 2 60 2" xfId="924"/>
    <cellStyle name="Comma 2 60 2 2" xfId="3263"/>
    <cellStyle name="Comma 2 60 3" xfId="3262"/>
    <cellStyle name="Comma 2 61" xfId="3120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2 2" xfId="3265"/>
    <cellStyle name="Comma 2 8 3" xfId="3264"/>
    <cellStyle name="Comma 2 9" xfId="948"/>
    <cellStyle name="Comma 2 9 2" xfId="949"/>
    <cellStyle name="Comma 2 9 2 2" xfId="3267"/>
    <cellStyle name="Comma 2 9 3" xfId="3266"/>
    <cellStyle name="Comma 20" xfId="950"/>
    <cellStyle name="Comma 20 2" xfId="951"/>
    <cellStyle name="Comma 20 2 2" xfId="952"/>
    <cellStyle name="Comma 20 2 2 2" xfId="3270"/>
    <cellStyle name="Comma 20 2 3" xfId="3269"/>
    <cellStyle name="Comma 20 3" xfId="953"/>
    <cellStyle name="Comma 20 3 2" xfId="3271"/>
    <cellStyle name="Comma 20 4" xfId="3268"/>
    <cellStyle name="Comma 21" xfId="954"/>
    <cellStyle name="Comma 21 2" xfId="955"/>
    <cellStyle name="Comma 21 2 2" xfId="956"/>
    <cellStyle name="Comma 21 2 2 2" xfId="3274"/>
    <cellStyle name="Comma 21 2 3" xfId="3273"/>
    <cellStyle name="Comma 21 3" xfId="957"/>
    <cellStyle name="Comma 21 3 2" xfId="3275"/>
    <cellStyle name="Comma 21 4" xfId="3272"/>
    <cellStyle name="Comma 22" xfId="958"/>
    <cellStyle name="Comma 22 2" xfId="959"/>
    <cellStyle name="Comma 22 2 2" xfId="960"/>
    <cellStyle name="Comma 22 2 2 2" xfId="3278"/>
    <cellStyle name="Comma 22 2 3" xfId="3277"/>
    <cellStyle name="Comma 22 3" xfId="961"/>
    <cellStyle name="Comma 22 3 2" xfId="3279"/>
    <cellStyle name="Comma 22 4" xfId="3276"/>
    <cellStyle name="Comma 23" xfId="962"/>
    <cellStyle name="Comma 23 2" xfId="963"/>
    <cellStyle name="Comma 23 2 2" xfId="3281"/>
    <cellStyle name="Comma 23 3" xfId="3280"/>
    <cellStyle name="Comma 24" xfId="964"/>
    <cellStyle name="Comma 24 2" xfId="965"/>
    <cellStyle name="Comma 24 2 2" xfId="3283"/>
    <cellStyle name="Comma 24 3" xfId="3282"/>
    <cellStyle name="Comma 25" xfId="966"/>
    <cellStyle name="Comma 25 2" xfId="967"/>
    <cellStyle name="Comma 25 2 2" xfId="3285"/>
    <cellStyle name="Comma 25 3" xfId="3284"/>
    <cellStyle name="Comma 26" xfId="968"/>
    <cellStyle name="Comma 26 2" xfId="969"/>
    <cellStyle name="Comma 26 2 2" xfId="3287"/>
    <cellStyle name="Comma 26 3" xfId="3286"/>
    <cellStyle name="Comma 27" xfId="970"/>
    <cellStyle name="Comma 27 2" xfId="3288"/>
    <cellStyle name="Comma 28" xfId="971"/>
    <cellStyle name="Comma 28 2" xfId="972"/>
    <cellStyle name="Comma 28 2 2" xfId="3290"/>
    <cellStyle name="Comma 28 3" xfId="3289"/>
    <cellStyle name="Comma 29" xfId="973"/>
    <cellStyle name="Comma 29 2" xfId="974"/>
    <cellStyle name="Comma 29 2 2" xfId="3292"/>
    <cellStyle name="Comma 29 3" xfId="3291"/>
    <cellStyle name="Comma 3" xfId="975"/>
    <cellStyle name="Comma 3 10" xfId="976"/>
    <cellStyle name="Comma 3 10 2" xfId="3294"/>
    <cellStyle name="Comma 3 11" xfId="3293"/>
    <cellStyle name="Comma 3 2" xfId="977"/>
    <cellStyle name="Comma 3 2 2" xfId="978"/>
    <cellStyle name="Comma 3 2 2 2" xfId="979"/>
    <cellStyle name="Comma 3 2 2 2 2" xfId="980"/>
    <cellStyle name="Comma 3 2 2 2 2 2" xfId="3298"/>
    <cellStyle name="Comma 3 2 2 2 3" xfId="981"/>
    <cellStyle name="Comma 3 2 2 2 3 2" xfId="3299"/>
    <cellStyle name="Comma 3 2 2 2 4" xfId="982"/>
    <cellStyle name="Comma 3 2 2 2 4 2" xfId="3300"/>
    <cellStyle name="Comma 3 2 2 2 5" xfId="3297"/>
    <cellStyle name="Comma 3 2 2 3" xfId="983"/>
    <cellStyle name="Comma 3 2 2 3 2" xfId="3301"/>
    <cellStyle name="Comma 3 2 2 4" xfId="984"/>
    <cellStyle name="Comma 3 2 2 4 2" xfId="3302"/>
    <cellStyle name="Comma 3 2 2 5" xfId="985"/>
    <cellStyle name="Comma 3 2 2 5 2" xfId="3303"/>
    <cellStyle name="Comma 3 2 2 6" xfId="3296"/>
    <cellStyle name="Comma 3 2 3" xfId="986"/>
    <cellStyle name="Comma 3 2 3 2" xfId="3304"/>
    <cellStyle name="Comma 3 2 4" xfId="987"/>
    <cellStyle name="Comma 3 2 4 2" xfId="3305"/>
    <cellStyle name="Comma 3 2 5" xfId="988"/>
    <cellStyle name="Comma 3 2 5 2" xfId="3306"/>
    <cellStyle name="Comma 3 2 6" xfId="989"/>
    <cellStyle name="Comma 3 2 6 2" xfId="3307"/>
    <cellStyle name="Comma 3 2 7" xfId="3295"/>
    <cellStyle name="Comma 3 3" xfId="990"/>
    <cellStyle name="Comma 3 3 2" xfId="991"/>
    <cellStyle name="Comma 3 3 2 2" xfId="3309"/>
    <cellStyle name="Comma 3 3 3" xfId="992"/>
    <cellStyle name="Comma 3 3 3 2" xfId="3310"/>
    <cellStyle name="Comma 3 3 4" xfId="993"/>
    <cellStyle name="Comma 3 3 4 2" xfId="3311"/>
    <cellStyle name="Comma 3 3 5" xfId="3308"/>
    <cellStyle name="Comma 3 4" xfId="994"/>
    <cellStyle name="Comma 3 4 2" xfId="995"/>
    <cellStyle name="Comma 3 4 2 2" xfId="3313"/>
    <cellStyle name="Comma 3 4 3" xfId="996"/>
    <cellStyle name="Comma 3 4 3 2" xfId="3314"/>
    <cellStyle name="Comma 3 4 4" xfId="997"/>
    <cellStyle name="Comma 3 4 4 2" xfId="3315"/>
    <cellStyle name="Comma 3 4 5" xfId="3312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321"/>
    <cellStyle name="Comma 3 5 2 2 2 2 3" xfId="1004"/>
    <cellStyle name="Comma 3 5 2 2 2 2 3 2" xfId="3322"/>
    <cellStyle name="Comma 3 5 2 2 2 2 4" xfId="1005"/>
    <cellStyle name="Comma 3 5 2 2 2 2 4 2" xfId="3323"/>
    <cellStyle name="Comma 3 5 2 2 2 2 5" xfId="1006"/>
    <cellStyle name="Comma 3 5 2 2 2 2 5 2" xfId="3324"/>
    <cellStyle name="Comma 3 5 2 2 2 2 6" xfId="3320"/>
    <cellStyle name="Comma 3 5 2 2 2 3" xfId="1007"/>
    <cellStyle name="Comma 3 5 2 2 2 3 2" xfId="3325"/>
    <cellStyle name="Comma 3 5 2 2 2 4" xfId="1008"/>
    <cellStyle name="Comma 3 5 2 2 2 4 2" xfId="3326"/>
    <cellStyle name="Comma 3 5 2 2 2 5" xfId="1009"/>
    <cellStyle name="Comma 3 5 2 2 2 5 2" xfId="3327"/>
    <cellStyle name="Comma 3 5 2 2 2 6" xfId="3319"/>
    <cellStyle name="Comma 3 5 2 2 3" xfId="1010"/>
    <cellStyle name="Comma 3 5 2 2 3 2" xfId="3328"/>
    <cellStyle name="Comma 3 5 2 2 4" xfId="1011"/>
    <cellStyle name="Comma 3 5 2 2 4 2" xfId="3329"/>
    <cellStyle name="Comma 3 5 2 2 5" xfId="1012"/>
    <cellStyle name="Comma 3 5 2 2 5 2" xfId="3330"/>
    <cellStyle name="Comma 3 5 2 2 6" xfId="3318"/>
    <cellStyle name="Comma 3 5 2 3" xfId="1013"/>
    <cellStyle name="Comma 3 5 2 3 2" xfId="3331"/>
    <cellStyle name="Comma 3 5 2 4" xfId="1014"/>
    <cellStyle name="Comma 3 5 2 4 2" xfId="3332"/>
    <cellStyle name="Comma 3 5 2 5" xfId="1015"/>
    <cellStyle name="Comma 3 5 2 5 2" xfId="3333"/>
    <cellStyle name="Comma 3 5 2 6" xfId="3317"/>
    <cellStyle name="Comma 3 5 3" xfId="1016"/>
    <cellStyle name="Comma 3 5 3 2" xfId="1017"/>
    <cellStyle name="Comma 3 5 3 2 2" xfId="3335"/>
    <cellStyle name="Comma 3 5 3 3" xfId="1018"/>
    <cellStyle name="Comma 3 5 3 3 2" xfId="3336"/>
    <cellStyle name="Comma 3 5 3 4" xfId="1019"/>
    <cellStyle name="Comma 3 5 3 4 2" xfId="3337"/>
    <cellStyle name="Comma 3 5 3 5" xfId="3334"/>
    <cellStyle name="Comma 3 5 4" xfId="1020"/>
    <cellStyle name="Comma 3 5 4 2" xfId="3338"/>
    <cellStyle name="Comma 3 5 5" xfId="1021"/>
    <cellStyle name="Comma 3 5 5 2" xfId="3339"/>
    <cellStyle name="Comma 3 5 6" xfId="1022"/>
    <cellStyle name="Comma 3 5 6 2" xfId="3340"/>
    <cellStyle name="Comma 3 5 7" xfId="3316"/>
    <cellStyle name="Comma 3 6" xfId="1023"/>
    <cellStyle name="Comma 3 6 2" xfId="3341"/>
    <cellStyle name="Comma 3 7" xfId="1024"/>
    <cellStyle name="Comma 3 7 2" xfId="3342"/>
    <cellStyle name="Comma 3 8" xfId="1025"/>
    <cellStyle name="Comma 3 8 2" xfId="3343"/>
    <cellStyle name="Comma 3 9" xfId="1026"/>
    <cellStyle name="Comma 3 9 2" xfId="2672"/>
    <cellStyle name="Comma 3 9 2 2" xfId="3678"/>
    <cellStyle name="Comma 3 9 3" xfId="3344"/>
    <cellStyle name="Comma 3_(PRK 111601-111604) 20130401 Joint AAU - GJN 4 - BNL 5 - KTN 7" xfId="1027"/>
    <cellStyle name="Comma 30" xfId="1028"/>
    <cellStyle name="Comma 30 2" xfId="1029"/>
    <cellStyle name="Comma 30 2 2" xfId="3346"/>
    <cellStyle name="Comma 30 3" xfId="3345"/>
    <cellStyle name="Comma 31" xfId="1030"/>
    <cellStyle name="Comma 31 2" xfId="1031"/>
    <cellStyle name="Comma 31 2 2" xfId="3348"/>
    <cellStyle name="Comma 31 3" xfId="3347"/>
    <cellStyle name="Comma 32" xfId="1032"/>
    <cellStyle name="Comma 32 2" xfId="1033"/>
    <cellStyle name="Comma 33" xfId="1034"/>
    <cellStyle name="Comma 33 2" xfId="1035"/>
    <cellStyle name="Comma 33 2 2" xfId="1036"/>
    <cellStyle name="Comma 33 2 2 2" xfId="3351"/>
    <cellStyle name="Comma 33 2 3" xfId="3350"/>
    <cellStyle name="Comma 33 3" xfId="1037"/>
    <cellStyle name="Comma 33 3 2" xfId="3352"/>
    <cellStyle name="Comma 33 4" xfId="3349"/>
    <cellStyle name="Comma 34" xfId="1038"/>
    <cellStyle name="Comma 34 2" xfId="1039"/>
    <cellStyle name="Comma 34 2 2" xfId="3354"/>
    <cellStyle name="Comma 34 3" xfId="3353"/>
    <cellStyle name="Comma 35" xfId="1040"/>
    <cellStyle name="Comma 36" xfId="1041"/>
    <cellStyle name="Comma 37" xfId="1042"/>
    <cellStyle name="Comma 37 2" xfId="1043"/>
    <cellStyle name="Comma 37 2 2" xfId="3356"/>
    <cellStyle name="Comma 37 3" xfId="3355"/>
    <cellStyle name="Comma 38" xfId="1044"/>
    <cellStyle name="Comma 38 2" xfId="1045"/>
    <cellStyle name="Comma 38 2 2" xfId="3358"/>
    <cellStyle name="Comma 38 3" xfId="3357"/>
    <cellStyle name="Comma 39" xfId="1046"/>
    <cellStyle name="Comma 39 2" xfId="3359"/>
    <cellStyle name="Comma 4" xfId="1047"/>
    <cellStyle name="Comma 4 2" xfId="1048"/>
    <cellStyle name="Comma 4 2 2" xfId="1049"/>
    <cellStyle name="Comma 4 2 2 2" xfId="3362"/>
    <cellStyle name="Comma 4 2 3" xfId="3361"/>
    <cellStyle name="Comma 4 3" xfId="1050"/>
    <cellStyle name="Comma 4 3 2" xfId="3363"/>
    <cellStyle name="Comma 4 4" xfId="1051"/>
    <cellStyle name="Comma 4 4 2" xfId="3364"/>
    <cellStyle name="Comma 4 5" xfId="1052"/>
    <cellStyle name="Comma 4 5 2" xfId="3365"/>
    <cellStyle name="Comma 4 6" xfId="3360"/>
    <cellStyle name="Comma 40" xfId="1053"/>
    <cellStyle name="Comma 40 2" xfId="3366"/>
    <cellStyle name="Comma 41" xfId="2894"/>
    <cellStyle name="Comma 42" xfId="1054"/>
    <cellStyle name="Comma 42 2" xfId="1055"/>
    <cellStyle name="Comma 42 2 2" xfId="3368"/>
    <cellStyle name="Comma 42 3" xfId="3367"/>
    <cellStyle name="Comma 43" xfId="3485"/>
    <cellStyle name="Comma 44" xfId="3685"/>
    <cellStyle name="Comma 45" xfId="1056"/>
    <cellStyle name="Comma 45 2" xfId="1057"/>
    <cellStyle name="Comma 45 2 2" xfId="3370"/>
    <cellStyle name="Comma 45 3" xfId="3369"/>
    <cellStyle name="Comma 46" xfId="1058"/>
    <cellStyle name="Comma 46 2" xfId="1059"/>
    <cellStyle name="Comma 46 2 2" xfId="3372"/>
    <cellStyle name="Comma 46 3" xfId="3371"/>
    <cellStyle name="Comma 47" xfId="1060"/>
    <cellStyle name="Comma 47 2" xfId="1061"/>
    <cellStyle name="Comma 47 2 2" xfId="3374"/>
    <cellStyle name="Comma 47 3" xfId="3373"/>
    <cellStyle name="Comma 48" xfId="1062"/>
    <cellStyle name="Comma 48 2" xfId="1063"/>
    <cellStyle name="Comma 48 2 2" xfId="3376"/>
    <cellStyle name="Comma 48 3" xfId="3375"/>
    <cellStyle name="Comma 49" xfId="1064"/>
    <cellStyle name="Comma 49 2" xfId="1065"/>
    <cellStyle name="Comma 49 2 2" xfId="3378"/>
    <cellStyle name="Comma 49 3" xfId="3377"/>
    <cellStyle name="Comma 5" xfId="1066"/>
    <cellStyle name="Comma 5 2" xfId="1067"/>
    <cellStyle name="Comma 5 2 2" xfId="1068"/>
    <cellStyle name="Comma 5 2 2 2" xfId="3380"/>
    <cellStyle name="Comma 5 2 3" xfId="3379"/>
    <cellStyle name="Comma 5 3" xfId="1069"/>
    <cellStyle name="Comma 50" xfId="1070"/>
    <cellStyle name="Comma 50 2" xfId="1071"/>
    <cellStyle name="Comma 50 2 2" xfId="3382"/>
    <cellStyle name="Comma 50 3" xfId="3381"/>
    <cellStyle name="Comma 51" xfId="1072"/>
    <cellStyle name="Comma 51 2" xfId="1073"/>
    <cellStyle name="Comma 51 2 2" xfId="3384"/>
    <cellStyle name="Comma 51 3" xfId="3383"/>
    <cellStyle name="Comma 52" xfId="1074"/>
    <cellStyle name="Comma 52 2" xfId="1075"/>
    <cellStyle name="Comma 52 2 2" xfId="3386"/>
    <cellStyle name="Comma 52 3" xfId="3385"/>
    <cellStyle name="Comma 53" xfId="3484"/>
    <cellStyle name="Comma 54" xfId="3684"/>
    <cellStyle name="Comma 55" xfId="3481"/>
    <cellStyle name="Comma 56" xfId="3683"/>
    <cellStyle name="Comma 57" xfId="3694"/>
    <cellStyle name="Comma 58" xfId="1076"/>
    <cellStyle name="Comma 58 2" xfId="1077"/>
    <cellStyle name="Comma 58 2 2" xfId="3388"/>
    <cellStyle name="Comma 58 3" xfId="3387"/>
    <cellStyle name="Comma 59" xfId="1078"/>
    <cellStyle name="Comma 59 2" xfId="1079"/>
    <cellStyle name="Comma 59 2 2" xfId="3390"/>
    <cellStyle name="Comma 59 3" xfId="3389"/>
    <cellStyle name="Comma 6" xfId="1080"/>
    <cellStyle name="Comma 6 2" xfId="1081"/>
    <cellStyle name="Comma 6 2 2" xfId="1082"/>
    <cellStyle name="Comma 6 2 2 2" xfId="3393"/>
    <cellStyle name="Comma 6 2 3" xfId="3392"/>
    <cellStyle name="Comma 6 3" xfId="3391"/>
    <cellStyle name="Comma 60" xfId="3717"/>
    <cellStyle name="Comma 61" xfId="3692"/>
    <cellStyle name="Comma 62" xfId="1083"/>
    <cellStyle name="Comma 62 2" xfId="1084"/>
    <cellStyle name="Comma 62 2 2" xfId="3395"/>
    <cellStyle name="Comma 62 3" xfId="3394"/>
    <cellStyle name="Comma 63" xfId="1085"/>
    <cellStyle name="Comma 63 2" xfId="1086"/>
    <cellStyle name="Comma 63 2 2" xfId="3397"/>
    <cellStyle name="Comma 63 3" xfId="3396"/>
    <cellStyle name="Comma 64" xfId="3716"/>
    <cellStyle name="Comma 65" xfId="3693"/>
    <cellStyle name="Comma 66" xfId="1087"/>
    <cellStyle name="Comma 66 2" xfId="3398"/>
    <cellStyle name="Comma 67" xfId="1088"/>
    <cellStyle name="Comma 67 2" xfId="1089"/>
    <cellStyle name="Comma 67 2 2" xfId="3400"/>
    <cellStyle name="Comma 67 3" xfId="3399"/>
    <cellStyle name="Comma 68" xfId="3715"/>
    <cellStyle name="Comma 69" xfId="3695"/>
    <cellStyle name="Comma 7" xfId="1090"/>
    <cellStyle name="Comma 7 2" xfId="1091"/>
    <cellStyle name="Comma 7 2 2" xfId="1092"/>
    <cellStyle name="Comma 7 2 2 2" xfId="3403"/>
    <cellStyle name="Comma 7 2 3" xfId="3402"/>
    <cellStyle name="Comma 7 3" xfId="1093"/>
    <cellStyle name="Comma 7 3 2" xfId="1094"/>
    <cellStyle name="Comma 7 3 2 2" xfId="3405"/>
    <cellStyle name="Comma 7 3 3" xfId="3404"/>
    <cellStyle name="Comma 7 4" xfId="3401"/>
    <cellStyle name="Comma 70" xfId="3718"/>
    <cellStyle name="Comma 71" xfId="3696"/>
    <cellStyle name="Comma 72" xfId="1095"/>
    <cellStyle name="Comma 72 2" xfId="3406"/>
    <cellStyle name="Comma 74" xfId="1096"/>
    <cellStyle name="Comma 74 2" xfId="1097"/>
    <cellStyle name="Comma 74 2 2" xfId="3408"/>
    <cellStyle name="Comma 74 3" xfId="3407"/>
    <cellStyle name="Comma 75" xfId="1098"/>
    <cellStyle name="Comma 75 2" xfId="1099"/>
    <cellStyle name="Comma 75 2 2" xfId="3410"/>
    <cellStyle name="Comma 75 3" xfId="3409"/>
    <cellStyle name="Comma 8" xfId="1100"/>
    <cellStyle name="Comma 8 2" xfId="1101"/>
    <cellStyle name="Comma 8 2 2" xfId="1102"/>
    <cellStyle name="Comma 8 2 2 2" xfId="1103"/>
    <cellStyle name="Comma 8 2 2 2 2" xfId="3414"/>
    <cellStyle name="Comma 8 2 2 3" xfId="3413"/>
    <cellStyle name="Comma 8 2 3" xfId="1104"/>
    <cellStyle name="Comma 8 2 3 2" xfId="3415"/>
    <cellStyle name="Comma 8 2 4" xfId="3412"/>
    <cellStyle name="Comma 8 3" xfId="1105"/>
    <cellStyle name="Comma 8 3 2" xfId="3416"/>
    <cellStyle name="Comma 8 4" xfId="3411"/>
    <cellStyle name="Comma 82" xfId="1106"/>
    <cellStyle name="Comma 82 2" xfId="1107"/>
    <cellStyle name="Comma 82 2 2" xfId="3418"/>
    <cellStyle name="Comma 82 3" xfId="3417"/>
    <cellStyle name="Comma 83" xfId="1108"/>
    <cellStyle name="Comma 83 2" xfId="1109"/>
    <cellStyle name="Comma 83 2 2" xfId="3420"/>
    <cellStyle name="Comma 83 3" xfId="3419"/>
    <cellStyle name="Comma 85" xfId="1110"/>
    <cellStyle name="Comma 85 2" xfId="1111"/>
    <cellStyle name="Comma 85 2 2" xfId="3422"/>
    <cellStyle name="Comma 85 3" xfId="3421"/>
    <cellStyle name="Comma 86" xfId="1112"/>
    <cellStyle name="Comma 86 2" xfId="1113"/>
    <cellStyle name="Comma 86 2 2" xfId="3424"/>
    <cellStyle name="Comma 86 3" xfId="3423"/>
    <cellStyle name="Comma 89" xfId="1114"/>
    <cellStyle name="Comma 89 2" xfId="3425"/>
    <cellStyle name="Comma 9" xfId="1115"/>
    <cellStyle name="Comma 9 2" xfId="1116"/>
    <cellStyle name="Comma 9 2 2" xfId="3427"/>
    <cellStyle name="Comma 9 3" xfId="1117"/>
    <cellStyle name="Comma 9 3 2" xfId="3428"/>
    <cellStyle name="Comma 9 4" xfId="1118"/>
    <cellStyle name="Comma 9 4 2" xfId="3429"/>
    <cellStyle name="Comma 9 5" xfId="3426"/>
    <cellStyle name="Comma 98" xfId="1119"/>
    <cellStyle name="Comma 98 2" xfId="3430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431"/>
    <cellStyle name="Currency [0] 3" xfId="1127"/>
    <cellStyle name="Currency [0] 3 2" xfId="3432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6 2 2" xfId="3434"/>
    <cellStyle name="Normal 126 2 3" xfId="3698"/>
    <cellStyle name="Normal 126 3" xfId="3433"/>
    <cellStyle name="Normal 126 4" xfId="3697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4 2 2" xfId="3436"/>
    <cellStyle name="Normal 134 2 3" xfId="3700"/>
    <cellStyle name="Normal 134 3" xfId="3435"/>
    <cellStyle name="Normal 134 4" xfId="3699"/>
    <cellStyle name="Normal 135" xfId="1536"/>
    <cellStyle name="Normal 135 2" xfId="3437"/>
    <cellStyle name="Normal 135 3" xfId="3701"/>
    <cellStyle name="Normal 136" xfId="1537"/>
    <cellStyle name="Normal 136 2" xfId="3438"/>
    <cellStyle name="Normal 136 3" xfId="3702"/>
    <cellStyle name="Normal 137" xfId="1538"/>
    <cellStyle name="Normal 137 2" xfId="1539"/>
    <cellStyle name="Normal 137 2 2" xfId="2673"/>
    <cellStyle name="Normal 137 2 2 2" xfId="3679"/>
    <cellStyle name="Normal 137 2 2 3" xfId="3720"/>
    <cellStyle name="Normal 137 2 3" xfId="3440"/>
    <cellStyle name="Normal 137 2 4" xfId="3704"/>
    <cellStyle name="Normal 137 3" xfId="2670"/>
    <cellStyle name="Normal 137 3 2" xfId="3677"/>
    <cellStyle name="Normal 137 3 3" xfId="3719"/>
    <cellStyle name="Normal 137 4" xfId="3439"/>
    <cellStyle name="Normal 137 5" xfId="3703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441"/>
    <cellStyle name="Normal 16 3" xfId="1573"/>
    <cellStyle name="Normal 16 3 2" xfId="1574"/>
    <cellStyle name="Normal 16 3 2 2" xfId="3443"/>
    <cellStyle name="Normal 16 3 3" xfId="3442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444"/>
    <cellStyle name="Normal 18_4_Pembangunan JTM Baru Penyulang CPU 5" xfId="1596"/>
    <cellStyle name="Normal 19" xfId="1597"/>
    <cellStyle name="Normal 19 2" xfId="3445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446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448"/>
    <cellStyle name="Normal 2 11 3" xfId="1618"/>
    <cellStyle name="Normal 2 11 3 2" xfId="3449"/>
    <cellStyle name="Normal 2 11 4" xfId="1619"/>
    <cellStyle name="Normal 2 11 4 2" xfId="3450"/>
    <cellStyle name="Normal 2 11 5" xfId="3447"/>
    <cellStyle name="Normal 2 12" xfId="1620"/>
    <cellStyle name="Normal 2 12 2" xfId="1621"/>
    <cellStyle name="Normal 2 12 2 2" xfId="3452"/>
    <cellStyle name="Normal 2 12 3" xfId="3451"/>
    <cellStyle name="Normal 2 12_SR DERET_ASLI" xfId="1622"/>
    <cellStyle name="Normal 2 13" xfId="1623"/>
    <cellStyle name="Normal 2 13 2" xfId="3453"/>
    <cellStyle name="Normal 2 14" xfId="1624"/>
    <cellStyle name="Normal 2 15" xfId="1625"/>
    <cellStyle name="Normal 2 15 2" xfId="3454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455"/>
    <cellStyle name="Normal 2 2 11" xfId="1636"/>
    <cellStyle name="Normal 2 2 11 2" xfId="3456"/>
    <cellStyle name="Normal 2 2 12" xfId="1637"/>
    <cellStyle name="Normal 2 2 12 2" xfId="3457"/>
    <cellStyle name="Normal 2 2 13" xfId="1638"/>
    <cellStyle name="Normal 2 2 13 2" xfId="3458"/>
    <cellStyle name="Normal 2 2 14" xfId="1639"/>
    <cellStyle name="Normal 2 2 14 2" xfId="3459"/>
    <cellStyle name="Normal 2 2 15" xfId="1640"/>
    <cellStyle name="Normal 2 2 15 2" xfId="3460"/>
    <cellStyle name="Normal 2 2 16" xfId="1641"/>
    <cellStyle name="Normal 2 2 16 2" xfId="346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462"/>
    <cellStyle name="Normal 2 2 5" xfId="1674"/>
    <cellStyle name="Normal 2 2 5 2" xfId="3463"/>
    <cellStyle name="Normal 2 2 6" xfId="1675"/>
    <cellStyle name="Normal 2 2 6 2" xfId="3464"/>
    <cellStyle name="Normal 2 2 7" xfId="1676"/>
    <cellStyle name="Normal 2 2 7 2" xfId="3465"/>
    <cellStyle name="Normal 2 2 8" xfId="1677"/>
    <cellStyle name="Normal 2 2 8 2" xfId="3466"/>
    <cellStyle name="Normal 2 2 9" xfId="1678"/>
    <cellStyle name="Normal 2 2 9 2" xfId="3467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2 2 2" xfId="3470"/>
    <cellStyle name="Normal 2 5 2 2 3" xfId="3707"/>
    <cellStyle name="Normal 2 5 2 3" xfId="3469"/>
    <cellStyle name="Normal 2 5 2 4" xfId="3706"/>
    <cellStyle name="Normal 2 5 3" xfId="1754"/>
    <cellStyle name="Normal 2 5 3 2" xfId="3471"/>
    <cellStyle name="Normal 2 5 3 3" xfId="3708"/>
    <cellStyle name="Normal 2 5 4" xfId="3468"/>
    <cellStyle name="Normal 2 5 5" xfId="3705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47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47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47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476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477"/>
    <cellStyle name="Normal 20_RAB_LOK_SPK_Tw_II_2010-2" xfId="1880"/>
    <cellStyle name="Normal 21" xfId="1881"/>
    <cellStyle name="Normal 21 2" xfId="1882"/>
    <cellStyle name="Normal 21 2 2" xfId="1883"/>
    <cellStyle name="Normal 21 3" xfId="3478"/>
    <cellStyle name="Normal 21_DATA DINGO &amp; IMG _OK" xfId="1884"/>
    <cellStyle name="Normal 22" xfId="1885"/>
    <cellStyle name="Normal 22 2" xfId="3479"/>
    <cellStyle name="Normal 23" xfId="1886"/>
    <cellStyle name="Normal 23 2" xfId="3480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4 2" xfId="3483"/>
    <cellStyle name="Normal 4 4 3" xfId="3710"/>
    <cellStyle name="Normal 4 5" xfId="3482"/>
    <cellStyle name="Normal 4 6" xfId="3709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487"/>
    <cellStyle name="Normal 8 3" xfId="2024"/>
    <cellStyle name="Normal 8 3 2" xfId="3488"/>
    <cellStyle name="Normal 8 3 3" xfId="3712"/>
    <cellStyle name="Normal 8 4" xfId="3486"/>
    <cellStyle name="Normal 8 5" xfId="3711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10" xfId="3475"/>
    <cellStyle name="Normal 9 11" xfId="3713"/>
    <cellStyle name="Normal 9 2" xfId="2043"/>
    <cellStyle name="Normal 9 2 2" xfId="2044"/>
    <cellStyle name="Normal 9 2 2 2" xfId="2045"/>
    <cellStyle name="Normal 9 2 2 2 2" xfId="3492"/>
    <cellStyle name="Normal 9 2 2 3" xfId="2046"/>
    <cellStyle name="Normal 9 2 2 3 2" xfId="3493"/>
    <cellStyle name="Normal 9 2 2 4" xfId="2047"/>
    <cellStyle name="Normal 9 2 2 4 2" xfId="3494"/>
    <cellStyle name="Normal 9 2 2 5" xfId="3491"/>
    <cellStyle name="Normal 9 2 3" xfId="2048"/>
    <cellStyle name="Normal 9 2 3 2" xfId="2049"/>
    <cellStyle name="Normal 9 2 3 2 2" xfId="2050"/>
    <cellStyle name="Normal 9 2 3 2 2 2" xfId="2051"/>
    <cellStyle name="Normal 9 2 3 2 2 2 2" xfId="3498"/>
    <cellStyle name="Normal 9 2 3 2 2 3" xfId="2052"/>
    <cellStyle name="Normal 9 2 3 2 2 3 2" xfId="3499"/>
    <cellStyle name="Normal 9 2 3 2 2 4" xfId="2053"/>
    <cellStyle name="Normal 9 2 3 2 2 4 2" xfId="3500"/>
    <cellStyle name="Normal 9 2 3 2 2 5" xfId="2054"/>
    <cellStyle name="Normal 9 2 3 2 2 5 2" xfId="3501"/>
    <cellStyle name="Normal 9 2 3 2 2 6" xfId="3497"/>
    <cellStyle name="Normal 9 2 3 2 3" xfId="2055"/>
    <cellStyle name="Normal 9 2 3 2 3 2" xfId="2056"/>
    <cellStyle name="Normal 9 2 3 2 3 2 2" xfId="3503"/>
    <cellStyle name="Normal 9 2 3 2 3 3" xfId="2057"/>
    <cellStyle name="Normal 9 2 3 2 3 3 2" xfId="3504"/>
    <cellStyle name="Normal 9 2 3 2 3 4" xfId="2058"/>
    <cellStyle name="Normal 9 2 3 2 3 4 2" xfId="3505"/>
    <cellStyle name="Normal 9 2 3 2 3 5" xfId="3502"/>
    <cellStyle name="Normal 9 2 3 2 4" xfId="2059"/>
    <cellStyle name="Normal 9 2 3 2 4 2" xfId="3506"/>
    <cellStyle name="Normal 9 2 3 2 5" xfId="2060"/>
    <cellStyle name="Normal 9 2 3 2 5 2" xfId="3507"/>
    <cellStyle name="Normal 9 2 3 2 6" xfId="2061"/>
    <cellStyle name="Normal 9 2 3 2 6 2" xfId="3508"/>
    <cellStyle name="Normal 9 2 3 2 7" xfId="3496"/>
    <cellStyle name="Normal 9 2 3 2_PETA POHON LITA TRW I 2010" xfId="2062"/>
    <cellStyle name="Normal 9 2 3 3" xfId="2063"/>
    <cellStyle name="Normal 9 2 3 3 2" xfId="3509"/>
    <cellStyle name="Normal 9 2 3 4" xfId="2064"/>
    <cellStyle name="Normal 9 2 3 4 2" xfId="3510"/>
    <cellStyle name="Normal 9 2 3 5" xfId="2065"/>
    <cellStyle name="Normal 9 2 3 5 2" xfId="3511"/>
    <cellStyle name="Normal 9 2 3 6" xfId="3495"/>
    <cellStyle name="Normal 9 2 3_FORMAT PETA&amp;LOKASI RABAS2 JUNI 2010" xfId="2066"/>
    <cellStyle name="Normal 9 2 4" xfId="2067"/>
    <cellStyle name="Normal 9 2 4 2" xfId="3512"/>
    <cellStyle name="Normal 9 2 5" xfId="2068"/>
    <cellStyle name="Normal 9 2 5 2" xfId="3513"/>
    <cellStyle name="Normal 9 2 6" xfId="2069"/>
    <cellStyle name="Normal 9 2 6 2" xfId="3514"/>
    <cellStyle name="Normal 9 2 7" xfId="3490"/>
    <cellStyle name="Normal 9 2_ENTRI RABAS-RABAS TRW IV_LT_qq" xfId="2070"/>
    <cellStyle name="Normal 9 3" xfId="2071"/>
    <cellStyle name="Normal 9 3 2" xfId="3515"/>
    <cellStyle name="Normal 9 4" xfId="2072"/>
    <cellStyle name="Normal 9 4 2" xfId="3516"/>
    <cellStyle name="Normal 9 5" xfId="2073"/>
    <cellStyle name="Normal 9 5 2" xfId="3517"/>
    <cellStyle name="Normal 9 6" xfId="2074"/>
    <cellStyle name="Normal 9 6 2" xfId="2075"/>
    <cellStyle name="Normal 9 7" xfId="2076"/>
    <cellStyle name="Normal 9 7 2" xfId="3518"/>
    <cellStyle name="Normal 9 7 3" xfId="3714"/>
    <cellStyle name="Normal 9 8" xfId="3489"/>
    <cellStyle name="Normal 9 9" xfId="368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3 2" xfId="3520"/>
    <cellStyle name="Note 16 4" xfId="3519"/>
    <cellStyle name="Note 16_TRAFO" xfId="2126"/>
    <cellStyle name="Note 17" xfId="2127"/>
    <cellStyle name="Note 17 2" xfId="2128"/>
    <cellStyle name="Note 17 2 2" xfId="2129"/>
    <cellStyle name="Note 17 3" xfId="2130"/>
    <cellStyle name="Note 17 3 2" xfId="3522"/>
    <cellStyle name="Note 17 4" xfId="3521"/>
    <cellStyle name="Note 17_TRAFO" xfId="2131"/>
    <cellStyle name="Note 18" xfId="2132"/>
    <cellStyle name="Note 18 2" xfId="2133"/>
    <cellStyle name="Note 18 2 2" xfId="2134"/>
    <cellStyle name="Note 18 3" xfId="2135"/>
    <cellStyle name="Note 18 3 2" xfId="3524"/>
    <cellStyle name="Note 18 4" xfId="3523"/>
    <cellStyle name="Note 18_TRAFO" xfId="2136"/>
    <cellStyle name="Note 19" xfId="2137"/>
    <cellStyle name="Note 19 2" xfId="2138"/>
    <cellStyle name="Note 19 2 2" xfId="2139"/>
    <cellStyle name="Note 19 3" xfId="2140"/>
    <cellStyle name="Note 19 3 2" xfId="3526"/>
    <cellStyle name="Note 19 4" xfId="3525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3 2" xfId="3528"/>
    <cellStyle name="Note 20 4" xfId="3527"/>
    <cellStyle name="Note 20_TRAFO" xfId="2153"/>
    <cellStyle name="Note 21" xfId="2154"/>
    <cellStyle name="Note 21 2" xfId="2155"/>
    <cellStyle name="Note 21 2 2" xfId="2156"/>
    <cellStyle name="Note 21 3" xfId="2157"/>
    <cellStyle name="Note 21 3 2" xfId="3530"/>
    <cellStyle name="Note 21 4" xfId="3529"/>
    <cellStyle name="Note 21_TRAFO" xfId="2158"/>
    <cellStyle name="Note 22" xfId="2159"/>
    <cellStyle name="Note 22 2" xfId="2160"/>
    <cellStyle name="Note 22 2 2" xfId="2161"/>
    <cellStyle name="Note 22 3" xfId="2162"/>
    <cellStyle name="Note 22 3 2" xfId="3532"/>
    <cellStyle name="Note 22 4" xfId="3531"/>
    <cellStyle name="Note 22_TRAFO" xfId="2163"/>
    <cellStyle name="Note 23" xfId="2164"/>
    <cellStyle name="Note 23 2" xfId="2165"/>
    <cellStyle name="Note 23 2 2" xfId="2166"/>
    <cellStyle name="Note 23 3" xfId="2167"/>
    <cellStyle name="Note 23 3 2" xfId="3534"/>
    <cellStyle name="Note 23 4" xfId="3533"/>
    <cellStyle name="Note 23_TRAFO" xfId="2168"/>
    <cellStyle name="Note 24" xfId="2169"/>
    <cellStyle name="Note 24 2" xfId="2170"/>
    <cellStyle name="Note 24 2 2" xfId="2171"/>
    <cellStyle name="Note 24 3" xfId="2172"/>
    <cellStyle name="Note 24 3 2" xfId="3536"/>
    <cellStyle name="Note 24 4" xfId="3535"/>
    <cellStyle name="Note 24_TRAFO" xfId="2173"/>
    <cellStyle name="Note 25" xfId="2174"/>
    <cellStyle name="Note 25 2" xfId="2175"/>
    <cellStyle name="Note 25 2 2" xfId="2176"/>
    <cellStyle name="Note 25 3" xfId="2177"/>
    <cellStyle name="Note 25 3 2" xfId="3538"/>
    <cellStyle name="Note 25 4" xfId="3537"/>
    <cellStyle name="Note 25_TRAFO" xfId="2178"/>
    <cellStyle name="Note 26" xfId="2179"/>
    <cellStyle name="Note 26 2" xfId="2180"/>
    <cellStyle name="Note 26 2 2" xfId="2181"/>
    <cellStyle name="Note 26 3" xfId="2182"/>
    <cellStyle name="Note 26 3 2" xfId="3540"/>
    <cellStyle name="Note 26 4" xfId="3539"/>
    <cellStyle name="Note 26_TRAFO" xfId="2183"/>
    <cellStyle name="Note 27" xfId="2184"/>
    <cellStyle name="Note 27 2" xfId="2185"/>
    <cellStyle name="Note 27 2 2" xfId="2186"/>
    <cellStyle name="Note 27 3" xfId="2187"/>
    <cellStyle name="Note 27 3 2" xfId="3542"/>
    <cellStyle name="Note 27 4" xfId="3541"/>
    <cellStyle name="Note 27_TRAFO" xfId="2188"/>
    <cellStyle name="Note 28" xfId="2189"/>
    <cellStyle name="Note 28 2" xfId="2190"/>
    <cellStyle name="Note 28 2 2" xfId="2191"/>
    <cellStyle name="Note 28 3" xfId="2192"/>
    <cellStyle name="Note 28 3 2" xfId="3544"/>
    <cellStyle name="Note 28 4" xfId="3543"/>
    <cellStyle name="Note 28_TRAFO" xfId="2193"/>
    <cellStyle name="Note 29" xfId="2194"/>
    <cellStyle name="Note 29 2" xfId="2195"/>
    <cellStyle name="Note 29 2 2" xfId="2196"/>
    <cellStyle name="Note 29 3" xfId="2197"/>
    <cellStyle name="Note 29 3 2" xfId="3546"/>
    <cellStyle name="Note 29 4" xfId="3545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3 2" xfId="3548"/>
    <cellStyle name="Note 30 4" xfId="3547"/>
    <cellStyle name="Note 30_TRAFO" xfId="2208"/>
    <cellStyle name="Note 31" xfId="2209"/>
    <cellStyle name="Note 31 2" xfId="2210"/>
    <cellStyle name="Note 31 2 2" xfId="2211"/>
    <cellStyle name="Note 31 3" xfId="2212"/>
    <cellStyle name="Note 31 3 2" xfId="3550"/>
    <cellStyle name="Note 31 4" xfId="3549"/>
    <cellStyle name="Note 31_TRAFO" xfId="2213"/>
    <cellStyle name="Note 32" xfId="2214"/>
    <cellStyle name="Note 32 2" xfId="2215"/>
    <cellStyle name="Note 32 2 2" xfId="2216"/>
    <cellStyle name="Note 32 3" xfId="2217"/>
    <cellStyle name="Note 32 3 2" xfId="3552"/>
    <cellStyle name="Note 32 4" xfId="3551"/>
    <cellStyle name="Note 32_TRAFO" xfId="2218"/>
    <cellStyle name="Note 33" xfId="2219"/>
    <cellStyle name="Note 33 2" xfId="2220"/>
    <cellStyle name="Note 33 2 2" xfId="2221"/>
    <cellStyle name="Note 33 3" xfId="2222"/>
    <cellStyle name="Note 33 3 2" xfId="3554"/>
    <cellStyle name="Note 33 4" xfId="3553"/>
    <cellStyle name="Note 33_TRAFO" xfId="2223"/>
    <cellStyle name="Note 34" xfId="2224"/>
    <cellStyle name="Note 34 2" xfId="2225"/>
    <cellStyle name="Note 34 2 2" xfId="2226"/>
    <cellStyle name="Note 34 3" xfId="2227"/>
    <cellStyle name="Note 34 3 2" xfId="3556"/>
    <cellStyle name="Note 34 4" xfId="3555"/>
    <cellStyle name="Note 34_TRAFO" xfId="2228"/>
    <cellStyle name="Note 35" xfId="2229"/>
    <cellStyle name="Note 35 2" xfId="2230"/>
    <cellStyle name="Note 35 2 2" xfId="2231"/>
    <cellStyle name="Note 35 3" xfId="2232"/>
    <cellStyle name="Note 35 3 2" xfId="3558"/>
    <cellStyle name="Note 35 4" xfId="3557"/>
    <cellStyle name="Note 35_TRAFO" xfId="2233"/>
    <cellStyle name="Note 36" xfId="2234"/>
    <cellStyle name="Note 36 2" xfId="2235"/>
    <cellStyle name="Note 36 2 2" xfId="2236"/>
    <cellStyle name="Note 36 3" xfId="2237"/>
    <cellStyle name="Note 36 3 2" xfId="3560"/>
    <cellStyle name="Note 36 4" xfId="3559"/>
    <cellStyle name="Note 36_TRAFO" xfId="2238"/>
    <cellStyle name="Note 37" xfId="2239"/>
    <cellStyle name="Note 37 2" xfId="2240"/>
    <cellStyle name="Note 37 2 2" xfId="2241"/>
    <cellStyle name="Note 37 3" xfId="2242"/>
    <cellStyle name="Note 37 3 2" xfId="3562"/>
    <cellStyle name="Note 37 4" xfId="3561"/>
    <cellStyle name="Note 37_TRAFO" xfId="2243"/>
    <cellStyle name="Note 38" xfId="2244"/>
    <cellStyle name="Note 38 2" xfId="2245"/>
    <cellStyle name="Note 38 2 2" xfId="2246"/>
    <cellStyle name="Note 38 3" xfId="2247"/>
    <cellStyle name="Note 38 3 2" xfId="3564"/>
    <cellStyle name="Note 38 4" xfId="3563"/>
    <cellStyle name="Note 38_TRAFO" xfId="2248"/>
    <cellStyle name="Note 39" xfId="2249"/>
    <cellStyle name="Note 39 2" xfId="2250"/>
    <cellStyle name="Note 39 2 2" xfId="2251"/>
    <cellStyle name="Note 39 3" xfId="2252"/>
    <cellStyle name="Note 39 3 2" xfId="3566"/>
    <cellStyle name="Note 39 4" xfId="3565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3 2" xfId="3568"/>
    <cellStyle name="Note 40 4" xfId="3567"/>
    <cellStyle name="Note 40_TRAFO" xfId="2263"/>
    <cellStyle name="Note 41" xfId="2264"/>
    <cellStyle name="Note 41 2" xfId="2265"/>
    <cellStyle name="Note 41 2 2" xfId="2266"/>
    <cellStyle name="Note 41 3" xfId="2267"/>
    <cellStyle name="Note 41 3 2" xfId="3570"/>
    <cellStyle name="Note 41 4" xfId="3569"/>
    <cellStyle name="Note 41_TRAFO" xfId="2268"/>
    <cellStyle name="Note 42" xfId="2269"/>
    <cellStyle name="Note 42 2" xfId="2270"/>
    <cellStyle name="Note 42 2 2" xfId="2271"/>
    <cellStyle name="Note 42 3" xfId="2272"/>
    <cellStyle name="Note 42 3 2" xfId="3572"/>
    <cellStyle name="Note 42 4" xfId="3571"/>
    <cellStyle name="Note 42_TRAFO" xfId="2273"/>
    <cellStyle name="Note 43" xfId="2274"/>
    <cellStyle name="Note 43 2" xfId="2275"/>
    <cellStyle name="Note 43 2 2" xfId="2276"/>
    <cellStyle name="Note 43 3" xfId="2277"/>
    <cellStyle name="Note 43 3 2" xfId="3574"/>
    <cellStyle name="Note 43 4" xfId="3573"/>
    <cellStyle name="Note 43_TRAFO" xfId="2278"/>
    <cellStyle name="Note 44" xfId="2279"/>
    <cellStyle name="Note 44 2" xfId="2280"/>
    <cellStyle name="Note 44 2 2" xfId="2281"/>
    <cellStyle name="Note 44 3" xfId="2282"/>
    <cellStyle name="Note 44 3 2" xfId="3576"/>
    <cellStyle name="Note 44 4" xfId="3575"/>
    <cellStyle name="Note 44_TRAFO" xfId="2283"/>
    <cellStyle name="Note 45" xfId="2284"/>
    <cellStyle name="Note 45 2" xfId="2285"/>
    <cellStyle name="Note 45 2 2" xfId="2286"/>
    <cellStyle name="Note 45 3" xfId="2287"/>
    <cellStyle name="Note 45 3 2" xfId="3578"/>
    <cellStyle name="Note 45 4" xfId="3577"/>
    <cellStyle name="Note 45_TRAFO" xfId="2288"/>
    <cellStyle name="Note 46" xfId="2289"/>
    <cellStyle name="Note 46 2" xfId="2290"/>
    <cellStyle name="Note 46 2 2" xfId="2291"/>
    <cellStyle name="Note 46 3" xfId="2292"/>
    <cellStyle name="Note 46 3 2" xfId="3580"/>
    <cellStyle name="Note 46 4" xfId="3579"/>
    <cellStyle name="Note 46_TRAFO" xfId="2293"/>
    <cellStyle name="Note 47" xfId="2294"/>
    <cellStyle name="Note 47 2" xfId="2295"/>
    <cellStyle name="Note 47 2 2" xfId="2296"/>
    <cellStyle name="Note 47 3" xfId="2297"/>
    <cellStyle name="Note 47 3 2" xfId="3582"/>
    <cellStyle name="Note 47 4" xfId="3581"/>
    <cellStyle name="Note 47_TRAFO" xfId="2298"/>
    <cellStyle name="Note 48" xfId="2299"/>
    <cellStyle name="Note 48 2" xfId="2300"/>
    <cellStyle name="Note 48 2 2" xfId="2301"/>
    <cellStyle name="Note 48 3" xfId="2302"/>
    <cellStyle name="Note 48 3 2" xfId="3584"/>
    <cellStyle name="Note 48 4" xfId="3583"/>
    <cellStyle name="Note 48_TRAFO" xfId="2303"/>
    <cellStyle name="Note 49" xfId="2304"/>
    <cellStyle name="Note 49 2" xfId="2305"/>
    <cellStyle name="Note 49 2 2" xfId="2306"/>
    <cellStyle name="Note 49 3" xfId="2307"/>
    <cellStyle name="Note 49 3 2" xfId="3586"/>
    <cellStyle name="Note 49 4" xfId="3585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3 2" xfId="3588"/>
    <cellStyle name="Note 50 4" xfId="3587"/>
    <cellStyle name="Note 50_TRAFO" xfId="2318"/>
    <cellStyle name="Note 51" xfId="2319"/>
    <cellStyle name="Note 51 2" xfId="2320"/>
    <cellStyle name="Note 51 2 2" xfId="2321"/>
    <cellStyle name="Note 51 3" xfId="2322"/>
    <cellStyle name="Note 51 3 2" xfId="3590"/>
    <cellStyle name="Note 51 4" xfId="3589"/>
    <cellStyle name="Note 51_TRAFO" xfId="2323"/>
    <cellStyle name="Note 52" xfId="2324"/>
    <cellStyle name="Note 52 2" xfId="2325"/>
    <cellStyle name="Note 52 2 2" xfId="2326"/>
    <cellStyle name="Note 52 3" xfId="2327"/>
    <cellStyle name="Note 52 3 2" xfId="3592"/>
    <cellStyle name="Note 52 4" xfId="3591"/>
    <cellStyle name="Note 52_TRAFO" xfId="2328"/>
    <cellStyle name="Note 53" xfId="2329"/>
    <cellStyle name="Note 53 2" xfId="2330"/>
    <cellStyle name="Note 53 2 2" xfId="2331"/>
    <cellStyle name="Note 53 3" xfId="2332"/>
    <cellStyle name="Note 53 3 2" xfId="3594"/>
    <cellStyle name="Note 53 4" xfId="3593"/>
    <cellStyle name="Note 53_TRAFO" xfId="2333"/>
    <cellStyle name="Note 54" xfId="2334"/>
    <cellStyle name="Note 54 2" xfId="2335"/>
    <cellStyle name="Note 54 2 2" xfId="2336"/>
    <cellStyle name="Note 54 3" xfId="2337"/>
    <cellStyle name="Note 54 3 2" xfId="3596"/>
    <cellStyle name="Note 54 4" xfId="3595"/>
    <cellStyle name="Note 54_TRAFO" xfId="2338"/>
    <cellStyle name="Note 55" xfId="2339"/>
    <cellStyle name="Note 55 2" xfId="2340"/>
    <cellStyle name="Note 55 2 2" xfId="2341"/>
    <cellStyle name="Note 55 3" xfId="2342"/>
    <cellStyle name="Note 55 3 2" xfId="3598"/>
    <cellStyle name="Note 55 4" xfId="3597"/>
    <cellStyle name="Note 55_TRAFO" xfId="2343"/>
    <cellStyle name="Note 56" xfId="2344"/>
    <cellStyle name="Note 56 2" xfId="2345"/>
    <cellStyle name="Note 56 2 2" xfId="2346"/>
    <cellStyle name="Note 56 3" xfId="2347"/>
    <cellStyle name="Note 56 3 2" xfId="3600"/>
    <cellStyle name="Note 56 4" xfId="3599"/>
    <cellStyle name="Note 56_TRAFO" xfId="2348"/>
    <cellStyle name="Note 57" xfId="2349"/>
    <cellStyle name="Note 57 2" xfId="2350"/>
    <cellStyle name="Note 57 2 2" xfId="2351"/>
    <cellStyle name="Note 57 3" xfId="2352"/>
    <cellStyle name="Note 57 3 2" xfId="3602"/>
    <cellStyle name="Note 57 4" xfId="3601"/>
    <cellStyle name="Note 57_TRAFO" xfId="2353"/>
    <cellStyle name="Note 58" xfId="2354"/>
    <cellStyle name="Note 58 2" xfId="2355"/>
    <cellStyle name="Note 58 2 2" xfId="2356"/>
    <cellStyle name="Note 58 3" xfId="2357"/>
    <cellStyle name="Note 58 3 2" xfId="3604"/>
    <cellStyle name="Note 58 4" xfId="3603"/>
    <cellStyle name="Note 58_TRAFO" xfId="2358"/>
    <cellStyle name="Note 59" xfId="2359"/>
    <cellStyle name="Note 59 2" xfId="2360"/>
    <cellStyle name="Note 59 2 2" xfId="2361"/>
    <cellStyle name="Note 59 3" xfId="2362"/>
    <cellStyle name="Note 59 3 2" xfId="3606"/>
    <cellStyle name="Note 59 4" xfId="3605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3 2" xfId="3608"/>
    <cellStyle name="Note 60 4" xfId="3607"/>
    <cellStyle name="Note 60_TRAFO" xfId="2373"/>
    <cellStyle name="Note 61" xfId="2374"/>
    <cellStyle name="Note 61 2" xfId="2375"/>
    <cellStyle name="Note 61 2 2" xfId="2376"/>
    <cellStyle name="Note 61 3" xfId="2377"/>
    <cellStyle name="Note 61 3 2" xfId="3610"/>
    <cellStyle name="Note 61 4" xfId="3609"/>
    <cellStyle name="Note 61_TRAFO" xfId="2378"/>
    <cellStyle name="Note 62" xfId="2379"/>
    <cellStyle name="Note 62 2" xfId="2380"/>
    <cellStyle name="Note 62 2 2" xfId="2381"/>
    <cellStyle name="Note 62 3" xfId="2382"/>
    <cellStyle name="Note 62 3 2" xfId="3612"/>
    <cellStyle name="Note 62 4" xfId="3611"/>
    <cellStyle name="Note 62_TRAFO" xfId="2383"/>
    <cellStyle name="Note 63" xfId="2384"/>
    <cellStyle name="Note 63 2" xfId="2385"/>
    <cellStyle name="Note 63 2 2" xfId="2386"/>
    <cellStyle name="Note 63 3" xfId="2387"/>
    <cellStyle name="Note 63 3 2" xfId="3614"/>
    <cellStyle name="Note 63 4" xfId="3613"/>
    <cellStyle name="Note 63_TRAFO" xfId="2388"/>
    <cellStyle name="Note 64" xfId="2389"/>
    <cellStyle name="Note 64 2" xfId="2390"/>
    <cellStyle name="Note 64 2 2" xfId="2391"/>
    <cellStyle name="Note 64 3" xfId="2392"/>
    <cellStyle name="Note 64 3 2" xfId="3616"/>
    <cellStyle name="Note 64 4" xfId="3615"/>
    <cellStyle name="Note 64_TRAFO" xfId="2393"/>
    <cellStyle name="Note 65" xfId="2394"/>
    <cellStyle name="Note 65 2" xfId="2395"/>
    <cellStyle name="Note 65 2 2" xfId="2396"/>
    <cellStyle name="Note 65 3" xfId="2397"/>
    <cellStyle name="Note 65 3 2" xfId="3618"/>
    <cellStyle name="Note 65 4" xfId="3617"/>
    <cellStyle name="Note 65_TRAFO" xfId="2398"/>
    <cellStyle name="Note 66" xfId="2399"/>
    <cellStyle name="Note 66 2" xfId="2400"/>
    <cellStyle name="Note 66 2 2" xfId="2401"/>
    <cellStyle name="Note 66 3" xfId="2402"/>
    <cellStyle name="Note 66 3 2" xfId="3620"/>
    <cellStyle name="Note 66 4" xfId="3619"/>
    <cellStyle name="Note 66_TRAFO" xfId="2403"/>
    <cellStyle name="Note 67" xfId="2404"/>
    <cellStyle name="Note 67 2" xfId="2405"/>
    <cellStyle name="Note 67 2 2" xfId="2406"/>
    <cellStyle name="Note 67 3" xfId="2407"/>
    <cellStyle name="Note 67 3 2" xfId="3622"/>
    <cellStyle name="Note 67 4" xfId="3621"/>
    <cellStyle name="Note 67_TRAFO" xfId="2408"/>
    <cellStyle name="Note 68" xfId="2409"/>
    <cellStyle name="Note 68 2" xfId="2410"/>
    <cellStyle name="Note 68 2 2" xfId="2411"/>
    <cellStyle name="Note 68 3" xfId="2412"/>
    <cellStyle name="Note 68 3 2" xfId="3624"/>
    <cellStyle name="Note 68 4" xfId="3623"/>
    <cellStyle name="Note 68_TRAFO" xfId="2413"/>
    <cellStyle name="Note 69" xfId="2414"/>
    <cellStyle name="Note 69 2" xfId="2415"/>
    <cellStyle name="Note 69 2 2" xfId="2416"/>
    <cellStyle name="Note 69 3" xfId="2417"/>
    <cellStyle name="Note 69 3 2" xfId="3626"/>
    <cellStyle name="Note 69 4" xfId="3625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3 2" xfId="3628"/>
    <cellStyle name="Note 70 4" xfId="3627"/>
    <cellStyle name="Note 70_TRAFO" xfId="2428"/>
    <cellStyle name="Note 71" xfId="2429"/>
    <cellStyle name="Note 71 2" xfId="2430"/>
    <cellStyle name="Note 71 2 2" xfId="2431"/>
    <cellStyle name="Note 71 3" xfId="2432"/>
    <cellStyle name="Note 71 3 2" xfId="3630"/>
    <cellStyle name="Note 71 4" xfId="3629"/>
    <cellStyle name="Note 71_TRAFO" xfId="2433"/>
    <cellStyle name="Note 72" xfId="2434"/>
    <cellStyle name="Note 72 2" xfId="2435"/>
    <cellStyle name="Note 72 2 2" xfId="2436"/>
    <cellStyle name="Note 72 3" xfId="2437"/>
    <cellStyle name="Note 72 3 2" xfId="3632"/>
    <cellStyle name="Note 72 4" xfId="3631"/>
    <cellStyle name="Note 72_TRAFO" xfId="2438"/>
    <cellStyle name="Note 73" xfId="2439"/>
    <cellStyle name="Note 73 2" xfId="2440"/>
    <cellStyle name="Note 73 2 2" xfId="2441"/>
    <cellStyle name="Note 73 3" xfId="2442"/>
    <cellStyle name="Note 73 3 2" xfId="3634"/>
    <cellStyle name="Note 73 4" xfId="3633"/>
    <cellStyle name="Note 73_TRAFO" xfId="2443"/>
    <cellStyle name="Note 74" xfId="2444"/>
    <cellStyle name="Note 74 2" xfId="2445"/>
    <cellStyle name="Note 74 2 2" xfId="2446"/>
    <cellStyle name="Note 74 3" xfId="2447"/>
    <cellStyle name="Note 74 3 2" xfId="3636"/>
    <cellStyle name="Note 74 4" xfId="3635"/>
    <cellStyle name="Note 74_TRAFO" xfId="2448"/>
    <cellStyle name="Note 75" xfId="2449"/>
    <cellStyle name="Note 75 2" xfId="2450"/>
    <cellStyle name="Note 75 2 2" xfId="2451"/>
    <cellStyle name="Note 75 3" xfId="2452"/>
    <cellStyle name="Note 75 3 2" xfId="3638"/>
    <cellStyle name="Note 75 4" xfId="3637"/>
    <cellStyle name="Note 75_TRAFO" xfId="2453"/>
    <cellStyle name="Note 76" xfId="2454"/>
    <cellStyle name="Note 76 2" xfId="2455"/>
    <cellStyle name="Note 76 2 2" xfId="2456"/>
    <cellStyle name="Note 76 3" xfId="2457"/>
    <cellStyle name="Note 76 3 2" xfId="3640"/>
    <cellStyle name="Note 76 4" xfId="3639"/>
    <cellStyle name="Note 76_TRAFO" xfId="2458"/>
    <cellStyle name="Note 77" xfId="2459"/>
    <cellStyle name="Note 77 2" xfId="2460"/>
    <cellStyle name="Note 77 2 2" xfId="2461"/>
    <cellStyle name="Note 77 3" xfId="2462"/>
    <cellStyle name="Note 77 3 2" xfId="3642"/>
    <cellStyle name="Note 77 4" xfId="3641"/>
    <cellStyle name="Note 77_TRAFO" xfId="2463"/>
    <cellStyle name="Note 78" xfId="2464"/>
    <cellStyle name="Note 78 2" xfId="2465"/>
    <cellStyle name="Note 78 2 2" xfId="2466"/>
    <cellStyle name="Note 78 3" xfId="2467"/>
    <cellStyle name="Note 78 3 2" xfId="3644"/>
    <cellStyle name="Note 78 4" xfId="364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12" xfId="3681"/>
    <cellStyle name="Percent 13" xfId="3686"/>
    <cellStyle name="Percent 14" xfId="3687"/>
    <cellStyle name="Percent 15" xfId="3688"/>
    <cellStyle name="Percent 16" xfId="3689"/>
    <cellStyle name="Percent 17" xfId="3690"/>
    <cellStyle name="Percent 18" xfId="3691"/>
    <cellStyle name="Percent 19" xfId="3722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648"/>
    <cellStyle name="Percent 2 2 2 2 2 3" xfId="2528"/>
    <cellStyle name="Percent 2 2 2 2 2 3 2" xfId="3649"/>
    <cellStyle name="Percent 2 2 2 2 2 4" xfId="2529"/>
    <cellStyle name="Percent 2 2 2 2 2 4 2" xfId="3650"/>
    <cellStyle name="Percent 2 2 2 2 2 5" xfId="2530"/>
    <cellStyle name="Percent 2 2 2 2 2 5 2" xfId="3651"/>
    <cellStyle name="Percent 2 2 2 2 2 6" xfId="3647"/>
    <cellStyle name="Percent 2 2 2 2 3" xfId="2531"/>
    <cellStyle name="Percent 2 2 2 2 3 2" xfId="3652"/>
    <cellStyle name="Percent 2 2 2 2 4" xfId="2532"/>
    <cellStyle name="Percent 2 2 2 2 4 2" xfId="3653"/>
    <cellStyle name="Percent 2 2 2 2 5" xfId="2533"/>
    <cellStyle name="Percent 2 2 2 2 5 2" xfId="3654"/>
    <cellStyle name="Percent 2 2 2 2 6" xfId="3646"/>
    <cellStyle name="Percent 2 2 2 3" xfId="2534"/>
    <cellStyle name="Percent 2 2 2 3 2" xfId="3655"/>
    <cellStyle name="Percent 2 2 2 4" xfId="2535"/>
    <cellStyle name="Percent 2 2 2 4 2" xfId="3656"/>
    <cellStyle name="Percent 2 2 2 5" xfId="2536"/>
    <cellStyle name="Percent 2 2 2 5 2" xfId="3657"/>
    <cellStyle name="Percent 2 2 2 6" xfId="2537"/>
    <cellStyle name="Percent 2 2 2 6 2" xfId="3658"/>
    <cellStyle name="Percent 2 2 2 7" xfId="2538"/>
    <cellStyle name="Percent 2 2 2 7 2" xfId="3659"/>
    <cellStyle name="Percent 2 2 2 8" xfId="3645"/>
    <cellStyle name="Percent 2 2 3" xfId="2539"/>
    <cellStyle name="Percent 2 2 3 2" xfId="3660"/>
    <cellStyle name="Percent 2 2 4" xfId="2540"/>
    <cellStyle name="Percent 2 2 4 2" xfId="3661"/>
    <cellStyle name="Percent 2 2 5" xfId="2541"/>
    <cellStyle name="Percent 2 2 5 2" xfId="3662"/>
    <cellStyle name="Percent 2 2 6" xfId="2542"/>
    <cellStyle name="Percent 2 3" xfId="2543"/>
    <cellStyle name="Percent 2 3 2" xfId="2544"/>
    <cellStyle name="Percent 2 3 2 2" xfId="2545"/>
    <cellStyle name="Percent 2 3 3" xfId="3663"/>
    <cellStyle name="Percent 2 4" xfId="2546"/>
    <cellStyle name="Percent 2 4 2" xfId="3664"/>
    <cellStyle name="Percent 2 5" xfId="2547"/>
    <cellStyle name="Percent 2 5 2" xfId="3665"/>
    <cellStyle name="Percent 2 6" xfId="2548"/>
    <cellStyle name="Percent 2 6 2" xfId="3666"/>
    <cellStyle name="Percent 2 7" xfId="2549"/>
    <cellStyle name="Percent 20" xfId="3723"/>
    <cellStyle name="Percent 21" xfId="3724"/>
    <cellStyle name="Percent 22" xfId="3725"/>
    <cellStyle name="Percent 23" xfId="3726"/>
    <cellStyle name="Percent 24" xfId="3727"/>
    <cellStyle name="Percent 25" xfId="3728"/>
    <cellStyle name="Percent 26" xfId="3729"/>
    <cellStyle name="Percent 27" xfId="3730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669"/>
    <cellStyle name="Percent 5 2 3" xfId="2558"/>
    <cellStyle name="Percent 5 2 3 2" xfId="3670"/>
    <cellStyle name="Percent 5 2 4" xfId="2559"/>
    <cellStyle name="Percent 5 2 4 2" xfId="3671"/>
    <cellStyle name="Percent 5 2 5" xfId="2560"/>
    <cellStyle name="Percent 5 2 5 2" xfId="3672"/>
    <cellStyle name="Percent 5 2 6" xfId="2561"/>
    <cellStyle name="Percent 5 2 6 2" xfId="2562"/>
    <cellStyle name="Percent 5 2 7" xfId="3668"/>
    <cellStyle name="Percent 5 3" xfId="2563"/>
    <cellStyle name="Percent 5 3 2" xfId="3673"/>
    <cellStyle name="Percent 5 4" xfId="2564"/>
    <cellStyle name="Percent 5 4 2" xfId="3674"/>
    <cellStyle name="Percent 5 5" xfId="2565"/>
    <cellStyle name="Percent 5 5 2" xfId="3675"/>
    <cellStyle name="Percent 5 6" xfId="3667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676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0.15333333333333335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4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5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95</xdr:row>
      <xdr:rowOff>81642</xdr:rowOff>
    </xdr:from>
    <xdr:to>
      <xdr:col>12</xdr:col>
      <xdr:colOff>41107</xdr:colOff>
      <xdr:row>98</xdr:row>
      <xdr:rowOff>172808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9A03C5D-226F-4AD9-9AA1-36713E9CB2DF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ED1914E0-2326-414C-A1DE-04A86546D965}"/>
            </a:ext>
          </a:extLst>
        </xdr:cNvPr>
        <xdr:cNvGrpSpPr/>
      </xdr:nvGrpSpPr>
      <xdr:grpSpPr>
        <a:xfrm>
          <a:off x="11041355" y="830562"/>
          <a:ext cx="1544053" cy="180829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5B39BFE-4F13-4B8E-801B-C03470E9CDCE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1A35DD22-C839-4FDA-9DD1-2C8F5574465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1A523CE0-0899-476B-A818-395AB4946C98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E2692016-40CA-49E9-A9FB-61798CB99A47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7ED4EEDD-8BA8-4B41-ABD6-14B9F870E451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B43372CA-8CBC-438B-A882-B20CA010AE5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11347953-A394-4385-98F2-31C06D03A02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35778F4-C9EC-4AF1-9A28-512538F34077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213B1979-73F4-4013-B685-2F489A652305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3E53AEAF-FE9C-4A51-BFF7-6D5EFD510657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ACB3AF00-8E89-499A-9788-519A6D844F1B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B8C02253-0B91-4ED3-A2FD-8A6945203E7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E831D8BC-3544-476B-AC7D-852AD2DAC3A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839E5C40-F34B-459C-8F48-459FD77BB499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7989EBB6-D4E5-4A65-A34E-1B799716839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59F435DD-37AF-494A-889B-347E1ACED4D9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52B2BA5-D326-43FE-931D-4BD7C6DF613F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C47AA896-FBF6-4B4A-A250-98589A6875F4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94902765-EFD9-4710-B81D-9E6D448B26C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75B12D89-DE0D-4A82-BF42-3B2C75A0087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6CB626C6-CC56-4689-8EA7-AB9348AFD3BD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24AEDB08-F823-46BE-B613-5F9CB4E16BAC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D9F7D37F-941C-4CC5-A910-1652FDDEB024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70519E61-A76E-44CF-B0F9-252CD060E75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85DB070F-8843-4E37-915F-18DFBC5707B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CB3616CB-F1BA-47E8-9708-77B82BC878DB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F3DF7124-0986-43EB-9A32-72D6C0FB616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FF6BB666-961B-4008-A416-8D3AE70DA6D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F5F8BD10-BB92-4950-AFDC-86A570561A5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81F46D65-26A4-4513-BBF4-4DDAEE590E0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1F6A7CF4-8675-4DF9-9793-E52FA6F9D54A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25CB3869-9ED7-4624-96D2-D2622294397C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90E8938A-0383-40BF-8192-1B1978536B8A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B978058A-E4DA-4F1A-AF0E-CC3A66C5117B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2D8824B0-1301-47D9-A2AD-06D46FB2565E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92816EA6-FF32-4875-8B8F-8848A8C7BAB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27FB9957-E456-40DC-A566-AFCAE9E68CAA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2D4416DC-0F5F-4820-9D54-9F8090045A7A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8A84DAA-C0D7-425A-80D3-765199AD9963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1EB8E2FB-2948-4D6A-94CA-94762E81D04B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F5684371-8841-4208-8461-5B34830F1F1B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AFC071B-4A49-4E34-9D12-980DC9E6551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20807557-13AE-4DCD-9476-AB77E9B2208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2EC74548-C298-492D-A520-13F3DF0198F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2E7883A5-6E0B-4D22-99F8-CEA4E9B06D4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DFA31DC7-7D6D-4165-A93F-F9A57683062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A58014F0-9A38-4758-A010-1E587CA674C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F4D1EE32-95A0-4792-8CB8-8FE669682474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21E5637F-9322-4940-A83F-E31A9B9165F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F1B4399B-9D40-40C9-A554-24E4DC969E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2DA94691-2FC6-4264-8A0D-B5EA910B5EDA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89B5D14-8281-46D2-A94D-496070DE415A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7487A00D-CB12-4F25-BD27-2F22E96E6EB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B7E0BEA2-8858-4775-87B1-C2CEAF598476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1EC2CE69-3473-4273-9D33-2902C7CFFAEE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665239BF-A149-4D43-8BF1-E1D7D57EE36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3FC5CD49-E004-41D2-BC9A-1996D12BF1E3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B2FDB747-C7B7-42B1-ABE7-74FAD3FD6BCC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B395ED81-867D-43B8-86AC-1E2D0A3BDB0F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0EEFDD39-1C75-4DC5-B0EE-4AA5188CEE8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13F37423-4780-4B7E-A54E-CCECA50D404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C1BE5228-4A47-4599-89BD-044AB0A8082F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5130009-2BD9-45AB-8C83-7A69F87DBB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6</xdr:col>
      <xdr:colOff>312208</xdr:colOff>
      <xdr:row>28</xdr:row>
      <xdr:rowOff>132291</xdr:rowOff>
    </xdr:from>
    <xdr:to>
      <xdr:col>18</xdr:col>
      <xdr:colOff>323416</xdr:colOff>
      <xdr:row>30</xdr:row>
      <xdr:rowOff>84667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2D10E800-96BE-43A3-B1D3-C082AAA5D92F}"/>
            </a:ext>
          </a:extLst>
        </xdr:cNvPr>
        <xdr:cNvSpPr/>
      </xdr:nvSpPr>
      <xdr:spPr>
        <a:xfrm>
          <a:off x="2141008" y="4428066"/>
          <a:ext cx="4583208" cy="247651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JALAN</a:t>
          </a:r>
          <a:r>
            <a:rPr lang="en-US" sz="1100" baseline="0"/>
            <a:t> RAYA</a:t>
          </a:r>
          <a:endParaRPr lang="en-US" sz="1100"/>
        </a:p>
      </xdr:txBody>
    </xdr:sp>
    <xdr:clientData/>
  </xdr:twoCellAnchor>
  <xdr:twoCellAnchor>
    <xdr:from>
      <xdr:col>15</xdr:col>
      <xdr:colOff>268816</xdr:colOff>
      <xdr:row>17</xdr:row>
      <xdr:rowOff>37042</xdr:rowOff>
    </xdr:from>
    <xdr:to>
      <xdr:col>17</xdr:col>
      <xdr:colOff>316441</xdr:colOff>
      <xdr:row>20</xdr:row>
      <xdr:rowOff>65615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C154E84F-9109-4852-A510-07D9E0FB4966}"/>
            </a:ext>
          </a:extLst>
        </xdr:cNvPr>
        <xdr:cNvSpPr txBox="1"/>
      </xdr:nvSpPr>
      <xdr:spPr>
        <a:xfrm>
          <a:off x="5526616" y="2656417"/>
          <a:ext cx="809625" cy="48577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194203</xdr:colOff>
      <xdr:row>18</xdr:row>
      <xdr:rowOff>28051</xdr:rowOff>
    </xdr:from>
    <xdr:to>
      <xdr:col>15</xdr:col>
      <xdr:colOff>279928</xdr:colOff>
      <xdr:row>19</xdr:row>
      <xdr:rowOff>47101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23BF50F5-4FE8-4F4C-8B67-336DABA61E3F}"/>
            </a:ext>
          </a:extLst>
        </xdr:cNvPr>
        <xdr:cNvSpPr txBox="1"/>
      </xdr:nvSpPr>
      <xdr:spPr>
        <a:xfrm>
          <a:off x="5452003" y="2799826"/>
          <a:ext cx="85725" cy="171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9</xdr:col>
      <xdr:colOff>296333</xdr:colOff>
      <xdr:row>27</xdr:row>
      <xdr:rowOff>137583</xdr:rowOff>
    </xdr:from>
    <xdr:to>
      <xdr:col>15</xdr:col>
      <xdr:colOff>306917</xdr:colOff>
      <xdr:row>28</xdr:row>
      <xdr:rowOff>0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FF491F94-F856-480B-A1F5-28D518D89769}"/>
            </a:ext>
          </a:extLst>
        </xdr:cNvPr>
        <xdr:cNvCxnSpPr/>
      </xdr:nvCxnSpPr>
      <xdr:spPr>
        <a:xfrm>
          <a:off x="3268133" y="4280958"/>
          <a:ext cx="2296584" cy="14817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223309</xdr:colOff>
      <xdr:row>29</xdr:row>
      <xdr:rowOff>93135</xdr:rowOff>
    </xdr:from>
    <xdr:to>
      <xdr:col>15</xdr:col>
      <xdr:colOff>366184</xdr:colOff>
      <xdr:row>31</xdr:row>
      <xdr:rowOff>2118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31D80BF3-5A9A-4659-8BA5-774AABBBE2CA}"/>
            </a:ext>
          </a:extLst>
        </xdr:cNvPr>
        <xdr:cNvSpPr txBox="1"/>
      </xdr:nvSpPr>
      <xdr:spPr>
        <a:xfrm>
          <a:off x="5100109" y="4541310"/>
          <a:ext cx="523875" cy="204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50KVA</a:t>
          </a:r>
        </a:p>
      </xdr:txBody>
    </xdr:sp>
    <xdr:clientData/>
  </xdr:twoCellAnchor>
  <xdr:twoCellAnchor>
    <xdr:from>
      <xdr:col>10</xdr:col>
      <xdr:colOff>339724</xdr:colOff>
      <xdr:row>27</xdr:row>
      <xdr:rowOff>74084</xdr:rowOff>
    </xdr:from>
    <xdr:to>
      <xdr:col>11</xdr:col>
      <xdr:colOff>88420</xdr:colOff>
      <xdr:row>28</xdr:row>
      <xdr:rowOff>43570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27700D77-8741-4D24-B8C2-ED0B6F785658}"/>
            </a:ext>
          </a:extLst>
        </xdr:cNvPr>
        <xdr:cNvGrpSpPr>
          <a:grpSpLocks/>
        </xdr:cNvGrpSpPr>
      </xdr:nvGrpSpPr>
      <xdr:grpSpPr bwMode="auto">
        <a:xfrm>
          <a:off x="4206168" y="4279195"/>
          <a:ext cx="186141" cy="124708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C7C997B7-4A95-4F09-82AB-3612AA4648C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E024E7D3-FE50-4951-B806-75603BDD7D09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B5E8CF5E-B783-4CF7-916A-6C4D8C4522A3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C09F0FCF-9FD4-4C62-92B2-38A48182CBB0}"/>
            </a:ext>
          </a:extLst>
        </xdr:cNvPr>
        <xdr:cNvGrpSpPr>
          <a:grpSpLocks/>
        </xdr:cNvGrpSpPr>
      </xdr:nvGrpSpPr>
      <xdr:grpSpPr bwMode="auto">
        <a:xfrm>
          <a:off x="14133167" y="954969"/>
          <a:ext cx="152400" cy="150181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2D51156B-B481-49DE-9D40-7010BE99553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4CFA0AD2-66E7-4DC2-B769-A1996A44F96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31AF5D4A-4CDE-4612-9A5A-37707205E9E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47D1CC09-D4A2-4A3A-AC5B-EEDA7268149B}"/>
            </a:ext>
          </a:extLst>
        </xdr:cNvPr>
        <xdr:cNvGrpSpPr>
          <a:grpSpLocks/>
        </xdr:cNvGrpSpPr>
      </xdr:nvGrpSpPr>
      <xdr:grpSpPr bwMode="auto">
        <a:xfrm>
          <a:off x="14713487" y="945444"/>
          <a:ext cx="208844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B102CDF1-79D4-4901-A5F8-D371359CC4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E5D9DECB-C336-456B-A61C-279AE97C2712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F40BF759-B9C8-488B-9622-478BB1CFB42C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60F133FE-7570-4EEC-B3EF-173ABE714EA2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AEE04DDD-62D3-4039-93F1-9C4C6CD5390E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21DBDD4E-2EDD-427F-A957-DABD5E54CB6B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D20815F8-58F0-466F-B565-275D5B7F9B8B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68EBB87A-146E-4145-9436-1BF1157639A6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2A22C111-D213-44FE-9C7E-FBB2603EDF9E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3B47FFE7-8454-4012-AB68-DA68EFE294F9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9C309AF6-7766-45D5-9846-7B336B0F6C7E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409058E0-98EC-45AE-ABC8-BED19141E552}"/>
            </a:ext>
          </a:extLst>
        </xdr:cNvPr>
        <xdr:cNvGrpSpPr>
          <a:grpSpLocks/>
        </xdr:cNvGrpSpPr>
      </xdr:nvGrpSpPr>
      <xdr:grpSpPr bwMode="auto">
        <a:xfrm>
          <a:off x="14484887" y="2105959"/>
          <a:ext cx="152400" cy="107597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330FA206-84B0-48B6-B1C1-3F53FD0D17B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2A3B14E8-EFE0-475A-BCCE-42BA830D826A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57FE4ACF-D246-493F-884D-378DC21CFF76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312FC821-0EF1-4D6E-8F71-21F67E51B262}"/>
            </a:ext>
          </a:extLst>
        </xdr:cNvPr>
        <xdr:cNvGrpSpPr>
          <a:grpSpLocks/>
        </xdr:cNvGrpSpPr>
      </xdr:nvGrpSpPr>
      <xdr:grpSpPr bwMode="auto">
        <a:xfrm>
          <a:off x="14475362" y="2275189"/>
          <a:ext cx="161925" cy="98072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6739A87D-2F5D-460D-A47E-9954A508ACDD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93DE0EE9-C1A7-4FE1-A9CD-67E231221845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5F5B9D00-1668-4AC1-A8DF-7B8D5FD4D968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C59732AC-8594-43E7-8D9D-291881C4594B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4BAA345F-33D5-40D0-A31B-0386E0749F3C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55C6F67C-BD9B-4773-B0A3-20480BC4AC59}"/>
            </a:ext>
          </a:extLst>
        </xdr:cNvPr>
        <xdr:cNvGrpSpPr>
          <a:grpSpLocks/>
        </xdr:cNvGrpSpPr>
      </xdr:nvGrpSpPr>
      <xdr:grpSpPr bwMode="auto">
        <a:xfrm>
          <a:off x="14484887" y="2444418"/>
          <a:ext cx="190500" cy="98073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25CAD0-799B-479A-9EC2-E99C7724737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7EDD5410-7F8B-45FE-B65C-5DC0A418ECA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86CF4ABC-4C52-499B-8A88-374D340B423F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8EF5EC80-D335-4E0C-B33C-8CA28980D471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A8769768-E512-4656-ADF9-6708C07EF033}"/>
            </a:ext>
          </a:extLst>
        </xdr:cNvPr>
        <xdr:cNvGrpSpPr>
          <a:grpSpLocks/>
        </xdr:cNvGrpSpPr>
      </xdr:nvGrpSpPr>
      <xdr:grpSpPr bwMode="auto">
        <a:xfrm>
          <a:off x="14484887" y="2613648"/>
          <a:ext cx="190500" cy="112080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39D71E67-E2B1-4419-AE68-9AE6EB7F5B6A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E00C3198-4BE8-41BB-A649-4419EE4F8D52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BBC3A393-6BCE-4F84-9C36-DF17AED59F0A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7BFDB27C-68A8-4BD9-8ED4-D46EAA452487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4C109FA7-6A57-4E94-B710-9E060CEEEC3D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70828D08-8587-4C29-ABA2-56D1B7F22116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69B7C402-BD42-491C-A6DB-BFD96CE0BCE3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C3B379AB-C7BE-4A9D-AD2A-851B87FF62C3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AA3196DF-66A2-43A0-BE10-B75F0B4B7D77}"/>
            </a:ext>
          </a:extLst>
        </xdr:cNvPr>
        <xdr:cNvGrpSpPr>
          <a:grpSpLocks/>
        </xdr:cNvGrpSpPr>
      </xdr:nvGrpSpPr>
      <xdr:grpSpPr bwMode="auto">
        <a:xfrm>
          <a:off x="14209367" y="3593747"/>
          <a:ext cx="798689" cy="309885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DA8175F6-3E86-4A60-8A92-1792E6670B35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0088452C-4116-478B-94C3-4E25795FDCAB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4C52CD2-2DB5-40DC-BB92-6C0E1E884354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78F9A9F-93C0-4E11-B52D-E2474DDBE94B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CF504A7E-929A-4912-8720-664A4161AE37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74938B0F-A7E9-4A15-88FC-2A78242F4706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9ECECDC3-69CA-4B32-892E-5FC44D42B0CD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B2B55F9D-2DEE-4291-9728-A15640F74B69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6C9AFC17-73BD-49E6-82DA-7AC9C732B74D}"/>
            </a:ext>
          </a:extLst>
        </xdr:cNvPr>
        <xdr:cNvGrpSpPr>
          <a:grpSpLocks/>
        </xdr:cNvGrpSpPr>
      </xdr:nvGrpSpPr>
      <xdr:grpSpPr bwMode="auto">
        <a:xfrm>
          <a:off x="14161742" y="4609126"/>
          <a:ext cx="323145" cy="145593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5FCA9B36-20E0-4FB6-84E1-4A9F577660E8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FE5330E8-F5B1-43E6-8F12-2C1B007EEE3C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6B42B7A9-4D03-4E02-9E45-6D5F7C4B26A3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56C12436-B2BB-439B-871C-009F5FADB68B}"/>
            </a:ext>
          </a:extLst>
        </xdr:cNvPr>
        <xdr:cNvGrpSpPr>
          <a:grpSpLocks/>
        </xdr:cNvGrpSpPr>
      </xdr:nvGrpSpPr>
      <xdr:grpSpPr bwMode="auto">
        <a:xfrm>
          <a:off x="14761112" y="4632658"/>
          <a:ext cx="304094" cy="141111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868CDF43-E00A-4207-AD5A-EAB811549497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01D5DF11-C901-4851-A8C6-FC34DEFE1C3D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E51AE75-6F96-4540-B8EE-7FA70C785072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BD2D6687-1275-456B-8483-F72BCFE98AE7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B3FF78D9-0D4F-4FD7-A179-DE3A3B49C5C7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79B7D11D-913E-46C6-8C06-1D33C659389A}"/>
            </a:ext>
          </a:extLst>
        </xdr:cNvPr>
        <xdr:cNvGrpSpPr>
          <a:grpSpLocks/>
        </xdr:cNvGrpSpPr>
      </xdr:nvGrpSpPr>
      <xdr:grpSpPr bwMode="auto">
        <a:xfrm>
          <a:off x="14190317" y="5317337"/>
          <a:ext cx="200025" cy="140655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933D8801-80CC-4765-9A3B-7EF9D9201109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595A1C05-6951-44F4-893A-1E750F4B353C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1E3C8834-FB21-4301-AE1D-F593CB1056CA}"/>
            </a:ext>
          </a:extLst>
        </xdr:cNvPr>
        <xdr:cNvGrpSpPr>
          <a:grpSpLocks/>
        </xdr:cNvGrpSpPr>
      </xdr:nvGrpSpPr>
      <xdr:grpSpPr bwMode="auto">
        <a:xfrm>
          <a:off x="14808737" y="5307812"/>
          <a:ext cx="246944" cy="140655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CA485D8D-5350-4F8E-BB7B-4E1273A1B173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C3BA3F06-8DBF-4234-8767-C3F9B6347BFA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26A55AF0-1311-432F-82E8-865AE6DEFB1A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5F268B66-3A61-42A7-BB58-A8A2EBDAEF3E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14</xdr:col>
      <xdr:colOff>52918</xdr:colOff>
      <xdr:row>31</xdr:row>
      <xdr:rowOff>21168</xdr:rowOff>
    </xdr:from>
    <xdr:to>
      <xdr:col>16</xdr:col>
      <xdr:colOff>296334</xdr:colOff>
      <xdr:row>35</xdr:row>
      <xdr:rowOff>7411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1334ACE-A2AF-47D7-9BA0-F75C0CD5D145}"/>
            </a:ext>
          </a:extLst>
        </xdr:cNvPr>
        <xdr:cNvSpPr txBox="1"/>
      </xdr:nvSpPr>
      <xdr:spPr>
        <a:xfrm>
          <a:off x="4929718" y="4764618"/>
          <a:ext cx="1005416" cy="595843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G312-A 50KVA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</xdr:txBody>
    </xdr:sp>
    <xdr:clientData/>
  </xdr:twoCellAnchor>
  <xdr:twoCellAnchor>
    <xdr:from>
      <xdr:col>14</xdr:col>
      <xdr:colOff>236010</xdr:colOff>
      <xdr:row>28</xdr:row>
      <xdr:rowOff>88900</xdr:rowOff>
    </xdr:from>
    <xdr:to>
      <xdr:col>15</xdr:col>
      <xdr:colOff>121710</xdr:colOff>
      <xdr:row>29</xdr:row>
      <xdr:rowOff>74333</xdr:rowOff>
    </xdr:to>
    <xdr:grpSp>
      <xdr:nvGrpSpPr>
        <xdr:cNvPr id="144" name="Group 114">
          <a:extLst>
            <a:ext uri="{FF2B5EF4-FFF2-40B4-BE49-F238E27FC236}">
              <a16:creationId xmlns:a16="http://schemas.microsoft.com/office/drawing/2014/main" id="{FB5BE84D-34AD-44F1-820F-D0ECC5302D59}"/>
            </a:ext>
          </a:extLst>
        </xdr:cNvPr>
        <xdr:cNvGrpSpPr>
          <a:grpSpLocks/>
        </xdr:cNvGrpSpPr>
      </xdr:nvGrpSpPr>
      <xdr:grpSpPr bwMode="auto">
        <a:xfrm>
          <a:off x="5852232" y="4449233"/>
          <a:ext cx="323145" cy="140656"/>
          <a:chOff x="12001500" y="4327373"/>
          <a:chExt cx="262305" cy="151942"/>
        </a:xfrm>
      </xdr:grpSpPr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099939A4-0DAC-4F74-A0F0-01A90F5AFDD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6" name="Isosceles Triangle 145">
            <a:extLst>
              <a:ext uri="{FF2B5EF4-FFF2-40B4-BE49-F238E27FC236}">
                <a16:creationId xmlns:a16="http://schemas.microsoft.com/office/drawing/2014/main" id="{3969854B-82D4-49BC-A182-524B046E54E5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7" name="Isosceles Triangle 146">
            <a:extLst>
              <a:ext uri="{FF2B5EF4-FFF2-40B4-BE49-F238E27FC236}">
                <a16:creationId xmlns:a16="http://schemas.microsoft.com/office/drawing/2014/main" id="{2D6EAF4F-A169-4F0E-AE24-DE07DB1772A4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14</xdr:col>
      <xdr:colOff>203779</xdr:colOff>
      <xdr:row>18</xdr:row>
      <xdr:rowOff>125412</xdr:rowOff>
    </xdr:from>
    <xdr:to>
      <xdr:col>15</xdr:col>
      <xdr:colOff>268816</xdr:colOff>
      <xdr:row>19</xdr:row>
      <xdr:rowOff>101160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E2882C52-C278-44FB-BE04-8A4A099EA8B6}"/>
            </a:ext>
          </a:extLst>
        </xdr:cNvPr>
        <xdr:cNvCxnSpPr>
          <a:stCxn id="68" idx="1"/>
          <a:endCxn id="166" idx="6"/>
        </xdr:cNvCxnSpPr>
      </xdr:nvCxnSpPr>
      <xdr:spPr>
        <a:xfrm flipH="1">
          <a:off x="5080579" y="2897187"/>
          <a:ext cx="446037" cy="12814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141648</xdr:colOff>
      <xdr:row>20</xdr:row>
      <xdr:rowOff>141135</xdr:rowOff>
    </xdr:from>
    <xdr:to>
      <xdr:col>14</xdr:col>
      <xdr:colOff>232665</xdr:colOff>
      <xdr:row>22</xdr:row>
      <xdr:rowOff>35301</xdr:rowOff>
    </xdr:to>
    <xdr:grpSp>
      <xdr:nvGrpSpPr>
        <xdr:cNvPr id="149" name="Group 28">
          <a:extLst>
            <a:ext uri="{FF2B5EF4-FFF2-40B4-BE49-F238E27FC236}">
              <a16:creationId xmlns:a16="http://schemas.microsoft.com/office/drawing/2014/main" id="{F5FA1C1F-A11E-4318-87F9-D7EFDC98F08D}"/>
            </a:ext>
          </a:extLst>
        </xdr:cNvPr>
        <xdr:cNvGrpSpPr>
          <a:grpSpLocks/>
        </xdr:cNvGrpSpPr>
      </xdr:nvGrpSpPr>
      <xdr:grpSpPr bwMode="auto">
        <a:xfrm rot="5400000">
          <a:off x="5701074" y="3316487"/>
          <a:ext cx="204610" cy="91017"/>
          <a:chOff x="12267508" y="2212225"/>
          <a:chExt cx="192931" cy="101137"/>
        </a:xfrm>
      </xdr:grpSpPr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4BC7A469-1E2D-48B1-AD63-3A37DFB43DFB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263E9ECD-97FD-4817-B234-5B28D5E9FDA6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08CF606-CC45-4B5A-A922-F256B039B736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FE201AEA-F2EC-4246-8F06-38378C6A8C35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259291</xdr:colOff>
      <xdr:row>27</xdr:row>
      <xdr:rowOff>147108</xdr:rowOff>
    </xdr:from>
    <xdr:to>
      <xdr:col>14</xdr:col>
      <xdr:colOff>21166</xdr:colOff>
      <xdr:row>29</xdr:row>
      <xdr:rowOff>17990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33CBBCA7-665E-498A-A4B2-7DA753D29A07}"/>
            </a:ext>
          </a:extLst>
        </xdr:cNvPr>
        <xdr:cNvSpPr txBox="1"/>
      </xdr:nvSpPr>
      <xdr:spPr>
        <a:xfrm>
          <a:off x="4374091" y="4290483"/>
          <a:ext cx="523875" cy="175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 KVA</a:t>
          </a:r>
        </a:p>
      </xdr:txBody>
    </xdr:sp>
    <xdr:clientData/>
  </xdr:twoCellAnchor>
  <xdr:twoCellAnchor>
    <xdr:from>
      <xdr:col>14</xdr:col>
      <xdr:colOff>42335</xdr:colOff>
      <xdr:row>27</xdr:row>
      <xdr:rowOff>84667</xdr:rowOff>
    </xdr:from>
    <xdr:to>
      <xdr:col>14</xdr:col>
      <xdr:colOff>172031</xdr:colOff>
      <xdr:row>28</xdr:row>
      <xdr:rowOff>54153</xdr:rowOff>
    </xdr:to>
    <xdr:grpSp>
      <xdr:nvGrpSpPr>
        <xdr:cNvPr id="155" name="Group 682">
          <a:extLst>
            <a:ext uri="{FF2B5EF4-FFF2-40B4-BE49-F238E27FC236}">
              <a16:creationId xmlns:a16="http://schemas.microsoft.com/office/drawing/2014/main" id="{1E7E5F20-5A0F-456A-850C-604B457B4C2A}"/>
            </a:ext>
          </a:extLst>
        </xdr:cNvPr>
        <xdr:cNvGrpSpPr>
          <a:grpSpLocks/>
        </xdr:cNvGrpSpPr>
      </xdr:nvGrpSpPr>
      <xdr:grpSpPr bwMode="auto">
        <a:xfrm>
          <a:off x="5658557" y="4289778"/>
          <a:ext cx="129696" cy="124708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739507E4-00E7-42B0-A7D8-2742B663E0E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2F20997E-319C-40A1-8D12-97325BAFE73E}"/>
              </a:ext>
            </a:extLst>
          </xdr:cNvPr>
          <xdr:cNvCxnSpPr>
            <a:stCxn id="156" idx="1"/>
            <a:endCxn id="15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E0723448-791F-4E49-A51F-5F978972916E}"/>
              </a:ext>
            </a:extLst>
          </xdr:cNvPr>
          <xdr:cNvCxnSpPr>
            <a:stCxn id="156" idx="3"/>
            <a:endCxn id="15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275168</xdr:colOff>
      <xdr:row>23</xdr:row>
      <xdr:rowOff>21166</xdr:rowOff>
    </xdr:from>
    <xdr:to>
      <xdr:col>16</xdr:col>
      <xdr:colOff>105834</xdr:colOff>
      <xdr:row>24</xdr:row>
      <xdr:rowOff>84666</xdr:rowOff>
    </xdr:to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F2B17D2D-2C2A-4825-817F-B8045713916B}"/>
            </a:ext>
          </a:extLst>
        </xdr:cNvPr>
        <xdr:cNvSpPr txBox="1"/>
      </xdr:nvSpPr>
      <xdr:spPr>
        <a:xfrm>
          <a:off x="5151968" y="3554941"/>
          <a:ext cx="592666" cy="2159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15</xdr:col>
      <xdr:colOff>169332</xdr:colOff>
      <xdr:row>14</xdr:row>
      <xdr:rowOff>74084</xdr:rowOff>
    </xdr:from>
    <xdr:to>
      <xdr:col>18</xdr:col>
      <xdr:colOff>380999</xdr:colOff>
      <xdr:row>16</xdr:row>
      <xdr:rowOff>142476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138BE642-6534-4C13-BDB6-2BE7D1E769DA}"/>
            </a:ext>
          </a:extLst>
        </xdr:cNvPr>
        <xdr:cNvSpPr txBox="1"/>
      </xdr:nvSpPr>
      <xdr:spPr>
        <a:xfrm>
          <a:off x="5427132" y="2236259"/>
          <a:ext cx="1354667" cy="37319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23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3X70+70 mm2 = 50M</a:t>
          </a:r>
        </a:p>
      </xdr:txBody>
    </xdr:sp>
    <xdr:clientData/>
  </xdr:twoCellAnchor>
  <xdr:twoCellAnchor>
    <xdr:from>
      <xdr:col>14</xdr:col>
      <xdr:colOff>52916</xdr:colOff>
      <xdr:row>23</xdr:row>
      <xdr:rowOff>52917</xdr:rowOff>
    </xdr:from>
    <xdr:to>
      <xdr:col>14</xdr:col>
      <xdr:colOff>182612</xdr:colOff>
      <xdr:row>24</xdr:row>
      <xdr:rowOff>22403</xdr:rowOff>
    </xdr:to>
    <xdr:grpSp>
      <xdr:nvGrpSpPr>
        <xdr:cNvPr id="161" name="Group 682">
          <a:extLst>
            <a:ext uri="{FF2B5EF4-FFF2-40B4-BE49-F238E27FC236}">
              <a16:creationId xmlns:a16="http://schemas.microsoft.com/office/drawing/2014/main" id="{49535B06-E38A-4182-959C-26C301E41EBA}"/>
            </a:ext>
          </a:extLst>
        </xdr:cNvPr>
        <xdr:cNvGrpSpPr>
          <a:grpSpLocks/>
        </xdr:cNvGrpSpPr>
      </xdr:nvGrpSpPr>
      <xdr:grpSpPr bwMode="auto">
        <a:xfrm>
          <a:off x="5669138" y="3637139"/>
          <a:ext cx="129696" cy="124708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62" name="Oval 161">
            <a:extLst>
              <a:ext uri="{FF2B5EF4-FFF2-40B4-BE49-F238E27FC236}">
                <a16:creationId xmlns:a16="http://schemas.microsoft.com/office/drawing/2014/main" id="{B623C14C-508D-4751-8919-2CE02BEE6AC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9A55373E-70C3-485D-A2FB-EDEF322180EE}"/>
              </a:ext>
            </a:extLst>
          </xdr:cNvPr>
          <xdr:cNvCxnSpPr>
            <a:stCxn id="162" idx="1"/>
            <a:endCxn id="16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95F64C8E-C759-4CF6-8587-9EF3365B418E}"/>
              </a:ext>
            </a:extLst>
          </xdr:cNvPr>
          <xdr:cNvCxnSpPr>
            <a:stCxn id="162" idx="3"/>
            <a:endCxn id="16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74083</xdr:colOff>
      <xdr:row>19</xdr:row>
      <xdr:rowOff>42333</xdr:rowOff>
    </xdr:from>
    <xdr:to>
      <xdr:col>14</xdr:col>
      <xdr:colOff>203779</xdr:colOff>
      <xdr:row>20</xdr:row>
      <xdr:rowOff>11820</xdr:rowOff>
    </xdr:to>
    <xdr:grpSp>
      <xdr:nvGrpSpPr>
        <xdr:cNvPr id="165" name="Group 682">
          <a:extLst>
            <a:ext uri="{FF2B5EF4-FFF2-40B4-BE49-F238E27FC236}">
              <a16:creationId xmlns:a16="http://schemas.microsoft.com/office/drawing/2014/main" id="{3ACE9A41-B338-4E76-BC1D-D5A8A33CADD0}"/>
            </a:ext>
          </a:extLst>
        </xdr:cNvPr>
        <xdr:cNvGrpSpPr>
          <a:grpSpLocks/>
        </xdr:cNvGrpSpPr>
      </xdr:nvGrpSpPr>
      <xdr:grpSpPr bwMode="auto">
        <a:xfrm>
          <a:off x="5690305" y="3005666"/>
          <a:ext cx="129696" cy="12471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66" name="Oval 165">
            <a:extLst>
              <a:ext uri="{FF2B5EF4-FFF2-40B4-BE49-F238E27FC236}">
                <a16:creationId xmlns:a16="http://schemas.microsoft.com/office/drawing/2014/main" id="{A912A239-35E3-4275-B55F-120FC0857EA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27E229EF-5D3F-4C8C-86FA-7C66177EEB32}"/>
              </a:ext>
            </a:extLst>
          </xdr:cNvPr>
          <xdr:cNvCxnSpPr>
            <a:stCxn id="166" idx="1"/>
            <a:endCxn id="16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69222F74-E2A5-4395-AAA1-29FEC13F0005}"/>
              </a:ext>
            </a:extLst>
          </xdr:cNvPr>
          <xdr:cNvCxnSpPr>
            <a:stCxn id="166" idx="3"/>
            <a:endCxn id="16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105833</xdr:colOff>
      <xdr:row>15</xdr:row>
      <xdr:rowOff>10584</xdr:rowOff>
    </xdr:from>
    <xdr:to>
      <xdr:col>14</xdr:col>
      <xdr:colOff>235529</xdr:colOff>
      <xdr:row>15</xdr:row>
      <xdr:rowOff>128237</xdr:rowOff>
    </xdr:to>
    <xdr:grpSp>
      <xdr:nvGrpSpPr>
        <xdr:cNvPr id="169" name="Group 682">
          <a:extLst>
            <a:ext uri="{FF2B5EF4-FFF2-40B4-BE49-F238E27FC236}">
              <a16:creationId xmlns:a16="http://schemas.microsoft.com/office/drawing/2014/main" id="{213A060F-7035-4518-936B-EE5AA2B93AA5}"/>
            </a:ext>
          </a:extLst>
        </xdr:cNvPr>
        <xdr:cNvGrpSpPr>
          <a:grpSpLocks/>
        </xdr:cNvGrpSpPr>
      </xdr:nvGrpSpPr>
      <xdr:grpSpPr bwMode="auto">
        <a:xfrm>
          <a:off x="5722055" y="2353028"/>
          <a:ext cx="129696" cy="11765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70" name="Oval 169">
            <a:extLst>
              <a:ext uri="{FF2B5EF4-FFF2-40B4-BE49-F238E27FC236}">
                <a16:creationId xmlns:a16="http://schemas.microsoft.com/office/drawing/2014/main" id="{C7C59B5E-E703-4E30-8583-E8AE9D855E3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D197B165-0D42-4E35-9A74-A74E3DDA60FB}"/>
              </a:ext>
            </a:extLst>
          </xdr:cNvPr>
          <xdr:cNvCxnSpPr>
            <a:stCxn id="170" idx="1"/>
            <a:endCxn id="17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4EAE00E6-5A18-435A-9DBA-EAB580BBCA31}"/>
              </a:ext>
            </a:extLst>
          </xdr:cNvPr>
          <xdr:cNvCxnSpPr>
            <a:stCxn id="170" idx="3"/>
            <a:endCxn id="17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75433</xdr:colOff>
      <xdr:row>15</xdr:row>
      <xdr:rowOff>10584</xdr:rowOff>
    </xdr:from>
    <xdr:to>
      <xdr:col>14</xdr:col>
      <xdr:colOff>137583</xdr:colOff>
      <xdr:row>28</xdr:row>
      <xdr:rowOff>54153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4E1CC289-4447-486E-B50D-DD9171854A21}"/>
            </a:ext>
          </a:extLst>
        </xdr:cNvPr>
        <xdr:cNvCxnSpPr/>
      </xdr:nvCxnSpPr>
      <xdr:spPr>
        <a:xfrm flipH="1">
          <a:off x="4952233" y="2325159"/>
          <a:ext cx="62150" cy="202476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153037</xdr:colOff>
      <xdr:row>19</xdr:row>
      <xdr:rowOff>95250</xdr:rowOff>
    </xdr:from>
    <xdr:to>
      <xdr:col>14</xdr:col>
      <xdr:colOff>190500</xdr:colOff>
      <xdr:row>27</xdr:row>
      <xdr:rowOff>101897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EF808A8C-773B-4AD9-BBBF-6B3A1F341056}"/>
            </a:ext>
          </a:extLst>
        </xdr:cNvPr>
        <xdr:cNvCxnSpPr>
          <a:endCxn id="156" idx="7"/>
        </xdr:cNvCxnSpPr>
      </xdr:nvCxnSpPr>
      <xdr:spPr>
        <a:xfrm flipH="1">
          <a:off x="5029837" y="3019425"/>
          <a:ext cx="37463" cy="122584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113242</xdr:colOff>
      <xdr:row>25</xdr:row>
      <xdr:rowOff>77259</xdr:rowOff>
    </xdr:from>
    <xdr:to>
      <xdr:col>14</xdr:col>
      <xdr:colOff>204259</xdr:colOff>
      <xdr:row>26</xdr:row>
      <xdr:rowOff>119593</xdr:rowOff>
    </xdr:to>
    <xdr:grpSp>
      <xdr:nvGrpSpPr>
        <xdr:cNvPr id="175" name="Group 28">
          <a:extLst>
            <a:ext uri="{FF2B5EF4-FFF2-40B4-BE49-F238E27FC236}">
              <a16:creationId xmlns:a16="http://schemas.microsoft.com/office/drawing/2014/main" id="{6DBD2D8C-2651-4419-A45E-0D199FB2FEFB}"/>
            </a:ext>
          </a:extLst>
        </xdr:cNvPr>
        <xdr:cNvGrpSpPr>
          <a:grpSpLocks/>
        </xdr:cNvGrpSpPr>
      </xdr:nvGrpSpPr>
      <xdr:grpSpPr bwMode="auto">
        <a:xfrm rot="16200000">
          <a:off x="5676195" y="4025195"/>
          <a:ext cx="197556" cy="91017"/>
          <a:chOff x="12267508" y="2212225"/>
          <a:chExt cx="192931" cy="101137"/>
        </a:xfrm>
      </xdr:grpSpPr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CACB2506-CFC7-4F77-A0D0-8BB55D80CC42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9B173910-84D9-425D-9887-809DC0415C99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D4D1CC61-E193-4D96-944D-CDA6F45A8F99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1190B110-FF4E-435D-9E32-3CD211C85B1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352424</xdr:colOff>
      <xdr:row>18</xdr:row>
      <xdr:rowOff>134407</xdr:rowOff>
    </xdr:from>
    <xdr:to>
      <xdr:col>15</xdr:col>
      <xdr:colOff>161924</xdr:colOff>
      <xdr:row>19</xdr:row>
      <xdr:rowOff>77257</xdr:rowOff>
    </xdr:to>
    <xdr:grpSp>
      <xdr:nvGrpSpPr>
        <xdr:cNvPr id="180" name="Group 28">
          <a:extLst>
            <a:ext uri="{FF2B5EF4-FFF2-40B4-BE49-F238E27FC236}">
              <a16:creationId xmlns:a16="http://schemas.microsoft.com/office/drawing/2014/main" id="{731C8945-6F1F-4A9F-AD87-BF04CF822A7B}"/>
            </a:ext>
          </a:extLst>
        </xdr:cNvPr>
        <xdr:cNvGrpSpPr>
          <a:grpSpLocks/>
        </xdr:cNvGrpSpPr>
      </xdr:nvGrpSpPr>
      <xdr:grpSpPr bwMode="auto">
        <a:xfrm rot="19910616">
          <a:off x="5968646" y="2942518"/>
          <a:ext cx="246945" cy="98072"/>
          <a:chOff x="12267508" y="2212225"/>
          <a:chExt cx="192931" cy="101137"/>
        </a:xfrm>
      </xdr:grpSpPr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C660B2A5-02B4-431E-A34F-51E75FBABC3C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E5162E3D-5E6C-4D8D-81D4-3BF21A8DEF2C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6764F4D3-961C-4E6D-B00B-1EBF1393E840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3324134F-2DAD-4816-8359-96B207A3AB3F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285750</xdr:colOff>
      <xdr:row>28</xdr:row>
      <xdr:rowOff>31750</xdr:rowOff>
    </xdr:from>
    <xdr:to>
      <xdr:col>14</xdr:col>
      <xdr:colOff>73270</xdr:colOff>
      <xdr:row>29</xdr:row>
      <xdr:rowOff>28907</xdr:rowOff>
    </xdr:to>
    <xdr:sp macro="" textlink="">
      <xdr:nvSpPr>
        <xdr:cNvPr id="185" name="Isosceles Triangle 184">
          <a:extLst>
            <a:ext uri="{FF2B5EF4-FFF2-40B4-BE49-F238E27FC236}">
              <a16:creationId xmlns:a16="http://schemas.microsoft.com/office/drawing/2014/main" id="{E1DD9F8A-257D-4783-B1C4-01B001195512}"/>
            </a:ext>
          </a:extLst>
        </xdr:cNvPr>
        <xdr:cNvSpPr/>
      </xdr:nvSpPr>
      <xdr:spPr>
        <a:xfrm>
          <a:off x="4781550" y="4327525"/>
          <a:ext cx="168520" cy="149557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14</xdr:col>
      <xdr:colOff>137583</xdr:colOff>
      <xdr:row>13</xdr:row>
      <xdr:rowOff>127000</xdr:rowOff>
    </xdr:from>
    <xdr:to>
      <xdr:col>14</xdr:col>
      <xdr:colOff>137583</xdr:colOff>
      <xdr:row>15</xdr:row>
      <xdr:rowOff>20191</xdr:rowOff>
    </xdr:to>
    <xdr:cxnSp macro="">
      <xdr:nvCxnSpPr>
        <xdr:cNvPr id="186" name="Straight Arrow Connector 185">
          <a:extLst>
            <a:ext uri="{FF2B5EF4-FFF2-40B4-BE49-F238E27FC236}">
              <a16:creationId xmlns:a16="http://schemas.microsoft.com/office/drawing/2014/main" id="{999E8AD5-89D5-481B-89F9-C80876C8194C}"/>
            </a:ext>
          </a:extLst>
        </xdr:cNvPr>
        <xdr:cNvCxnSpPr/>
      </xdr:nvCxnSpPr>
      <xdr:spPr>
        <a:xfrm flipV="1">
          <a:off x="5014383" y="2136775"/>
          <a:ext cx="0" cy="19799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243416</xdr:colOff>
      <xdr:row>28</xdr:row>
      <xdr:rowOff>74083</xdr:rowOff>
    </xdr:from>
    <xdr:to>
      <xdr:col>14</xdr:col>
      <xdr:colOff>74082</xdr:colOff>
      <xdr:row>29</xdr:row>
      <xdr:rowOff>52917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9C08E4E7-38E5-4169-B86D-306A4A1BF995}"/>
            </a:ext>
          </a:extLst>
        </xdr:cNvPr>
        <xdr:cNvCxnSpPr/>
      </xdr:nvCxnSpPr>
      <xdr:spPr>
        <a:xfrm flipV="1">
          <a:off x="4739216" y="4369858"/>
          <a:ext cx="211666" cy="13123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232833</xdr:colOff>
      <xdr:row>28</xdr:row>
      <xdr:rowOff>21167</xdr:rowOff>
    </xdr:from>
    <xdr:to>
      <xdr:col>14</xdr:col>
      <xdr:colOff>95249</xdr:colOff>
      <xdr:row>29</xdr:row>
      <xdr:rowOff>105834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B766B37D-2546-4C8D-A636-02D742669A20}"/>
            </a:ext>
          </a:extLst>
        </xdr:cNvPr>
        <xdr:cNvCxnSpPr/>
      </xdr:nvCxnSpPr>
      <xdr:spPr>
        <a:xfrm>
          <a:off x="4728633" y="4316942"/>
          <a:ext cx="243416" cy="23706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88371</xdr:colOff>
      <xdr:row>16</xdr:row>
      <xdr:rowOff>133879</xdr:rowOff>
    </xdr:from>
    <xdr:to>
      <xdr:col>14</xdr:col>
      <xdr:colOff>179388</xdr:colOff>
      <xdr:row>17</xdr:row>
      <xdr:rowOff>147638</xdr:rowOff>
    </xdr:to>
    <xdr:grpSp>
      <xdr:nvGrpSpPr>
        <xdr:cNvPr id="189" name="Group 22">
          <a:extLst>
            <a:ext uri="{FF2B5EF4-FFF2-40B4-BE49-F238E27FC236}">
              <a16:creationId xmlns:a16="http://schemas.microsoft.com/office/drawing/2014/main" id="{C9C84165-309C-4CA8-950F-552D80D9E64A}"/>
            </a:ext>
          </a:extLst>
        </xdr:cNvPr>
        <xdr:cNvGrpSpPr>
          <a:grpSpLocks/>
        </xdr:cNvGrpSpPr>
      </xdr:nvGrpSpPr>
      <xdr:grpSpPr bwMode="auto">
        <a:xfrm rot="15769694">
          <a:off x="5665611" y="2670528"/>
          <a:ext cx="168981" cy="91017"/>
          <a:chOff x="12262141" y="2055842"/>
          <a:chExt cx="156559" cy="95595"/>
        </a:xfrm>
      </xdr:grpSpPr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FB429A3C-18FD-42CA-8B5C-CEB0E4598CDD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A40E711B-CB8B-4C53-9632-95510B2935EA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B7C456C1-00CB-4A67-B936-6274629E0478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46037</xdr:colOff>
      <xdr:row>21</xdr:row>
      <xdr:rowOff>91545</xdr:rowOff>
    </xdr:from>
    <xdr:to>
      <xdr:col>14</xdr:col>
      <xdr:colOff>137054</xdr:colOff>
      <xdr:row>22</xdr:row>
      <xdr:rowOff>105303</xdr:rowOff>
    </xdr:to>
    <xdr:grpSp>
      <xdr:nvGrpSpPr>
        <xdr:cNvPr id="193" name="Group 22">
          <a:extLst>
            <a:ext uri="{FF2B5EF4-FFF2-40B4-BE49-F238E27FC236}">
              <a16:creationId xmlns:a16="http://schemas.microsoft.com/office/drawing/2014/main" id="{F153AEE6-5172-41B8-A6B9-D34A2ECEB3DD}"/>
            </a:ext>
          </a:extLst>
        </xdr:cNvPr>
        <xdr:cNvGrpSpPr>
          <a:grpSpLocks/>
        </xdr:cNvGrpSpPr>
      </xdr:nvGrpSpPr>
      <xdr:grpSpPr bwMode="auto">
        <a:xfrm rot="15776935">
          <a:off x="5623278" y="3404304"/>
          <a:ext cx="168980" cy="91017"/>
          <a:chOff x="12262141" y="2055842"/>
          <a:chExt cx="156559" cy="95595"/>
        </a:xfrm>
      </xdr:grpSpPr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ED9310D2-9865-4BEE-A5EE-606447DC9A13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0DC4CDEE-B0EF-4CB4-82E0-1BF2EF602552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8C0C44C-423D-43F5-BA06-DB1DE507CF84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24870</xdr:colOff>
      <xdr:row>25</xdr:row>
      <xdr:rowOff>102130</xdr:rowOff>
    </xdr:from>
    <xdr:to>
      <xdr:col>14</xdr:col>
      <xdr:colOff>115887</xdr:colOff>
      <xdr:row>26</xdr:row>
      <xdr:rowOff>115889</xdr:rowOff>
    </xdr:to>
    <xdr:grpSp>
      <xdr:nvGrpSpPr>
        <xdr:cNvPr id="197" name="Group 22">
          <a:extLst>
            <a:ext uri="{FF2B5EF4-FFF2-40B4-BE49-F238E27FC236}">
              <a16:creationId xmlns:a16="http://schemas.microsoft.com/office/drawing/2014/main" id="{2FDF63E1-9EFC-4AE1-96B9-B48D02DC9E40}"/>
            </a:ext>
          </a:extLst>
        </xdr:cNvPr>
        <xdr:cNvGrpSpPr>
          <a:grpSpLocks/>
        </xdr:cNvGrpSpPr>
      </xdr:nvGrpSpPr>
      <xdr:grpSpPr bwMode="auto">
        <a:xfrm rot="16200000">
          <a:off x="5602110" y="4035779"/>
          <a:ext cx="168981" cy="91017"/>
          <a:chOff x="12262141" y="2055842"/>
          <a:chExt cx="156559" cy="95595"/>
        </a:xfrm>
      </xdr:grpSpPr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386C43FA-B164-4640-85FD-EDB693B3B46B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487D8F48-4CEA-44EB-B77D-7654CFCA2B11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FB4E1900-BB11-438E-A77A-054828383734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105833</xdr:colOff>
      <xdr:row>9</xdr:row>
      <xdr:rowOff>10584</xdr:rowOff>
    </xdr:from>
    <xdr:to>
      <xdr:col>14</xdr:col>
      <xdr:colOff>153458</xdr:colOff>
      <xdr:row>12</xdr:row>
      <xdr:rowOff>39157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55A3EB8B-7D12-4806-A26C-15789A963DED}"/>
            </a:ext>
          </a:extLst>
        </xdr:cNvPr>
        <xdr:cNvSpPr txBox="1"/>
      </xdr:nvSpPr>
      <xdr:spPr>
        <a:xfrm>
          <a:off x="4220633" y="1401234"/>
          <a:ext cx="809625" cy="48577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129646</xdr:colOff>
      <xdr:row>12</xdr:row>
      <xdr:rowOff>39157</xdr:rowOff>
    </xdr:from>
    <xdr:to>
      <xdr:col>14</xdr:col>
      <xdr:colOff>105833</xdr:colOff>
      <xdr:row>15</xdr:row>
      <xdr:rowOff>69411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C4BBBDBA-7D68-4156-9B46-E029B02049A2}"/>
            </a:ext>
          </a:extLst>
        </xdr:cNvPr>
        <xdr:cNvCxnSpPr>
          <a:stCxn id="201" idx="2"/>
          <a:endCxn id="170" idx="2"/>
        </xdr:cNvCxnSpPr>
      </xdr:nvCxnSpPr>
      <xdr:spPr>
        <a:xfrm>
          <a:off x="4625446" y="1887007"/>
          <a:ext cx="357187" cy="4969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205524</xdr:colOff>
      <xdr:row>13</xdr:row>
      <xdr:rowOff>17958</xdr:rowOff>
    </xdr:from>
    <xdr:to>
      <xdr:col>13</xdr:col>
      <xdr:colOff>319823</xdr:colOff>
      <xdr:row>13</xdr:row>
      <xdr:rowOff>108975</xdr:rowOff>
    </xdr:to>
    <xdr:grpSp>
      <xdr:nvGrpSpPr>
        <xdr:cNvPr id="203" name="Group 22">
          <a:extLst>
            <a:ext uri="{FF2B5EF4-FFF2-40B4-BE49-F238E27FC236}">
              <a16:creationId xmlns:a16="http://schemas.microsoft.com/office/drawing/2014/main" id="{91EF7BE2-F37A-4332-B8B2-673A09579D1A}"/>
            </a:ext>
          </a:extLst>
        </xdr:cNvPr>
        <xdr:cNvGrpSpPr>
          <a:grpSpLocks/>
        </xdr:cNvGrpSpPr>
      </xdr:nvGrpSpPr>
      <xdr:grpSpPr bwMode="auto">
        <a:xfrm rot="2126875">
          <a:off x="5384302" y="2049958"/>
          <a:ext cx="114299" cy="91017"/>
          <a:chOff x="12262142" y="2055841"/>
          <a:chExt cx="110511" cy="95595"/>
        </a:xfrm>
      </xdr:grpSpPr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965BC0CF-70B5-4EC7-88BA-4F99C3EF4E80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422DEC6B-DECC-43A6-AC01-0B1A9A3699C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95250</xdr:colOff>
      <xdr:row>18</xdr:row>
      <xdr:rowOff>84666</xdr:rowOff>
    </xdr:from>
    <xdr:to>
      <xdr:col>13</xdr:col>
      <xdr:colOff>306916</xdr:colOff>
      <xdr:row>20</xdr:row>
      <xdr:rowOff>0</xdr:rowOff>
    </xdr:to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D485C99A-652F-4092-A9C1-9E45E9E097BE}"/>
            </a:ext>
          </a:extLst>
        </xdr:cNvPr>
        <xdr:cNvSpPr txBox="1"/>
      </xdr:nvSpPr>
      <xdr:spPr>
        <a:xfrm>
          <a:off x="4210050" y="2856441"/>
          <a:ext cx="592666" cy="220134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 CJ6-T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21</xdr:col>
      <xdr:colOff>173182</xdr:colOff>
      <xdr:row>53</xdr:row>
      <xdr:rowOff>86591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FF0053-155E-4BF7-BA52-72FEB7215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276350"/>
          <a:ext cx="11679382" cy="75351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C525B57-2669-43EB-BF65-8D1EB03B8332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1B20598F-1878-44F9-A017-878B73BE415A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8</xdr:row>
      <xdr:rowOff>0</xdr:rowOff>
    </xdr:from>
    <xdr:to>
      <xdr:col>27</xdr:col>
      <xdr:colOff>34636</xdr:colOff>
      <xdr:row>54</xdr:row>
      <xdr:rowOff>138545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235297-1D01-44E3-88D4-1EAAEC09B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238250"/>
          <a:ext cx="14188786" cy="758709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\\92FF760B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LP%20TEGOWANU\Downloads\KKO%20KKF%20PB%20B2%2023kva%20RYAN%20GHOZALI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4" t="s">
        <v>1104</v>
      </c>
      <c r="C4" s="514"/>
      <c r="D4" s="514"/>
      <c r="E4" s="514"/>
      <c r="F4" s="514"/>
      <c r="G4" s="514"/>
      <c r="H4" s="51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5" t="s">
        <v>0</v>
      </c>
      <c r="C7" s="515" t="s">
        <v>1</v>
      </c>
      <c r="D7" s="516" t="s">
        <v>32</v>
      </c>
      <c r="E7" s="516" t="s">
        <v>33</v>
      </c>
      <c r="F7" s="516" t="s">
        <v>1105</v>
      </c>
      <c r="G7" s="517" t="s">
        <v>31</v>
      </c>
      <c r="H7" s="513" t="s">
        <v>1012</v>
      </c>
      <c r="I7" s="513" t="s">
        <v>1107</v>
      </c>
      <c r="J7" s="513" t="s">
        <v>996</v>
      </c>
      <c r="K7" s="507" t="s">
        <v>994</v>
      </c>
      <c r="L7" s="508"/>
    </row>
    <row r="8" spans="1:12" ht="15" customHeight="1">
      <c r="B8" s="515"/>
      <c r="C8" s="515"/>
      <c r="D8" s="516"/>
      <c r="E8" s="516"/>
      <c r="F8" s="516"/>
      <c r="G8" s="517"/>
      <c r="H8" s="513"/>
      <c r="I8" s="513"/>
      <c r="J8" s="513"/>
      <c r="K8" s="509"/>
      <c r="L8" s="510"/>
    </row>
    <row r="9" spans="1:12" ht="15" customHeight="1">
      <c r="B9" s="515"/>
      <c r="C9" s="515"/>
      <c r="D9" s="516"/>
      <c r="E9" s="516"/>
      <c r="F9" s="516"/>
      <c r="G9" s="517"/>
      <c r="H9" s="513"/>
      <c r="I9" s="513"/>
      <c r="J9" s="513"/>
      <c r="K9" s="511"/>
      <c r="L9" s="51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150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SUMIFS(RAB!$F$14:$F$79,RAB!$C$14:$C$79,C714)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SUMIFS(RAB!$F$14:$F$79,RAB!$C$14:$C$79,C715)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SUMIFS(RAB!$F$14:$F$79,RAB!$C$14:$C$79,C716)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SUMIFS(RAB!$F$14:$F$79,RAB!$C$14:$C$79,C717)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SUMIFS(RAB!$F$14:$F$79,RAB!$C$14:$C$79,C718)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SUMIFS(RAB!$F$14:$F$79,RAB!$C$14:$C$79,C719)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SUMIFS(RAB!$F$14:$F$79,RAB!$C$14:$C$79,C720)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SUMIFS(RAB!$F$14:$F$79,RAB!$C$14:$C$79,C721)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SUMIFS(RAB!$F$14:$F$79,RAB!$C$14:$C$79,C722)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SUMIFS(RAB!$F$14:$F$79,RAB!$C$14:$C$79,C723)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SUMIFS(RAB!$F$14:$F$79,RAB!$C$14:$C$79,C724)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SUMIFS(RAB!$F$14:$F$79,RAB!$C$14:$C$79,C725)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SUMIFS(RAB!$F$14:$F$79,RAB!$C$14:$C$79,C726)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SUMIFS(RAB!$F$14:$F$79,RAB!$C$14:$C$79,C727)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SUMIFS(RAB!$F$14:$F$79,RAB!$C$14:$C$79,C728)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SUMIFS(RAB!$F$14:$F$79,RAB!$C$14:$C$79,C729)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SUMIFS(RAB!$F$14:$F$79,RAB!$C$14:$C$79,C730)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SUMIFS(RAB!$F$14:$F$79,RAB!$C$14:$C$79,C731)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SUMIFS(RAB!$F$14:$F$79,RAB!$C$14:$C$79,C732)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SUMIFS(RAB!$F$14:$F$79,RAB!$C$14:$C$79,C733)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SUMIFS(RAB!$F$14:$F$79,RAB!$C$14:$C$79,C734)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SUMIFS(RAB!$F$14:$F$79,RAB!$C$14:$C$79,C735)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SUMIFS(RAB!$F$14:$F$79,RAB!$C$14:$C$79,C736)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SUMIFS(RAB!$F$14:$F$79,RAB!$C$14:$C$79,C737)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SUMIFS(RAB!$F$14:$F$79,RAB!$C$14:$C$79,C738)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SUMIFS(RAB!$F$14:$F$79,RAB!$C$14:$C$79,C739)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SUMIFS(RAB!$F$14:$F$79,RAB!$C$14:$C$79,C740)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SUMIFS(RAB!$F$14:$F$79,RAB!$C$14:$C$79,C741)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SUMIFS(RAB!$F$14:$F$79,RAB!$C$14:$C$79,C742)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SUMIFS(RAB!$F$14:$F$79,RAB!$C$14:$C$79,C743)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SUMIFS(RAB!$F$14:$F$79,RAB!$C$14:$C$79,C744)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SUMIFS(RAB!$F$14:$F$79,RAB!$C$14:$C$79,C745)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SUMIFS(RAB!$F$14:$F$79,RAB!$C$14:$C$79,C746)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SUMIFS(RAB!$F$14:$F$79,RAB!$C$14:$C$79,C747)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SUMIFS(RAB!$F$14:$F$79,RAB!$C$14:$C$79,C748)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SUMIFS(RAB!$F$14:$F$79,RAB!$C$14:$C$79,C749)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SUMIFS(RAB!$F$14:$F$79,RAB!$C$14:$C$79,C750)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SUMIFS(RAB!$F$14:$F$79,RAB!$C$14:$C$79,C751)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SUMIFS(RAB!$F$14:$F$79,RAB!$C$14:$C$79,C752)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SUMIFS(RAB!$F$14:$F$79,RAB!$C$14:$C$79,C753)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SUMIFS(RAB!$F$14:$F$79,RAB!$C$14:$C$79,C754)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SUMIFS(RAB!$F$14:$F$79,RAB!$C$14:$C$79,C755)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SUMIFS(RAB!$F$14:$F$79,RAB!$C$14:$C$79,C756)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SUMIFS(RAB!$F$14:$F$79,RAB!$C$14:$C$79,C757)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SUMIFS(RAB!$F$14:$F$79,RAB!$C$14:$C$79,C758)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SUMIFS(RAB!$F$14:$F$79,RAB!$C$14:$C$79,C759)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SUMIFS(RAB!$F$14:$F$79,RAB!$C$14:$C$79,C760)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SUMIFS(RAB!$F$14:$F$79,RAB!$C$14:$C$79,C761)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SUMIFS(RAB!$F$14:$F$79,RAB!$C$14:$C$79,C762)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SUMIFS(RAB!$F$14:$F$79,RAB!$C$14:$C$79,C763)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SUMIFS(RAB!$F$14:$F$79,RAB!$C$14:$C$79,C764)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SUMIFS(RAB!$F$14:$F$79,RAB!$C$14:$C$79,C765)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SUMIFS(RAB!$F$14:$F$79,RAB!$C$14:$C$79,C766)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SUMIFS(RAB!$F$14:$F$79,RAB!$C$14:$C$79,C767)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SUMIFS(RAB!$F$14:$F$79,RAB!$C$14:$C$79,C768)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SUMIFS(RAB!$F$14:$F$79,RAB!$C$14:$C$79,C769)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SUMIFS(RAB!$F$14:$F$79,RAB!$C$14:$C$79,C770)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SUMIFS(RAB!$F$14:$F$79,RAB!$C$14:$C$79,C771)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SUMIFS(RAB!$F$14:$F$79,RAB!$C$14:$C$79,C772)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SUMIFS(RAB!$F$14:$F$79,RAB!$C$14:$C$79,C773)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SUMIFS(RAB!$F$14:$F$79,RAB!$C$14:$C$79,C774)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SUMIFS(RAB!$F$14:$F$79,RAB!$C$14:$C$79,C775)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SUMIFS(RAB!$F$14:$F$79,RAB!$C$14:$C$79,C776)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SUMIFS(RAB!$F$14:$F$79,RAB!$C$14:$C$79,C777)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SUMIFS(RAB!$F$14:$F$79,RAB!$C$14:$C$79,C778)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SUMIFS(RAB!$F$14:$F$79,RAB!$C$14:$C$79,C779)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SUMIFS(RAB!$F$14:$F$79,RAB!$C$14:$C$79,C780)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SUMIFS(RAB!$F$14:$F$79,RAB!$C$14:$C$79,C781)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SUMIFS(RAB!$F$14:$F$79,RAB!$C$14:$C$79,C782)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SUMIFS(RAB!$F$14:$F$79,RAB!$C$14:$C$79,C783)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SUMIFS(RAB!$F$14:$F$79,RAB!$C$14:$C$79,C784)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SUMIFS(RAB!$F$14:$F$79,RAB!$C$14:$C$79,C785)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SUMIFS(RAB!$F$14:$F$79,RAB!$C$14:$C$79,C786)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SUMIFS(RAB!$F$14:$F$79,RAB!$C$14:$C$79,C787)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SUMIFS(RAB!$F$14:$F$79,RAB!$C$14:$C$79,C788)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SUMIFS(RAB!$F$14:$F$79,RAB!$C$14:$C$79,C789)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SUMIFS(RAB!$F$14:$F$79,RAB!$C$14:$C$79,C790)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SUMIFS(RAB!$F$14:$F$79,RAB!$C$14:$C$79,C791)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SUMIFS(RAB!$F$14:$F$79,RAB!$C$14:$C$79,C792)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SUMIFS(RAB!$F$14:$F$79,RAB!$C$14:$C$79,C793)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SUMIFS(RAB!$F$14:$F$79,RAB!$C$14:$C$79,C794)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SUMIFS(RAB!$F$14:$F$79,RAB!$C$14:$C$79,C795)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SUMIFS(RAB!$F$14:$F$79,RAB!$C$14:$C$79,C796)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SUMIFS(RAB!$F$14:$F$79,RAB!$C$14:$C$79,C797)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SUMIFS(RAB!$F$14:$F$79,RAB!$C$14:$C$79,C798)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SUMIFS(RAB!$F$14:$F$79,RAB!$C$14:$C$79,C799)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SUMIFS(RAB!$F$14:$F$79,RAB!$C$14:$C$79,C800)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SUMIFS(RAB!$F$14:$F$79,RAB!$C$14:$C$79,C801)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SUMIFS(RAB!$F$14:$F$79,RAB!$C$14:$C$79,C802)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SUMIFS(RAB!$F$14:$F$79,RAB!$C$14:$C$79,C803)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SUMIFS(RAB!$F$14:$F$79,RAB!$C$14:$C$79,C804)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SUMIFS(RAB!$F$14:$F$79,RAB!$C$14:$C$79,C805)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SUMIFS(RAB!$F$14:$F$79,RAB!$C$14:$C$79,C806)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SUMIFS(RAB!$F$14:$F$79,RAB!$C$14:$C$79,C807)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SUMIFS(RAB!$F$14:$F$79,RAB!$C$14:$C$79,C808)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SUMIFS(RAB!$F$14:$F$79,RAB!$C$14:$C$79,C809)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SUMIFS(RAB!$F$14:$F$79,RAB!$C$14:$C$79,C810)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SUMIFS(RAB!$F$14:$F$79,RAB!$C$14:$C$79,C811)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SUMIFS(RAB!$F$14:$F$79,RAB!$C$14:$C$79,C812)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SUMIFS(RAB!$F$14:$F$79,RAB!$C$14:$C$79,C813)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SUMIFS(RAB!$F$14:$F$79,RAB!$C$14:$C$79,C814)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SUMIFS(RAB!$F$14:$F$79,RAB!$C$14:$C$79,C815)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SUMIFS(RAB!$F$14:$F$79,RAB!$C$14:$C$79,C816)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SUMIFS(RAB!$F$14:$F$79,RAB!$C$14:$C$79,C817)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SUMIFS(RAB!$F$14:$F$79,RAB!$C$14:$C$79,C818)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SUMIFS(RAB!$F$14:$F$79,RAB!$C$14:$C$79,C819)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SUMIFS(RAB!$F$14:$F$79,RAB!$C$14:$C$79,C820)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SUMIFS(RAB!$F$14:$F$79,RAB!$C$14:$C$79,C821)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SUMIFS(RAB!$F$14:$F$79,RAB!$C$14:$C$79,C822)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SUMIFS(RAB!$F$14:$F$79,RAB!$C$14:$C$79,C823)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SUMIFS(RAB!$F$14:$F$79,RAB!$C$14:$C$79,C824)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SUMIFS(RAB!$F$14:$F$79,RAB!$C$14:$C$79,C825)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SUMIFS(RAB!$F$14:$F$79,RAB!$C$14:$C$79,C826)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SUMIFS(RAB!$F$14:$F$79,RAB!$C$14:$C$79,C827)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SUMIFS(RAB!$F$14:$F$79,RAB!$C$14:$C$79,C828)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SUMIFS(RAB!$F$14:$F$79,RAB!$C$14:$C$79,C829)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SUMIFS(RAB!$F$14:$F$79,RAB!$C$14:$C$79,C830)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SUMIFS(RAB!$F$14:$F$79,RAB!$C$14:$C$79,C831)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SUMIFS(RAB!$F$14:$F$79,RAB!$C$14:$C$79,C832)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SUMIFS(RAB!$F$14:$F$79,RAB!$C$14:$C$79,C833)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SUMIFS(RAB!$F$14:$F$79,RAB!$C$14:$C$79,C834)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SUMIFS(RAB!$F$14:$F$79,RAB!$C$14:$C$79,C835)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SUMIFS(RAB!$F$14:$F$79,RAB!$C$14:$C$79,C836)</f>
        <v>150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SUMIFS(RAB!$F$14:$F$79,RAB!$C$14:$C$79,C837)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SUMIFS(RAB!$F$14:$F$79,RAB!$C$14:$C$79,C838)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SUMIFS(RAB!$F$14:$F$79,RAB!$C$14:$C$79,C839)</f>
        <v>35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SUMIFS(RAB!$F$14:$F$79,RAB!$C$14:$C$79,C840)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SUMIFS(RAB!$F$14:$F$79,RAB!$C$14:$C$79,C841)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SUMIFS(RAB!$F$14:$F$79,RAB!$C$14:$C$79,C842)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SUMIFS(RAB!$F$14:$F$79,RAB!$C$14:$C$79,C843)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SUMIFS(RAB!$F$14:$F$79,RAB!$C$14:$C$79,C844)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SUMIFS(RAB!$F$14:$F$79,RAB!$C$14:$C$79,C845)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SUMIFS(RAB!$F$14:$F$79,RAB!$C$14:$C$79,C846)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SUMIFS(RAB!$F$14:$F$79,RAB!$C$14:$C$79,C847)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SUMIFS(RAB!$F$14:$F$79,RAB!$C$14:$C$79,C848)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SUMIFS(RAB!$F$14:$F$79,RAB!$C$14:$C$79,C849)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SUMIFS(RAB!$F$14:$F$79,RAB!$C$14:$C$79,C850)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SUMIFS(RAB!$F$14:$F$79,RAB!$C$14:$C$79,C851)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SUMIFS(RAB!$F$14:$F$79,RAB!$C$14:$C$79,C852)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SUMIFS(RAB!$F$14:$F$79,RAB!$C$14:$C$79,C853)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SUMIFS(RAB!$F$14:$F$79,RAB!$C$14:$C$79,C854)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SUMIFS(RAB!$F$14:$F$79,RAB!$C$14:$C$79,C855)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SUMIFS(RAB!$F$14:$F$79,RAB!$C$14:$C$79,C856)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SUMIFS(RAB!$F$14:$F$79,RAB!$C$14:$C$79,C857)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SUMIFS(RAB!$F$14:$F$79,RAB!$C$14:$C$79,C858)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SUMIFS(RAB!$F$14:$F$79,RAB!$C$14:$C$79,C859)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SUMIFS(RAB!$F$14:$F$79,RAB!$C$14:$C$79,C860)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SUMIFS(RAB!$F$14:$F$79,RAB!$C$14:$C$79,C861)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SUMIFS(RAB!$F$14:$F$79,RAB!$C$14:$C$79,C862)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SUMIFS(RAB!$F$14:$F$79,RAB!$C$14:$C$79,C863)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SUMIFS(RAB!$F$14:$F$79,RAB!$C$14:$C$79,C864)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SUMIFS(RAB!$F$14:$F$79,RAB!$C$14:$C$79,C865)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SUMIFS(RAB!$F$14:$F$79,RAB!$C$14:$C$79,C866)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SUMIFS(RAB!$F$14:$F$79,RAB!$C$14:$C$79,C867)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SUMIFS(RAB!$F$14:$F$79,RAB!$C$14:$C$79,C868)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SUMIFS(RAB!$F$14:$F$79,RAB!$C$14:$C$79,C869)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SUMIFS(RAB!$F$14:$F$79,RAB!$C$14:$C$79,C870)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SUMIFS(RAB!$F$14:$F$79,RAB!$C$14:$C$79,C871)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SUMIFS(RAB!$F$14:$F$79,RAB!$C$14:$C$79,C872)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SUMIFS(RAB!$F$14:$F$79,RAB!$C$14:$C$79,C873)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SUMIFS(RAB!$F$14:$F$79,RAB!$C$14:$C$79,C874)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SUMIFS(RAB!$F$14:$F$79,RAB!$C$14:$C$79,C875)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SUMIFS(RAB!$F$14:$F$79,RAB!$C$14:$C$79,C876)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SUMIFS(RAB!$F$14:$F$79,RAB!$C$14:$C$79,C877)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SUMIFS(RAB!$F$14:$F$79,RAB!$C$14:$C$79,C878)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SUMIFS(RAB!$F$14:$F$79,RAB!$C$14:$C$79,C879)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SUMIFS(RAB!$F$14:$F$79,RAB!$C$14:$C$79,C880)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SUMIFS(RAB!$F$14:$F$79,RAB!$C$14:$C$79,C881)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SUMIFS(RAB!$F$14:$F$79,RAB!$C$14:$C$79,C882)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SUMIFS(RAB!$F$14:$F$79,RAB!$C$14:$C$79,C883)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SUMIFS(RAB!$F$14:$F$79,RAB!$C$14:$C$79,C884)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SUMIFS(RAB!$F$14:$F$79,RAB!$C$14:$C$79,C885)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SUMIFS(RAB!$F$14:$F$79,RAB!$C$14:$C$79,C886)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SUMIFS(RAB!$F$14:$F$79,RAB!$C$14:$C$79,C887)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SUMIFS(RAB!$F$14:$F$79,RAB!$C$14:$C$79,C888)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SUMIFS(RAB!$F$14:$F$79,RAB!$C$14:$C$79,C889)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SUMIFS(RAB!$F$14:$F$79,RAB!$C$14:$C$79,C890)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SUMIFS(RAB!$F$14:$F$79,RAB!$C$14:$C$79,C891)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SUMIFS(RAB!$F$14:$F$79,RAB!$C$14:$C$79,C892)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SUMIFS(RAB!$F$14:$F$79,RAB!$C$14:$C$79,C893)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SUMIFS(RAB!$F$14:$F$79,RAB!$C$14:$C$79,C894)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SUMIFS(RAB!$F$14:$F$79,RAB!$C$14:$C$79,C895)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SUMIFS(RAB!$F$14:$F$79,RAB!$C$14:$C$79,C896)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SUMIFS(RAB!$F$14:$F$79,RAB!$C$14:$C$79,C897)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SUMIFS(RAB!$F$14:$F$79,RAB!$C$14:$C$79,C898)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SUMIFS(RAB!$F$14:$F$79,RAB!$C$14:$C$79,C899)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SUMIFS(RAB!$F$14:$F$79,RAB!$C$14:$C$79,C900)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SUMIFS(RAB!$F$14:$F$79,RAB!$C$14:$C$79,C901)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SUMIFS(RAB!$F$14:$F$79,RAB!$C$14:$C$79,C902)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SUMIFS(RAB!$F$14:$F$79,RAB!$C$14:$C$79,C903)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SUMIFS(RAB!$F$14:$F$79,RAB!$C$14:$C$79,C904)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SUMIFS(RAB!$F$14:$F$79,RAB!$C$14:$C$79,C905)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SUMIFS(RAB!$F$14:$F$79,RAB!$C$14:$C$79,C906)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SUMIFS(RAB!$F$14:$F$79,RAB!$C$14:$C$79,C907)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SUMIFS(RAB!$F$14:$F$79,RAB!$C$14:$C$79,C908)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SUMIFS(RAB!$F$14:$F$79,RAB!$C$14:$C$79,C909)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SUMIFS(RAB!$F$14:$F$79,RAB!$C$14:$C$79,C910)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SUMIFS(RAB!$F$14:$F$79,RAB!$C$14:$C$79,C911)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SUMIFS(RAB!$F$14:$F$79,RAB!$C$14:$C$79,C912)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SUMIFS(RAB!$F$14:$F$79,RAB!$C$14:$C$79,C913)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SUMIFS(RAB!$F$14:$F$79,RAB!$C$14:$C$79,C914)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SUMIFS(RAB!$F$14:$F$79,RAB!$C$14:$C$79,C915)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SUMIFS(RAB!$F$14:$F$79,RAB!$C$14:$C$79,C916)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SUMIFS(RAB!$F$14:$F$79,RAB!$C$14:$C$79,C917)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SUMIFS(RAB!$F$14:$F$79,RAB!$C$14:$C$79,C918)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SUMIFS(RAB!$F$14:$F$79,RAB!$C$14:$C$79,C919)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SUMIFS(RAB!$F$14:$F$79,RAB!$C$14:$C$79,C920)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SUMIFS(RAB!$F$14:$F$79,RAB!$C$14:$C$79,C921)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SUMIFS(RAB!$F$14:$F$79,RAB!$C$14:$C$79,C922)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SUMIFS(RAB!$F$14:$F$79,RAB!$C$14:$C$79,C923)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SUMIFS(RAB!$F$14:$F$79,RAB!$C$14:$C$79,C924)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SUMIFS(RAB!$F$14:$F$79,RAB!$C$14:$C$79,C925)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SUMIFS(RAB!$F$14:$F$79,RAB!$C$14:$C$79,C926)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SUMIFS(RAB!$F$14:$F$79,RAB!$C$14:$C$79,C927)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SUMIFS(RAB!$F$14:$F$79,RAB!$C$14:$C$79,C928)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SUMIFS(RAB!$F$14:$F$79,RAB!$C$14:$C$79,C929)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SUMIFS(RAB!$F$14:$F$79,RAB!$C$14:$C$79,C930)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SUMIFS(RAB!$F$14:$F$79,RAB!$C$14:$C$79,C931)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SUMIFS(RAB!$F$14:$F$79,RAB!$C$14:$C$79,C932)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SUMIFS(RAB!$F$14:$F$79,RAB!$C$14:$C$79,C933)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SUMIFS(RAB!$F$14:$F$79,RAB!$C$14:$C$79,C934)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SUMIFS(RAB!$F$14:$F$79,RAB!$C$14:$C$79,C935)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SUMIFS(RAB!$F$14:$F$79,RAB!$C$14:$C$79,C936)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SUMIFS(RAB!$F$14:$F$79,RAB!$C$14:$C$79,C937)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SUMIFS(RAB!$F$14:$F$79,RAB!$C$14:$C$79,C938)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SUMIFS(RAB!$F$14:$F$79,RAB!$C$14:$C$79,C939)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SUMIFS(RAB!$F$14:$F$79,RAB!$C$14:$C$79,C940)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SUMIFS(RAB!$F$14:$F$79,RAB!$C$14:$C$79,C941)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SUMIFS(RAB!$F$14:$F$79,RAB!$C$14:$C$79,C942)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SUMIFS(RAB!$F$14:$F$79,RAB!$C$14:$C$79,C943)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SUMIFS(RAB!$F$14:$F$79,RAB!$C$14:$C$79,C944)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SUMIFS(RAB!$F$14:$F$79,RAB!$C$14:$C$79,C945)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SUMIFS(RAB!$F$14:$F$79,RAB!$C$14:$C$79,C946)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SUMIFS(RAB!$F$14:$F$79,RAB!$C$14:$C$79,C947)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SUMIFS(RAB!$F$14:$F$79,RAB!$C$14:$C$79,C948)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SUMIFS(RAB!$F$14:$F$79,RAB!$C$14:$C$79,C949)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SUMIFS(RAB!$F$14:$F$79,RAB!$C$14:$C$79,C950)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SUMIFS(RAB!$F$14:$F$79,RAB!$C$14:$C$79,C951)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SUMIFS(RAB!$F$14:$F$79,RAB!$C$14:$C$79,C952)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SUMIFS(RAB!$F$14:$F$79,RAB!$C$14:$C$79,C953)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SUMIFS(RAB!$F$14:$F$79,RAB!$C$14:$C$79,C954)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SUMIFS(RAB!$F$14:$F$79,RAB!$C$14:$C$79,C955)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SUMIFS(RAB!$F$14:$F$79,RAB!$C$14:$C$79,C956)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SUMIFS(RAB!$F$14:$F$79,RAB!$C$14:$C$79,C957)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SUMIFS(RAB!$F$14:$F$79,RAB!$C$14:$C$79,C958)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SUMIFS(RAB!$F$14:$F$79,RAB!$C$14:$C$79,C959)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SUMIFS(RAB!$F$14:$F$79,RAB!$C$14:$C$79,C960)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SUMIFS(RAB!$F$14:$F$79,RAB!$C$14:$C$79,C961)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SUMIFS(RAB!$F$14:$F$79,RAB!$C$14:$C$79,C962)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SUMIFS(RAB!$F$14:$F$79,RAB!$C$14:$C$79,C963)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SUMIFS(RAB!$F$14:$F$79,RAB!$C$14:$C$79,C964)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SUMIFS(RAB!$F$14:$F$79,RAB!$C$14:$C$79,C965)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SUMIFS(RAB!$F$14:$F$79,RAB!$C$14:$C$79,C966)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SUMIFS(RAB!$F$14:$F$79,RAB!$C$14:$C$79,C967)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SUMIFS(RAB!$F$14:$F$79,RAB!$C$14:$C$79,C968)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SUMIFS(RAB!$F$14:$F$79,RAB!$C$14:$C$79,C969)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SUMIFS(RAB!$F$14:$F$79,RAB!$C$14:$C$79,C970)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SUMIFS(RAB!$F$14:$F$79,RAB!$C$14:$C$79,C971)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SUMIFS(RAB!$F$14:$F$79,RAB!$C$14:$C$79,C972)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SUMIFS(RAB!$F$14:$F$79,RAB!$C$14:$C$79,C973)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SUMIFS(RAB!$F$14:$F$79,RAB!$C$14:$C$79,C974)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SUMIFS(RAB!$F$14:$F$79,RAB!$C$14:$C$79,C975)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SUMIFS(RAB!$F$14:$F$79,RAB!$C$14:$C$79,C976)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SUMIFS(RAB!$F$14:$F$79,RAB!$C$14:$C$79,C977)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SUMIFS(RAB!$F$14:$F$79,RAB!$C$14:$C$79,C978)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SUMIFS(RAB!$F$14:$F$79,RAB!$C$14:$C$79,C979)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SUMIFS(RAB!$F$14:$F$79,RAB!$C$14:$C$79,C980)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SUMIFS(RAB!$F$14:$F$79,RAB!$C$14:$C$79,C981)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SUMIFS(RAB!$F$14:$F$79,RAB!$C$14:$C$79,C982)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SUMIFS(RAB!$F$14:$F$79,RAB!$C$14:$C$79,C983)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SUMIFS(RAB!$F$14:$F$79,RAB!$C$14:$C$79,C984)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SUMIFS(RAB!$F$14:$F$79,RAB!$C$14:$C$79,C985)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SUMIFS(RAB!$F$14:$F$79,RAB!$C$14:$C$79,C986)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SUMIFS(RAB!$F$14:$F$79,RAB!$C$14:$C$79,C987)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SUMIFS(RAB!$F$14:$F$79,RAB!$C$14:$C$79,C988)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SUMIFS(RAB!$F$14:$F$79,RAB!$C$14:$C$79,C989)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SUMIFS(RAB!$F$14:$F$79,RAB!$C$14:$C$79,C990)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SUMIFS(RAB!$F$14:$F$79,RAB!$C$14:$C$79,C991)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SUMIFS(RAB!$F$14:$F$79,RAB!$C$14:$C$79,C992)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SUMIFS(RAB!$F$14:$F$79,RAB!$C$14:$C$79,C993)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SUMIFS(RAB!$F$14:$F$79,RAB!$C$14:$C$79,C994)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SUMIFS(RAB!$F$14:$F$79,RAB!$C$14:$C$79,C995)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SUMIFS(RAB!$F$14:$F$79,RAB!$C$14:$C$79,C996)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SUMIFS(RAB!$F$14:$F$79,RAB!$C$14:$C$79,C997)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SUMIFS(RAB!$F$14:$F$79,RAB!$C$14:$C$79,C998)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SUMIFS(RAB!$F$14:$F$79,RAB!$C$14:$C$79,C999)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SUMIFS(RAB!$F$14:$F$79,RAB!$C$14:$C$79,C1000)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SUMIFS(RAB!$F$14:$F$79,RAB!$C$14:$C$79,C1001)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SUMIFS(RAB!$F$14:$F$79,RAB!$C$14:$C$79,C1002)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SUMIFS(RAB!$F$14:$F$79,RAB!$C$14:$C$79,C1003)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SUMIFS(RAB!$F$14:$F$79,RAB!$C$14:$C$79,C1004)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SUMIFS(RAB!$F$14:$F$79,RAB!$C$14:$C$79,C1005)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SUMIFS(RAB!$F$14:$F$79,RAB!$C$14:$C$79,C1006)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SUMIFS(RAB!$F$14:$F$79,RAB!$C$14:$C$79,C1007)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SUMIFS(RAB!$F$14:$F$79,RAB!$C$14:$C$79,C1008)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SUMIFS(RAB!$F$14:$F$79,RAB!$C$14:$C$79,C1009)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SUMIFS(RAB!$F$14:$F$79,RAB!$C$14:$C$79,C1010)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SUMIFS(RAB!$F$14:$F$79,RAB!$C$14:$C$79,C1011)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SUMIFS(RAB!$F$14:$F$79,RAB!$C$14:$C$79,C1012)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SUMIFS(RAB!$F$14:$F$79,RAB!$C$14:$C$79,C1013)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SUMIFS(RAB!$F$14:$F$79,RAB!$C$14:$C$79,C1014)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SUMIFS(RAB!$F$14:$F$79,RAB!$C$14:$C$79,C1015)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SUMIFS(RAB!$F$14:$F$79,RAB!$C$14:$C$79,C1016)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SUMIFS(RAB!$F$14:$F$79,RAB!$C$14:$C$79,C1017)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SUMIFS(RAB!$F$14:$F$79,RAB!$C$14:$C$79,C1018)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SUMIFS(RAB!$F$14:$F$79,RAB!$C$14:$C$79,C1019)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SUMIFS(RAB!$F$14:$F$79,RAB!$C$14:$C$79,C1020)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SUMIFS(RAB!$F$14:$F$79,RAB!$C$14:$C$79,C1021)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SUMIFS(RAB!$F$14:$F$79,RAB!$C$14:$C$79,C1022)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SUMIFS(RAB!$F$14:$F$79,RAB!$C$14:$C$79,C1023)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SUMIFS(RAB!$F$14:$F$79,RAB!$C$14:$C$79,C1024)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SUMIFS(RAB!$F$14:$F$79,RAB!$C$14:$C$79,C1025)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SUMIFS(RAB!$F$14:$F$79,RAB!$C$14:$C$79,C1026)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SUMIFS(RAB!$F$14:$F$79,RAB!$C$14:$C$79,C1027)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SUMIFS(RAB!$F$14:$F$79,RAB!$C$14:$C$79,C1028)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SUMIFS(RAB!$F$14:$F$79,RAB!$C$14:$C$79,C1029)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SUMIFS(RAB!$F$14:$F$79,RAB!$C$14:$C$79,C1030)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SUMIFS(RAB!$F$14:$F$79,RAB!$C$14:$C$79,C1031)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SUMIFS(RAB!$F$14:$F$79,RAB!$C$14:$C$79,C1032)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SUMIFS(RAB!$F$14:$F$79,RAB!$C$14:$C$79,C1033)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SUMIFS(RAB!$F$14:$F$79,RAB!$C$14:$C$79,C1034)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SUMIFS(RAB!$F$14:$F$79,RAB!$C$14:$C$79,C1035)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SUMIFS(RAB!$F$14:$F$79,RAB!$C$14:$C$79,C1036)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SUMIFS(RAB!$F$14:$F$79,RAB!$C$14:$C$79,C1037)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SUMIFS(RAB!$F$14:$F$79,RAB!$C$14:$C$79,C1038)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SUMIFS(RAB!$F$14:$F$79,RAB!$C$14:$C$79,C1039)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SUMIFS(RAB!$F$14:$F$79,RAB!$C$14:$C$79,C1040)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SUMIFS(RAB!$F$14:$F$79,RAB!$C$14:$C$79,C1041)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SUMIFS(RAB!$F$14:$F$79,RAB!$C$14:$C$79,C1042)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SUMIFS(RAB!$F$14:$F$79,RAB!$C$14:$C$79,C1043)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SUMIFS(RAB!$F$14:$F$79,RAB!$C$14:$C$79,C1044)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SUMIFS(RAB!$F$14:$F$79,RAB!$C$14:$C$79,C1045)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SUMIFS(RAB!$F$14:$F$79,RAB!$C$14:$C$79,C1046)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SUMIFS(RAB!$F$14:$F$79,RAB!$C$14:$C$79,C1047)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SUMIFS(RAB!$F$14:$F$79,RAB!$C$14:$C$79,C1048)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SUMIFS(RAB!$F$14:$F$79,RAB!$C$14:$C$79,C1049)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SUMIFS(RAB!$F$14:$F$79,RAB!$C$14:$C$79,C1050)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SUMIFS(RAB!$F$14:$F$79,RAB!$C$14:$C$79,C1051)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SUMIFS(RAB!$F$14:$F$79,RAB!$C$14:$C$79,C1052)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SUMIFS(RAB!$F$14:$F$79,RAB!$C$14:$C$79,C1053)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SUMIFS(RAB!$F$14:$F$79,RAB!$C$14:$C$79,C1054)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SUMIFS(RAB!$F$14:$F$79,RAB!$C$14:$C$79,C1055)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SUMIFS(RAB!$F$14:$F$79,RAB!$C$14:$C$79,C1056)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SUMIFS(RAB!$F$14:$F$79,RAB!$C$14:$C$79,C1057)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SUMIFS(RAB!$F$14:$F$79,RAB!$C$14:$C$79,C1058)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SUMIFS(RAB!$F$14:$F$79,RAB!$C$14:$C$79,C1059)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SUMIFS(RAB!$F$14:$F$79,RAB!$C$14:$C$79,C1060)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SUMIFS(RAB!$F$14:$F$79,RAB!$C$14:$C$79,C1061)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SUMIFS(RAB!$F$14:$F$79,RAB!$C$14:$C$79,C1062)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SUMIFS(RAB!$F$14:$F$79,RAB!$C$14:$C$79,C1063)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SUMIFS(RAB!$F$14:$F$79,RAB!$C$14:$C$79,C1064)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SUMIFS(RAB!$F$14:$F$79,RAB!$C$14:$C$79,C1065)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SUMIFS(RAB!$F$14:$F$79,RAB!$C$14:$C$79,C1066)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SUMIFS(RAB!$F$14:$F$79,RAB!$C$14:$C$79,C1067)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SUMIFS(RAB!$F$14:$F$79,RAB!$C$14:$C$79,C1068)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SUMIFS(RAB!$F$14:$F$79,RAB!$C$14:$C$79,C1069)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SUMIFS(RAB!$F$14:$F$79,RAB!$C$14:$C$79,C1070)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SUMIFS(RAB!$F$14:$F$79,RAB!$C$14:$C$79,C1071)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SUMIFS(RAB!$F$14:$F$79,RAB!$C$14:$C$79,C1072)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SUMIFS(RAB!$F$14:$F$79,RAB!$C$14:$C$79,C1073)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SUMIFS(RAB!$F$14:$F$79,RAB!$C$14:$C$79,C1074)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SUMIFS(RAB!$F$14:$F$79,RAB!$C$14:$C$79,C1075)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SUMIFS(RAB!$F$14:$F$79,RAB!$C$14:$C$79,C1076)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SUMIFS(RAB!$F$14:$F$79,RAB!$C$14:$C$79,C1077)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SUMIFS(RAB!$F$14:$F$79,RAB!$C$14:$C$79,C1078)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SUMIFS(RAB!$F$14:$F$79,RAB!$C$14:$C$79,C1079)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SUMIFS(RAB!$F$14:$F$79,RAB!$C$14:$C$79,C1080)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SUMIFS(RAB!$F$14:$F$79,RAB!$C$14:$C$79,C1081)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SUMIFS(RAB!$F$14:$F$79,RAB!$C$14:$C$79,C1082)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SUMIFS(RAB!$F$14:$F$79,RAB!$C$14:$C$79,C1083)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SUMIFS(RAB!$F$14:$F$79,RAB!$C$14:$C$79,C1084)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SUMIFS(RAB!$F$14:$F$79,RAB!$C$14:$C$79,C1085)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SUMIFS(RAB!$F$14:$F$79,RAB!$C$14:$C$79,C1086)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SUMIFS(RAB!$F$14:$F$79,RAB!$C$14:$C$79,C1087)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SUMIFS(RAB!$F$14:$F$79,RAB!$C$14:$C$79,C1088)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SUMIFS(RAB!$F$14:$F$79,RAB!$C$14:$C$79,C1089)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SUMIFS(RAB!$F$14:$F$79,RAB!$C$14:$C$79,C1090)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SUMIFS(RAB!$F$14:$F$79,RAB!$C$14:$C$79,C1091)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SUMIFS(RAB!$F$14:$F$79,RAB!$C$14:$C$79,C1092)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SUMIFS(RAB!$F$14:$F$79,RAB!$C$14:$C$79,C1093)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SUMIFS(RAB!$F$14:$F$79,RAB!$C$14:$C$79,C1094)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SUMIFS(RAB!$F$14:$F$79,RAB!$C$14:$C$79,C1095)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SUMIFS(RAB!$F$14:$F$79,RAB!$C$14:$C$79,C1096)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SUMIFS(RAB!$F$14:$F$79,RAB!$C$14:$C$79,C1097)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SUMIFS(RAB!$F$14:$F$79,RAB!$C$14:$C$79,C1098)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SUMIFS(RAB!$F$14:$F$79,RAB!$C$14:$C$79,C1099)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SUMIFS(RAB!$F$14:$F$79,RAB!$C$14:$C$79,C1100)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SUMIFS(RAB!$F$14:$F$79,RAB!$C$14:$C$79,C1101)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SUMIFS(RAB!$F$14:$F$79,RAB!$C$14:$C$79,C1102)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SUMIFS(RAB!$F$14:$F$79,RAB!$C$14:$C$79,C1103)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SUMIFS(RAB!$F$14:$F$79,RAB!$C$14:$C$79,C1104)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SUMIFS(RAB!$F$14:$F$79,RAB!$C$14:$C$79,C1105)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SUMIFS(RAB!$F$14:$F$79,RAB!$C$14:$C$79,C1106)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SUMIFS(RAB!$F$14:$F$79,RAB!$C$14:$C$79,C1107)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SUMIFS(RAB!$F$14:$F$79,RAB!$C$14:$C$79,C1108)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SUMIFS(RAB!$F$14:$F$79,RAB!$C$14:$C$79,C1109)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SUMIFS(RAB!$F$14:$F$79,RAB!$C$14:$C$79,C1110)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SUMIFS(RAB!$F$14:$F$79,RAB!$C$14:$C$79,C1111)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SUMIFS(RAB!$F$14:$F$79,RAB!$C$14:$C$79,C1112)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SUMIFS(RAB!$F$14:$F$79,RAB!$C$14:$C$79,C1113)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SUMIFS(RAB!$F$14:$F$79,RAB!$C$14:$C$79,C1114)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SUMIFS(RAB!$F$14:$F$79,RAB!$C$14:$C$79,C1115)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SUMIFS(RAB!$F$14:$F$79,RAB!$C$14:$C$79,C1116)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SUMIFS(RAB!$F$14:$F$79,RAB!$C$14:$C$79,C1117)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SUMIFS(RAB!$F$14:$F$79,RAB!$C$14:$C$79,C1118)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SUMIFS(RAB!$F$14:$F$79,RAB!$C$14:$C$79,C1119)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SUMIFS(RAB!$F$14:$F$79,RAB!$C$14:$C$79,C1120)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SUMIFS(RAB!$F$14:$F$79,RAB!$C$14:$C$79,C1121)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SUMIFS(RAB!$F$14:$F$79,RAB!$C$14:$C$79,C1122)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SUMIFS(RAB!$F$14:$F$79,RAB!$C$14:$C$79,C1123)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SUMIFS(RAB!$F$14:$F$79,RAB!$C$14:$C$79,C1124)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SUMIFS(RAB!$F$14:$F$79,RAB!$C$14:$C$79,C1125)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SUMIFS(RAB!$F$14:$F$79,RAB!$C$14:$C$79,C1126)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SUMIFS(RAB!$F$14:$F$79,RAB!$C$14:$C$79,C1127)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SUMIFS(RAB!$F$14:$F$79,RAB!$C$14:$C$79,C1128)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SUMIFS(RAB!$F$14:$F$79,RAB!$C$14:$C$79,C1129)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SUMIFS(RAB!$F$14:$F$79,RAB!$C$14:$C$79,C1130)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SUMIFS(RAB!$F$14:$F$79,RAB!$C$14:$C$79,C1131)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SUMIFS(RAB!$F$14:$F$79,RAB!$C$14:$C$79,C1132)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SUMIFS(RAB!$F$14:$F$79,RAB!$C$14:$C$79,C1133)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SUMIFS(RAB!$F$14:$F$79,RAB!$C$14:$C$79,C1134)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SUMIFS(RAB!$F$14:$F$79,RAB!$C$14:$C$79,C1135)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SUMIFS(RAB!$F$14:$F$79,RAB!$C$14:$C$79,C1136)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SUMIFS(RAB!$F$14:$F$79,RAB!$C$14:$C$79,C1137)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SUMIFS(RAB!$F$14:$F$79,RAB!$C$14:$C$79,C1138)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SUMIFS(RAB!$F$14:$F$79,RAB!$C$14:$C$79,C1139)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SUMIFS(RAB!$F$14:$F$79,RAB!$C$14:$C$79,C1140)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SUMIFS(RAB!$F$14:$F$79,RAB!$C$14:$C$79,C1141)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SUMIFS(RAB!$F$14:$F$79,RAB!$C$14:$C$79,C1142)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SUMIFS(RAB!$F$14:$F$79,RAB!$C$14:$C$79,C1143)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SUMIFS(RAB!$F$14:$F$79,RAB!$C$14:$C$79,C1144)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SUMIFS(RAB!$F$14:$F$79,RAB!$C$14:$C$79,C1145)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SUMIFS(RAB!$F$14:$F$79,RAB!$C$14:$C$79,C1146)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SUMIFS(RAB!$F$14:$F$79,RAB!$C$14:$C$79,C1147)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SUMIFS(RAB!$F$14:$F$79,RAB!$C$14:$C$79,C1148)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SUMIFS(RAB!$F$14:$F$79,RAB!$C$14:$C$79,C1149)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SUMIFS(RAB!$F$14:$F$79,RAB!$C$14:$C$79,C1150)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SUMIFS(RAB!$F$14:$F$79,RAB!$C$14:$C$79,C1151)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SUMIFS(RAB!$F$14:$F$79,RAB!$C$14:$C$79,C1152)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SUMIFS(RAB!$F$14:$F$79,RAB!$C$14:$C$79,C1153)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SUMIFS(RAB!$F$14:$F$79,RAB!$C$14:$C$79,C1154)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SUMIFS(RAB!$F$14:$F$79,RAB!$C$14:$C$79,C1155)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SUMIFS(RAB!$F$14:$F$79,RAB!$C$14:$C$79,C1156)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SUMIFS(RAB!$F$14:$F$79,RAB!$C$14:$C$79,C1157)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SUMIFS(RAB!$F$14:$F$79,RAB!$C$14:$C$79,C1158)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SUMIFS(RAB!$F$14:$F$79,RAB!$C$14:$C$79,C1159)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SUMIFS(RAB!$F$14:$F$79,RAB!$C$14:$C$79,C1160)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SUMIFS(RAB!$F$14:$F$79,RAB!$C$14:$C$79,C1161)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SUMIFS(RAB!$F$14:$F$79,RAB!$C$14:$C$79,C1162)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SUMIFS(RAB!$F$14:$F$79,RAB!$C$14:$C$79,C1163)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SUMIFS(RAB!$F$14:$F$79,RAB!$C$14:$C$79,C1164)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SUMIFS(RAB!$F$14:$F$79,RAB!$C$14:$C$79,C1165)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SUMIFS(RAB!$F$14:$F$79,RAB!$C$14:$C$79,C1166)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SUMIFS(RAB!$F$14:$F$79,RAB!$C$14:$C$79,C1167)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SUMIFS(RAB!$F$14:$F$79,RAB!$C$14:$C$79,C1168)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SUMIFS(RAB!$F$14:$F$79,RAB!$C$14:$C$79,C1169)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SUMIFS(RAB!$F$14:$F$79,RAB!$C$14:$C$79,C1170)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SUMIFS(RAB!$F$14:$F$79,RAB!$C$14:$C$79,C1171)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SUMIFS(RAB!$F$14:$F$79,RAB!$C$14:$C$79,C1172)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SUMIFS(RAB!$F$14:$F$79,RAB!$C$14:$C$79,C1173)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SUMIFS(RAB!$F$14:$F$79,RAB!$C$14:$C$79,C1174)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SUMIFS(RAB!$F$14:$F$79,RAB!$C$14:$C$79,C1175)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SUMIFS(RAB!$F$14:$F$79,RAB!$C$14:$C$79,C1176)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SUMIFS(RAB!$F$14:$F$79,RAB!$C$14:$C$79,C1177)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SUMIFS(RAB!$F$14:$F$79,RAB!$C$14:$C$79,C1178)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SUMIFS(RAB!$F$14:$F$79,RAB!$C$14:$C$79,C1179)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SUMIFS(RAB!$F$14:$F$79,RAB!$C$14:$C$79,C1180)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SUMIFS(RAB!$F$14:$F$79,RAB!$C$14:$C$79,C1181)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SUMIFS(RAB!$F$14:$F$79,RAB!$C$14:$C$79,C1182)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SUMIFS(RAB!$F$14:$F$79,RAB!$C$14:$C$79,C1183)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SUMIFS(RAB!$F$14:$F$79,RAB!$C$14:$C$79,C1184)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SUMIFS(RAB!$F$14:$F$79,RAB!$C$14:$C$79,C1185)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SUMIFS(RAB!$F$14:$F$79,RAB!$C$14:$C$79,C1186)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SUMIFS(RAB!$F$14:$F$79,RAB!$C$14:$C$79,C1187)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SUMIFS(RAB!$F$14:$F$79,RAB!$C$14:$C$79,C1188)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SUMIFS(RAB!$F$14:$F$79,RAB!$C$14:$C$79,C1189)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SUMIFS(RAB!$F$14:$F$79,RAB!$C$14:$C$79,C1190)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SUMIFS(RAB!$F$14:$F$79,RAB!$C$14:$C$79,C1191)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SUMIFS(RAB!$F$14:$F$79,RAB!$C$14:$C$79,C1192)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SUMIFS(RAB!$F$14:$F$79,RAB!$C$14:$C$79,C1193)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SUMIFS(RAB!$F$14:$F$79,RAB!$C$14:$C$79,C1194)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SUMIFS(RAB!$F$14:$F$79,RAB!$C$14:$C$79,C1195)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SUMIFS(RAB!$F$14:$F$79,RAB!$C$14:$C$79,C1196)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SUMIFS(RAB!$F$14:$F$79,RAB!$C$14:$C$79,C1197)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SUMIFS(RAB!$F$14:$F$79,RAB!$C$14:$C$79,C1198)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SUMIFS(RAB!$F$14:$F$79,RAB!$C$14:$C$79,C1199)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SUMIFS(RAB!$F$14:$F$79,RAB!$C$14:$C$79,C1200)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SUMIFS(RAB!$F$14:$F$79,RAB!$C$14:$C$79,C1201)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SUMIFS(RAB!$F$14:$F$79,RAB!$C$14:$C$79,C1202)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SUMIFS(RAB!$F$14:$F$79,RAB!$C$14:$C$79,C1203)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SUMIFS(RAB!$F$14:$F$79,RAB!$C$14:$C$79,C1204)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SUMIFS(RAB!$F$14:$F$79,RAB!$C$14:$C$79,C1205)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SUMIFS(RAB!$F$14:$F$79,RAB!$C$14:$C$79,C1206)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SUMIFS(RAB!$F$14:$F$79,RAB!$C$14:$C$79,C1207)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SUMIFS(RAB!$F$14:$F$79,RAB!$C$14:$C$79,C1208)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SUMIFS(RAB!$F$14:$F$79,RAB!$C$14:$C$79,C1209)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SUMIFS(RAB!$F$14:$F$79,RAB!$C$14:$C$79,C1210)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SUMIFS(RAB!$F$14:$F$79,RAB!$C$14:$C$79,C1211)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SUMIFS(RAB!$F$14:$F$79,RAB!$C$14:$C$79,C1212)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SUMIFS(RAB!$F$14:$F$79,RAB!$C$14:$C$79,C1213)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SUMIFS(RAB!$F$14:$F$79,RAB!$C$14:$C$79,C1214)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SUMIFS(RAB!$F$14:$F$79,RAB!$C$14:$C$79,C1215)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SUMIFS(RAB!$F$14:$F$79,RAB!$C$14:$C$79,C1216)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SUMIFS(RAB!$F$14:$F$79,RAB!$C$14:$C$79,C1217)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SUMIFS(RAB!$F$14:$F$79,RAB!$C$14:$C$79,C1218)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SUMIFS(RAB!$F$14:$F$79,RAB!$C$14:$C$79,C1219)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SUMIFS(RAB!$F$14:$F$79,RAB!$C$14:$C$79,C1220)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SUMIFS(RAB!$F$14:$F$79,RAB!$C$14:$C$79,C1221)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SUMIFS(RAB!$F$14:$F$79,RAB!$C$14:$C$79,C1222)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SUMIFS(RAB!$F$14:$F$79,RAB!$C$14:$C$79,C1223)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SUMIFS(RAB!$F$14:$F$79,RAB!$C$14:$C$79,C1224)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SUMIFS(RAB!$F$14:$F$79,RAB!$C$14:$C$79,C1225)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SUMIFS(RAB!$F$14:$F$79,RAB!$C$14:$C$79,C1226)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SUMIFS(RAB!$F$14:$F$79,RAB!$C$14:$C$79,C1227)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SUMIFS(RAB!$F$14:$F$79,RAB!$C$14:$C$79,C1228)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SUMIFS(RAB!$F$14:$F$79,RAB!$C$14:$C$79,C1229)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SUMIFS(RAB!$F$14:$F$79,RAB!$C$14:$C$79,C1230)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SUMIFS(RAB!$F$14:$F$79,RAB!$C$14:$C$79,C1231)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SUMIFS(RAB!$F$14:$F$79,RAB!$C$14:$C$79,C1232)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SUMIFS(RAB!$F$14:$F$79,RAB!$C$14:$C$79,C1233)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SUMIFS(RAB!$F$14:$F$79,RAB!$C$14:$C$79,C1234)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SUMIFS(RAB!$F$14:$F$79,RAB!$C$14:$C$79,C1235)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SUMIFS(RAB!$F$14:$F$79,RAB!$C$14:$C$79,C1236)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SUMIFS(RAB!$F$14:$F$79,RAB!$C$14:$C$79,C1237)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SUMIFS(RAB!$F$14:$F$79,RAB!$C$14:$C$79,C1238)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SUMIFS(RAB!$F$14:$F$79,RAB!$C$14:$C$79,C1239)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SUMIFS(RAB!$F$14:$F$79,RAB!$C$14:$C$79,C1240)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SUMIFS(RAB!$F$14:$F$79,RAB!$C$14:$C$79,C1241)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SUMIFS(RAB!$F$14:$F$79,RAB!$C$14:$C$79,C1242)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SUMIFS(RAB!$F$14:$F$79,RAB!$C$14:$C$79,C1243)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SUMIFS(RAB!$F$14:$F$79,RAB!$C$14:$C$79,C1244)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SUMIFS(RAB!$F$14:$F$79,RAB!$C$14:$C$79,C1245)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SUMIFS(RAB!$F$14:$F$79,RAB!$C$14:$C$79,C1246)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SUMIFS(RAB!$F$14:$F$79,RAB!$C$14:$C$79,C1247)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SUMIFS(RAB!$F$14:$F$79,RAB!$C$14:$C$79,C1248)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SUMIFS(RAB!$F$14:$F$79,RAB!$C$14:$C$79,C1249)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SUMIFS(RAB!$F$14:$F$79,RAB!$C$14:$C$79,C1250)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SUMIFS(RAB!$F$14:$F$79,RAB!$C$14:$C$79,C1251)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SUMIFS(RAB!$F$14:$F$79,RAB!$C$14:$C$79,C1252)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SUMIFS(RAB!$F$14:$F$79,RAB!$C$14:$C$79,C1253)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SUMIFS(RAB!$F$14:$F$79,RAB!$C$14:$C$79,C1254)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SUMIFS(RAB!$F$14:$F$79,RAB!$C$14:$C$79,C1255)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SUMIFS(RAB!$F$14:$F$79,RAB!$C$14:$C$79,C1256)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SUMIFS(RAB!$F$14:$F$79,RAB!$C$14:$C$79,C1257)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SUMIFS(RAB!$F$14:$F$79,RAB!$C$14:$C$79,C1258)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SUMIFS(RAB!$F$14:$F$79,RAB!$C$14:$C$79,C1259)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SUMIFS(RAB!$F$14:$F$79,RAB!$C$14:$C$79,C1260)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SUMIFS(RAB!$F$14:$F$79,RAB!$C$14:$C$79,C1261)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SUMIFS(RAB!$F$14:$F$79,RAB!$C$14:$C$79,C1262)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SUMIFS(RAB!$F$14:$F$79,RAB!$C$14:$C$79,C1263)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SUMIFS(RAB!$F$14:$F$79,RAB!$C$14:$C$79,C1264)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SUMIFS(RAB!$F$14:$F$79,RAB!$C$14:$C$79,C1265)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SUMIFS(RAB!$F$14:$F$79,RAB!$C$14:$C$79,C1266)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SUMIFS(RAB!$F$14:$F$79,RAB!$C$14:$C$79,C1267)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SUMIFS(RAB!$F$14:$F$79,RAB!$C$14:$C$79,C1268)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SUMIFS(RAB!$F$14:$F$79,RAB!$C$14:$C$79,C1269)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SUMIFS(RAB!$F$14:$F$79,RAB!$C$14:$C$79,C1270)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SUMIFS(RAB!$F$14:$F$79,RAB!$C$14:$C$79,C1271)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SUMIFS(RAB!$F$14:$F$79,RAB!$C$14:$C$79,C1272)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SUMIFS(RAB!$F$14:$F$79,RAB!$C$14:$C$79,C1273)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SUMIFS(RAB!$F$14:$F$79,RAB!$C$14:$C$79,C1274)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SUMIFS(RAB!$F$14:$F$79,RAB!$C$14:$C$79,C1275)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SUMIFS(RAB!$F$14:$F$79,RAB!$C$14:$C$79,C1276)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SUMIFS(RAB!$F$14:$F$79,RAB!$C$14:$C$79,C1277)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SUMIFS(RAB!$F$14:$F$79,RAB!$C$14:$C$79,C1278)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SUMIFS(RAB!$F$14:$F$79,RAB!$C$14:$C$79,C1279)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SUMIFS(RAB!$F$14:$F$79,RAB!$C$14:$C$79,C1280)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SUMIFS(RAB!$F$14:$F$79,RAB!$C$14:$C$79,C1281)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SUMIFS(RAB!$F$14:$F$79,RAB!$C$14:$C$79,C1282)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SUMIFS(RAB!$F$14:$F$79,RAB!$C$14:$C$79,C1283)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SUMIFS(RAB!$F$14:$F$79,RAB!$C$14:$C$79,C1284)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SUMIFS(RAB!$F$14:$F$79,RAB!$C$14:$C$79,C1285)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SUMIFS(RAB!$F$14:$F$79,RAB!$C$14:$C$79,C1286)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SUMIFS(RAB!$F$14:$F$79,RAB!$C$14:$C$79,C1287)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SUMIFS(RAB!$F$14:$F$79,RAB!$C$14:$C$79,C1288)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SUMIFS(RAB!$F$14:$F$79,RAB!$C$14:$C$79,C1289)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SUMIFS(RAB!$F$14:$F$79,RAB!$C$14:$C$79,C1290)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SUMIFS(RAB!$F$14:$F$79,RAB!$C$14:$C$79,C1291)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SUMIFS(RAB!$F$14:$F$79,RAB!$C$14:$C$79,C1292)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SUMIFS(RAB!$F$14:$F$79,RAB!$C$14:$C$79,C1293)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SUMIFS(RAB!$F$14:$F$79,RAB!$C$14:$C$79,C1294)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SUMIFS(RAB!$F$14:$F$79,RAB!$C$14:$C$79,C1295)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SUMIFS(RAB!$F$14:$F$79,RAB!$C$14:$C$79,C1296)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SUMIFS(RAB!$F$14:$F$79,RAB!$C$14:$C$79,C1297)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SUMIFS(RAB!$F$14:$F$79,RAB!$C$14:$C$79,C1298)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SUMIFS(RAB!$F$14:$F$79,RAB!$C$14:$C$79,C1299)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SUMIFS(RAB!$F$14:$F$79,RAB!$C$14:$C$79,C1300)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SUMIFS(RAB!$F$14:$F$79,RAB!$C$14:$C$79,C1301)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SUMIFS(RAB!$F$14:$F$79,RAB!$C$14:$C$79,C1302)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SUMIFS(RAB!$F$14:$F$79,RAB!$C$14:$C$79,C1303)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SUMIFS(RAB!$F$14:$F$79,RAB!$C$14:$C$79,C1304)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SUMIFS(RAB!$F$14:$F$79,RAB!$C$14:$C$79,C1305)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SUMIFS(RAB!$F$14:$F$79,RAB!$C$14:$C$79,C1306)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SUMIFS(RAB!$F$14:$F$79,RAB!$C$14:$C$79,C1307)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SUMIFS(RAB!$F$14:$F$79,RAB!$C$14:$C$79,C1308)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SUMIFS(RAB!$F$14:$F$79,RAB!$C$14:$C$79,C1309)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SUMIFS(RAB!$F$14:$F$79,RAB!$C$14:$C$79,C1310)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SUMIFS(RAB!$F$14:$F$79,RAB!$C$14:$C$79,C1311)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SUMIFS(RAB!$F$14:$F$79,RAB!$C$14:$C$79,C1312)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SUMIFS(RAB!$F$14:$F$79,RAB!$C$14:$C$79,C1313)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SUMIFS(RAB!$F$14:$F$79,RAB!$C$14:$C$79,C1314)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SUMIFS(RAB!$F$14:$F$79,RAB!$C$14:$C$79,C1315)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SUMIFS(RAB!$F$14:$F$79,RAB!$C$14:$C$79,C1316)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SUMIFS(RAB!$F$14:$F$79,RAB!$C$14:$C$79,C1317)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SUMIFS(RAB!$F$14:$F$79,RAB!$C$14:$C$79,C1318)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SUMIFS(RAB!$F$14:$F$79,RAB!$C$14:$C$79,C1319)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SUMIFS(RAB!$F$14:$F$79,RAB!$C$14:$C$79,C1320)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8" t="s">
        <v>1097</v>
      </c>
      <c r="C4" s="518"/>
      <c r="D4" s="518"/>
      <c r="E4" s="518"/>
      <c r="F4" s="518"/>
      <c r="G4" s="518"/>
      <c r="H4" s="518"/>
      <c r="I4" s="518"/>
      <c r="J4" s="518"/>
      <c r="K4" s="51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42" t="str">
        <f>RAB!G6</f>
        <v>RYAN GHOZALI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DS MARGOHAYU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9" t="s">
        <v>0</v>
      </c>
      <c r="C11" s="521" t="s">
        <v>1</v>
      </c>
      <c r="D11" s="524" t="s">
        <v>32</v>
      </c>
      <c r="E11" s="524" t="s">
        <v>33</v>
      </c>
      <c r="F11" s="524" t="s">
        <v>2</v>
      </c>
      <c r="G11" s="526" t="s">
        <v>31</v>
      </c>
      <c r="H11" s="524" t="s">
        <v>3</v>
      </c>
      <c r="I11" s="524"/>
      <c r="J11" s="524"/>
      <c r="K11" s="529"/>
      <c r="M11" s="33"/>
      <c r="N11" s="33"/>
      <c r="O11" s="33"/>
      <c r="P11" s="33"/>
      <c r="R11" s="34"/>
      <c r="S11" s="74"/>
      <c r="T11" s="74"/>
    </row>
    <row r="12" spans="1:21" ht="15" customHeight="1">
      <c r="B12" s="520"/>
      <c r="C12" s="522"/>
      <c r="D12" s="525"/>
      <c r="E12" s="525"/>
      <c r="F12" s="525"/>
      <c r="G12" s="527"/>
      <c r="H12" s="533" t="s">
        <v>36</v>
      </c>
      <c r="I12" s="533" t="s">
        <v>5</v>
      </c>
      <c r="J12" s="525" t="s">
        <v>37</v>
      </c>
      <c r="K12" s="53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0"/>
      <c r="C13" s="523"/>
      <c r="D13" s="525"/>
      <c r="E13" s="525"/>
      <c r="F13" s="525"/>
      <c r="G13" s="528"/>
      <c r="H13" s="534"/>
      <c r="I13" s="534"/>
      <c r="J13" s="525"/>
      <c r="K13" s="53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3" t="s">
        <v>980</v>
      </c>
      <c r="D38" s="543"/>
      <c r="E38" s="543"/>
      <c r="F38" s="54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4" t="s">
        <v>452</v>
      </c>
      <c r="D39" s="544"/>
      <c r="E39" s="544"/>
      <c r="F39" s="54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5" t="s">
        <v>453</v>
      </c>
      <c r="D40" s="535"/>
      <c r="E40" s="535"/>
      <c r="F40" s="53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6" t="e">
        <f ca="1">"Terbilang : ( "&amp;L42&amp;" Rupiah )"</f>
        <v>#NAME?</v>
      </c>
      <c r="C41" s="537"/>
      <c r="D41" s="537"/>
      <c r="E41" s="537"/>
      <c r="F41" s="537"/>
      <c r="G41" s="537"/>
      <c r="H41" s="537"/>
      <c r="I41" s="537"/>
      <c r="J41" s="537"/>
      <c r="K41" s="538"/>
      <c r="L41" s="44"/>
      <c r="R41" s="58"/>
      <c r="S41" s="58"/>
      <c r="T41" s="58"/>
    </row>
    <row r="42" spans="1:20" s="36" customFormat="1">
      <c r="A42" s="30"/>
      <c r="B42" s="539"/>
      <c r="C42" s="540"/>
      <c r="D42" s="540"/>
      <c r="E42" s="540"/>
      <c r="F42" s="540"/>
      <c r="G42" s="540"/>
      <c r="H42" s="540"/>
      <c r="I42" s="540"/>
      <c r="J42" s="540"/>
      <c r="K42" s="541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SUMIFS(RAB!$F$14:$F$79,RAB!$C$14:$C$79,'REKAP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SUMIFS(RAB!$F$14:$F$79,RAB!$C$14:$C$79,'REKAP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SUMIFS(RAB!$F$14:$F$79,RAB!$C$14:$C$79,'REKAP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SUMIFS(RAB!$F$14:$F$79,RAB!$C$14:$C$79,'REKAP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SUMIFS(RAB!$F$14:$F$79,RAB!$C$14:$C$79,'REKAP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SUMIFS(RAB!$F$14:$F$79,RAB!$C$14:$C$79,'REKAP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SUMIFS(RAB!$F$14:$F$79,RAB!$C$14:$C$79,'REKAP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SUMIFS(RAB!$F$14:$F$79,RAB!$C$14:$C$79,'REKAP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SUMIFS(RAB!$F$14:$F$79,RAB!$C$14:$C$79,'REKAP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SUMIFS(RAB!$F$14:$F$79,RAB!$C$14:$C$79,'REKAP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SUMIFS(RAB!$F$14:$F$79,RAB!$C$14:$C$79,'REKAP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SUMIFS(RAB!$F$14:$F$79,RAB!$C$14:$C$79,'REKAP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SUMIFS(RAB!$F$14:$F$79,RAB!$C$14:$C$79,'REKAP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SUMIFS(RAB!$F$14:$F$79,RAB!$C$14:$C$79,'REKAP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SUMIFS(RAB!$F$14:$F$79,RAB!$C$14:$C$79,'REKAP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SUMIFS(RAB!$F$14:$F$79,RAB!$C$14:$C$79,'REKAP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SUMIFS(RAB!$F$14:$F$79,RAB!$C$14:$C$79,'REKAP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SUMIFS(RAB!$F$14:$F$79,RAB!$C$14:$C$79,'REKAP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SUMIFS(RAB!$F$14:$F$79,RAB!$C$14:$C$79,'REKAP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SUMIFS(RAB!$F$14:$F$79,RAB!$C$14:$C$79,'REKAP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8" t="s">
        <v>1004</v>
      </c>
      <c r="C4" s="518"/>
      <c r="D4" s="518"/>
      <c r="E4" s="518"/>
      <c r="F4" s="518"/>
      <c r="G4" s="518"/>
      <c r="H4" s="518"/>
      <c r="I4" s="518"/>
      <c r="J4" s="518"/>
      <c r="K4" s="51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42" t="str">
        <f>RAB!G6</f>
        <v>RYAN GHOZALI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DS MARGOHAYU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9" t="s">
        <v>0</v>
      </c>
      <c r="C11" s="521" t="s">
        <v>1</v>
      </c>
      <c r="D11" s="524" t="s">
        <v>32</v>
      </c>
      <c r="E11" s="524" t="s">
        <v>33</v>
      </c>
      <c r="F11" s="524" t="s">
        <v>2</v>
      </c>
      <c r="G11" s="526" t="s">
        <v>31</v>
      </c>
      <c r="H11" s="524" t="s">
        <v>3</v>
      </c>
      <c r="I11" s="524"/>
      <c r="J11" s="524"/>
      <c r="K11" s="529"/>
      <c r="M11" s="33"/>
      <c r="N11" s="33"/>
      <c r="O11" s="33"/>
      <c r="P11" s="33"/>
      <c r="R11" s="34"/>
      <c r="S11" s="74"/>
      <c r="T11" s="74"/>
    </row>
    <row r="12" spans="1:21" ht="15" customHeight="1">
      <c r="B12" s="520"/>
      <c r="C12" s="522"/>
      <c r="D12" s="525"/>
      <c r="E12" s="525"/>
      <c r="F12" s="525"/>
      <c r="G12" s="527"/>
      <c r="H12" s="533" t="s">
        <v>36</v>
      </c>
      <c r="I12" s="533" t="s">
        <v>5</v>
      </c>
      <c r="J12" s="525" t="s">
        <v>37</v>
      </c>
      <c r="K12" s="53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0"/>
      <c r="C13" s="523"/>
      <c r="D13" s="525"/>
      <c r="E13" s="525"/>
      <c r="F13" s="525"/>
      <c r="G13" s="528"/>
      <c r="H13" s="534"/>
      <c r="I13" s="534"/>
      <c r="J13" s="525"/>
      <c r="K13" s="53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150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8175000</v>
      </c>
      <c r="I22" s="42">
        <f t="shared" ca="1" si="2"/>
        <v>0</v>
      </c>
      <c r="J22" s="42">
        <f t="shared" ca="1" si="3"/>
        <v>0</v>
      </c>
      <c r="K22" s="43">
        <f t="shared" ca="1" si="0"/>
        <v>8175000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35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472500</v>
      </c>
      <c r="I23" s="42">
        <f t="shared" ca="1" si="2"/>
        <v>0</v>
      </c>
      <c r="J23" s="42">
        <f t="shared" ca="1" si="3"/>
        <v>0</v>
      </c>
      <c r="K23" s="43">
        <f t="shared" ca="1" si="0"/>
        <v>472500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3" t="s">
        <v>980</v>
      </c>
      <c r="D168" s="543"/>
      <c r="E168" s="543"/>
      <c r="F168" s="543"/>
      <c r="G168" s="77" t="s">
        <v>9</v>
      </c>
      <c r="H168" s="55">
        <f ca="1">SUM(H14:H167)</f>
        <v>61247250</v>
      </c>
      <c r="I168" s="55">
        <f ca="1">SUM(I14:I167)</f>
        <v>0</v>
      </c>
      <c r="J168" s="55">
        <f ca="1">SUM(J14:J167)</f>
        <v>0</v>
      </c>
      <c r="K168" s="55">
        <f ca="1">SUM(K14:K167)</f>
        <v>61247250</v>
      </c>
      <c r="L168" s="44"/>
      <c r="R168" s="99"/>
      <c r="S168" s="99"/>
      <c r="T168" s="99"/>
    </row>
    <row r="169" spans="1:20" s="36" customFormat="1">
      <c r="A169" s="30"/>
      <c r="B169" s="56"/>
      <c r="C169" s="544" t="s">
        <v>452</v>
      </c>
      <c r="D169" s="544"/>
      <c r="E169" s="544"/>
      <c r="F169" s="544"/>
      <c r="G169" s="59" t="s">
        <v>9</v>
      </c>
      <c r="H169" s="60">
        <f ca="1">H168*0.1</f>
        <v>6124725</v>
      </c>
      <c r="I169" s="60">
        <f ca="1">I168*0.1</f>
        <v>0</v>
      </c>
      <c r="J169" s="60">
        <f ca="1">J168*0.1</f>
        <v>0</v>
      </c>
      <c r="K169" s="60">
        <f ca="1">K168*0.1</f>
        <v>6124725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5" t="s">
        <v>453</v>
      </c>
      <c r="D170" s="535"/>
      <c r="E170" s="535"/>
      <c r="F170" s="535"/>
      <c r="G170" s="61" t="s">
        <v>9</v>
      </c>
      <c r="H170" s="78">
        <f ca="1">SUM(H168:H169)</f>
        <v>67371975</v>
      </c>
      <c r="I170" s="78">
        <f ca="1">SUM(I168:I169)</f>
        <v>0</v>
      </c>
      <c r="J170" s="61">
        <f ca="1">SUM(J168:J169)</f>
        <v>0</v>
      </c>
      <c r="K170" s="61">
        <f ca="1">SUM(K168:K169)</f>
        <v>67371975</v>
      </c>
      <c r="L170" s="44"/>
      <c r="R170" s="99"/>
      <c r="S170" s="99"/>
      <c r="T170" s="99"/>
    </row>
    <row r="171" spans="1:20" s="36" customFormat="1">
      <c r="A171" s="30"/>
      <c r="B171" s="536" t="e">
        <f ca="1">"Terbilang : ( "&amp;L172&amp;" Rupiah )"</f>
        <v>#NAME?</v>
      </c>
      <c r="C171" s="537"/>
      <c r="D171" s="537"/>
      <c r="E171" s="537"/>
      <c r="F171" s="537"/>
      <c r="G171" s="537"/>
      <c r="H171" s="537"/>
      <c r="I171" s="537"/>
      <c r="J171" s="537"/>
      <c r="K171" s="538"/>
      <c r="L171" s="44"/>
      <c r="R171" s="58"/>
      <c r="S171" s="58"/>
      <c r="T171" s="58"/>
    </row>
    <row r="172" spans="1:20" s="36" customFormat="1">
      <c r="A172" s="30"/>
      <c r="B172" s="539"/>
      <c r="C172" s="540"/>
      <c r="D172" s="540"/>
      <c r="E172" s="540"/>
      <c r="F172" s="540"/>
      <c r="G172" s="540"/>
      <c r="H172" s="540"/>
      <c r="I172" s="540"/>
      <c r="J172" s="540"/>
      <c r="K172" s="541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SUMIFS(RAB!$F$14:$F$79,RAB!$C$14:$C$79,C224)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SUMIFS(RAB!$F$14:$F$79,RAB!$C$14:$C$79,C225)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SUMIFS(RAB!$F$14:$F$79,RAB!$C$14:$C$79,C226)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SUMIFS(RAB!$F$14:$F$79,RAB!$C$14:$C$79,C227)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SUMIFS(RAB!$F$14:$F$79,RAB!$C$14:$C$79,C228)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SUMIFS(RAB!$F$14:$F$79,RAB!$C$14:$C$79,C229)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SUMIFS(RAB!$F$14:$F$79,RAB!$C$14:$C$79,C230)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SUMIFS(RAB!$F$14:$F$79,RAB!$C$14:$C$79,C231)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SUMIFS(RAB!$F$14:$F$79,RAB!$C$14:$C$79,C232)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SUMIFS(RAB!$F$14:$F$79,RAB!$C$14:$C$79,C233)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SUMIFS(RAB!$F$14:$F$79,RAB!$C$14:$C$79,C234)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SUMIFS(RAB!$F$14:$F$79,RAB!$C$14:$C$79,C235)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SUMIFS(RAB!$F$14:$F$79,RAB!$C$14:$C$79,C236)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SUMIFS(RAB!$F$14:$F$79,RAB!$C$14:$C$79,C237)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SUMIFS(RAB!$F$14:$F$79,RAB!$C$14:$C$79,C238)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SUMIFS(RAB!$F$14:$F$79,RAB!$C$14:$C$79,C239)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SUMIFS(RAB!$F$14:$F$79,RAB!$C$14:$C$79,C240)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SUMIFS(RAB!$F$14:$F$79,RAB!$C$14:$C$79,C241)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SUMIFS(RAB!$F$14:$F$79,RAB!$C$14:$C$79,C242)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SUMIFS(RAB!$F$14:$F$79,RAB!$C$14:$C$79,C243)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SUMIFS(RAB!$F$14:$F$79,RAB!$C$14:$C$79,C244)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SUMIFS(RAB!$F$14:$F$79,RAB!$C$14:$C$79,C245)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SUMIFS(RAB!$F$14:$F$79,RAB!$C$14:$C$79,C246)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SUMIFS(RAB!$F$14:$F$79,RAB!$C$14:$C$79,C247)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SUMIFS(RAB!$F$14:$F$79,RAB!$C$14:$C$79,C248)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SUMIFS(RAB!$F$14:$F$79,RAB!$C$14:$C$79,C249)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SUMIFS(RAB!$F$14:$F$79,RAB!$C$14:$C$79,C250)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SUMIFS(RAB!$F$14:$F$79,RAB!$C$14:$C$79,C251)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SUMIFS(RAB!$F$14:$F$79,RAB!$C$14:$C$79,C252)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SUMIFS(RAB!$F$14:$F$79,RAB!$C$14:$C$79,C253)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SUMIFS(RAB!$F$14:$F$79,RAB!$C$14:$C$79,C254)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SUMIFS(RAB!$F$14:$F$79,RAB!$C$14:$C$79,C255)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SUMIFS(RAB!$F$14:$F$79,RAB!$C$14:$C$79,C256)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SUMIFS(RAB!$F$14:$F$79,RAB!$C$14:$C$79,C257)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SUMIFS(RAB!$F$14:$F$79,RAB!$C$14:$C$79,C258)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SUMIFS(RAB!$F$14:$F$79,RAB!$C$14:$C$79,C259)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SUMIFS(RAB!$F$14:$F$79,RAB!$C$14:$C$79,C260)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SUMIFS(RAB!$F$14:$F$79,RAB!$C$14:$C$79,C261)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SUMIFS(RAB!$F$14:$F$79,RAB!$C$14:$C$79,C262)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SUMIFS(RAB!$F$14:$F$79,RAB!$C$14:$C$79,C263)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SUMIFS(RAB!$F$14:$F$79,RAB!$C$14:$C$79,C264)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SUMIFS(RAB!$F$14:$F$79,RAB!$C$14:$C$79,C265)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SUMIFS(RAB!$F$14:$F$79,RAB!$C$14:$C$79,C266)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SUMIFS(RAB!$F$14:$F$79,RAB!$C$14:$C$79,C267)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SUMIFS(RAB!$F$14:$F$79,RAB!$C$14:$C$79,C268)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SUMIFS(RAB!$F$14:$F$79,RAB!$C$14:$C$79,C269)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SUMIFS(RAB!$F$14:$F$79,RAB!$C$14:$C$79,C270)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SUMIFS(RAB!$F$14:$F$79,RAB!$C$14:$C$79,C271)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SUMIFS(RAB!$F$14:$F$79,RAB!$C$14:$C$79,C272)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SUMIFS(RAB!$F$14:$F$79,RAB!$C$14:$C$79,C273)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SUMIFS(RAB!$F$14:$F$79,RAB!$C$14:$C$79,C274)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SUMIFS(RAB!$F$14:$F$79,RAB!$C$14:$C$79,C275)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SUMIFS(RAB!$F$14:$F$79,RAB!$C$14:$C$79,C276)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SUMIFS(RAB!$F$14:$F$79,RAB!$C$14:$C$79,C277)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SUMIFS(RAB!$F$14:$F$79,RAB!$C$14:$C$79,C278)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SUMIFS(RAB!$F$14:$F$79,RAB!$C$14:$C$79,C279)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SUMIFS(RAB!$F$14:$F$79,RAB!$C$14:$C$79,C280)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SUMIFS(RAB!$F$14:$F$79,RAB!$C$14:$C$79,C281)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SUMIFS(RAB!$F$14:$F$79,RAB!$C$14:$C$79,C282)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SUMIFS(RAB!$F$14:$F$79,RAB!$C$14:$C$79,C283)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SUMIFS(RAB!$F$14:$F$79,RAB!$C$14:$C$79,C284)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SUMIFS(RAB!$F$14:$F$79,RAB!$C$14:$C$79,C285)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SUMIFS(RAB!$F$14:$F$79,RAB!$C$14:$C$79,C286)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SUMIFS(RAB!$F$14:$F$79,RAB!$C$14:$C$79,C287)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SUMIFS(RAB!$F$14:$F$79,RAB!$C$14:$C$79,C288)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SUMIFS(RAB!$F$14:$F$79,RAB!$C$14:$C$79,C289)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SUMIFS(RAB!$F$14:$F$79,RAB!$C$14:$C$79,C290)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SUMIFS(RAB!$F$14:$F$79,RAB!$C$14:$C$79,C291)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SUMIFS(RAB!$F$14:$F$79,RAB!$C$14:$C$79,C292)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SUMIFS(RAB!$F$14:$F$79,RAB!$C$14:$C$79,C293)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SUMIFS(RAB!$F$14:$F$79,RAB!$C$14:$C$79,C294)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SUMIFS(RAB!$F$14:$F$79,RAB!$C$14:$C$79,C295)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SUMIFS(RAB!$F$14:$F$79,RAB!$C$14:$C$79,C296)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SUMIFS(RAB!$F$14:$F$79,RAB!$C$14:$C$79,C297)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SUMIFS(RAB!$F$14:$F$79,RAB!$C$14:$C$79,C298)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SUMIFS(RAB!$F$14:$F$79,RAB!$C$14:$C$79,C299)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SUMIFS(RAB!$F$14:$F$79,RAB!$C$14:$C$79,C300)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SUMIFS(RAB!$F$14:$F$79,RAB!$C$14:$C$79,C301)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SUMIFS(RAB!$F$14:$F$79,RAB!$C$14:$C$79,C302)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SUMIFS(RAB!$F$14:$F$79,RAB!$C$14:$C$79,C303)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SUMIFS(RAB!$F$14:$F$79,RAB!$C$14:$C$79,C304)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SUMIFS(RAB!$F$14:$F$79,RAB!$C$14:$C$79,C305)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SUMIFS(RAB!$F$14:$F$79,RAB!$C$14:$C$79,C306)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SUMIFS(RAB!$F$14:$F$79,RAB!$C$14:$C$79,C307)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SUMIFS(RAB!$F$14:$F$79,RAB!$C$14:$C$79,C308)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SUMIFS(RAB!$F$14:$F$79,RAB!$C$14:$C$79,C309)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SUMIFS(RAB!$F$14:$F$79,RAB!$C$14:$C$79,C310)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SUMIFS(RAB!$F$14:$F$79,RAB!$C$14:$C$79,C311)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SUMIFS(RAB!$F$14:$F$79,RAB!$C$14:$C$79,C312)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SUMIFS(RAB!$F$14:$F$79,RAB!$C$14:$C$79,C313)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SUMIFS(RAB!$F$14:$F$79,RAB!$C$14:$C$79,C314)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SUMIFS(RAB!$F$14:$F$79,RAB!$C$14:$C$79,C315)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SUMIFS(RAB!$F$14:$F$79,RAB!$C$14:$C$79,C316)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SUMIFS(RAB!$F$14:$F$79,RAB!$C$14:$C$79,C317)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SUMIFS(RAB!$F$14:$F$79,RAB!$C$14:$C$79,C318)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SUMIFS(RAB!$F$14:$F$79,RAB!$C$14:$C$79,C319)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SUMIFS(RAB!$F$14:$F$79,RAB!$C$14:$C$79,C320)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SUMIFS(RAB!$F$14:$F$79,RAB!$C$14:$C$79,C321)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SUMIFS(RAB!$F$14:$F$79,RAB!$C$14:$C$79,C322)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SUMIFS(RAB!$F$14:$F$79,RAB!$C$14:$C$79,C323)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SUMIFS(RAB!$F$14:$F$79,RAB!$C$14:$C$79,C324)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SUMIFS(RAB!$F$14:$F$79,RAB!$C$14:$C$79,C325)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SUMIFS(RAB!$F$14:$F$79,RAB!$C$14:$C$79,C326)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SUMIFS(RAB!$F$14:$F$79,RAB!$C$14:$C$79,C327)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SUMIFS(RAB!$F$14:$F$79,RAB!$C$14:$C$79,C328)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SUMIFS(RAB!$F$14:$F$79,RAB!$C$14:$C$79,C329)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SUMIFS(RAB!$F$14:$F$79,RAB!$C$14:$C$79,C330)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SUMIFS(RAB!$F$14:$F$79,RAB!$C$14:$C$79,C331)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SUMIFS(RAB!$F$14:$F$79,RAB!$C$14:$C$79,C332)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SUMIFS(RAB!$F$14:$F$79,RAB!$C$14:$C$79,C333)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SUMIFS(RAB!$F$14:$F$79,RAB!$C$14:$C$79,C334)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SUMIFS(RAB!$F$14:$F$79,RAB!$C$14:$C$79,C335)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SUMIFS(RAB!$F$14:$F$79,RAB!$C$14:$C$79,C336)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SUMIFS(RAB!$F$14:$F$79,RAB!$C$14:$C$79,C337)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SUMIFS(RAB!$F$14:$F$79,RAB!$C$14:$C$79,C338)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SUMIFS(RAB!$F$14:$F$79,RAB!$C$14:$C$79,C339)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SUMIFS(RAB!$F$14:$F$79,RAB!$C$14:$C$79,C340)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SUMIFS(RAB!$F$14:$F$79,RAB!$C$14:$C$79,C341)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SUMIFS(RAB!$F$14:$F$79,RAB!$C$14:$C$79,C342)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SUMIFS(RAB!$F$14:$F$79,RAB!$C$14:$C$79,C343)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SUMIFS(RAB!$F$14:$F$79,RAB!$C$14:$C$79,C344)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SUMIFS(RAB!$F$14:$F$79,RAB!$C$14:$C$79,C345)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SUMIFS(RAB!$F$14:$F$79,RAB!$C$14:$C$79,C346)</f>
        <v>150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SUMIFS(RAB!$F$14:$F$79,RAB!$C$14:$C$79,C347)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SUMIFS(RAB!$F$14:$F$79,RAB!$C$14:$C$79,C348)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SUMIFS(RAB!$F$14:$F$79,RAB!$C$14:$C$79,C349)</f>
        <v>35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SUMIFS(RAB!$F$14:$F$79,RAB!$C$14:$C$79,C350)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SUMIFS(RAB!$F$14:$F$79,RAB!$C$14:$C$79,C351)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SUMIFS(RAB!$F$14:$F$79,RAB!$C$14:$C$79,C352)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SUMIFS(RAB!$F$14:$F$79,RAB!$C$14:$C$79,C353)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SUMIFS(RAB!$F$14:$F$79,RAB!$C$14:$C$79,C354)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SUMIFS(RAB!$F$14:$F$79,RAB!$C$14:$C$79,C355)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SUMIFS(RAB!$F$14:$F$79,RAB!$C$14:$C$79,C356)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SUMIFS(RAB!$F$14:$F$79,RAB!$C$14:$C$79,C357)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SUMIFS(RAB!$F$14:$F$79,RAB!$C$14:$C$79,C358)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SUMIFS(RAB!$F$14:$F$79,RAB!$C$14:$C$79,C359)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SUMIFS(RAB!$F$14:$F$79,RAB!$C$14:$C$79,C360)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SUMIFS(RAB!$F$14:$F$79,RAB!$C$14:$C$79,C361)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SUMIFS(RAB!$F$14:$F$79,RAB!$C$14:$C$79,C362)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SUMIFS(RAB!$F$14:$F$79,RAB!$C$14:$C$79,C363)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SUMIFS(RAB!$F$14:$F$79,RAB!$C$14:$C$79,C364)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SUMIFS(RAB!$F$14:$F$79,RAB!$C$14:$C$79,C365)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SUMIFS(RAB!$F$14:$F$79,RAB!$C$14:$C$79,C366)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SUMIFS(RAB!$F$14:$F$79,RAB!$C$14:$C$79,C367)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SUMIFS(RAB!$F$14:$F$79,RAB!$C$14:$C$79,C368)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SUMIFS(RAB!$F$14:$F$79,RAB!$C$14:$C$79,C369)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SUMIFS(RAB!$F$14:$F$79,RAB!$C$14:$C$79,C370)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SUMIFS(RAB!$F$14:$F$79,RAB!$C$14:$C$79,C371)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SUMIFS(RAB!$F$14:$F$79,RAB!$C$14:$C$79,C372)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SUMIFS(RAB!$F$14:$F$79,RAB!$C$14:$C$79,C373)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6"/>
    </row>
    <row r="4" spans="4:4" ht="57" customHeight="1">
      <c r="D4" s="366">
        <v>3</v>
      </c>
    </row>
    <row r="5" spans="4:4" ht="57" customHeight="1">
      <c r="D5" s="36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57" activePane="bottomRight" state="frozen"/>
      <selection activeCell="D209" sqref="D209"/>
      <selection pane="topRight" activeCell="D209" sqref="D209"/>
      <selection pane="bottomLeft" activeCell="D209" sqref="D209"/>
      <selection pane="bottomRight" activeCell="C278" sqref="C27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6" t="s">
        <v>31</v>
      </c>
      <c r="C2" s="54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7" t="s">
        <v>13</v>
      </c>
      <c r="C4" s="548" t="s">
        <v>982</v>
      </c>
      <c r="D4" s="548" t="s">
        <v>32</v>
      </c>
      <c r="E4" s="547" t="s">
        <v>33</v>
      </c>
      <c r="F4" s="108" t="s">
        <v>1574</v>
      </c>
      <c r="G4" s="108" t="s">
        <v>1573</v>
      </c>
      <c r="H4" s="545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7"/>
      <c r="C5" s="548"/>
      <c r="D5" s="548"/>
      <c r="E5" s="547"/>
      <c r="F5" s="93"/>
      <c r="G5" s="93"/>
      <c r="H5" s="545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1528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1529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1530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1531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1532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1533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1534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1535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1536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1537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1538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1539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1540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1541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1542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1543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1544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1545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1546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1547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1548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1549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1550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1551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1552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1553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1554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1555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1556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1557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1558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1559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1560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1561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1562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1563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1564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1565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1566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1567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1568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90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90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1480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1481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1482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1483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1484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1486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1569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1570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1571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1572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91">
        <v>2740</v>
      </c>
      <c r="G1433" s="39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2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2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2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2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2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P13" sqref="P13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2" s="194" customFormat="1" ht="18.75" customHeight="1">
      <c r="B2" s="580" t="s">
        <v>1425</v>
      </c>
      <c r="C2" s="580"/>
      <c r="D2" s="580"/>
      <c r="E2" s="580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85" t="s">
        <v>1499</v>
      </c>
      <c r="C4" s="586"/>
      <c r="D4" s="586"/>
      <c r="E4" s="587"/>
      <c r="F4" s="348"/>
      <c r="G4" s="348"/>
      <c r="H4" s="349"/>
      <c r="I4" s="549" t="s">
        <v>1500</v>
      </c>
      <c r="J4" s="550"/>
      <c r="K4" s="550"/>
      <c r="L4" s="551"/>
    </row>
    <row r="5" spans="1:12" ht="34.5" customHeight="1">
      <c r="A5" s="193"/>
      <c r="B5" s="351" t="s">
        <v>1349</v>
      </c>
      <c r="C5" s="200" t="s">
        <v>9</v>
      </c>
      <c r="D5" s="581" t="str">
        <f>DATA!D14</f>
        <v>RYAN GHOZALI</v>
      </c>
      <c r="E5" s="582"/>
      <c r="F5" s="197"/>
      <c r="G5" s="197"/>
      <c r="I5" s="352" t="s">
        <v>1349</v>
      </c>
      <c r="J5" s="200" t="s">
        <v>9</v>
      </c>
      <c r="K5" s="552" t="str">
        <f>D5</f>
        <v>RYAN GHOZALI</v>
      </c>
      <c r="L5" s="553"/>
    </row>
    <row r="6" spans="1:12" ht="31.5" customHeight="1">
      <c r="A6" s="193"/>
      <c r="B6" s="351" t="s">
        <v>1496</v>
      </c>
      <c r="C6" s="200" t="s">
        <v>9</v>
      </c>
      <c r="D6" s="590">
        <f>DATA!D17*1000</f>
        <v>0</v>
      </c>
      <c r="E6" s="591"/>
      <c r="F6" s="197"/>
      <c r="G6" s="197"/>
      <c r="I6" s="352" t="s">
        <v>1497</v>
      </c>
      <c r="J6" s="200" t="s">
        <v>9</v>
      </c>
      <c r="K6" s="554">
        <f>DATA!D20*1000</f>
        <v>23000</v>
      </c>
      <c r="L6" s="555"/>
    </row>
    <row r="7" spans="1:12" ht="30.75" customHeight="1">
      <c r="A7" s="193"/>
      <c r="B7" s="351" t="s">
        <v>1411</v>
      </c>
      <c r="C7" s="200" t="s">
        <v>9</v>
      </c>
      <c r="D7" s="588">
        <f>DATA!D18</f>
        <v>1</v>
      </c>
      <c r="E7" s="589"/>
      <c r="F7" s="350" t="s">
        <v>1424</v>
      </c>
      <c r="I7" s="352" t="s">
        <v>1411</v>
      </c>
      <c r="J7" s="200" t="s">
        <v>9</v>
      </c>
      <c r="K7" s="556">
        <f>DATA!D21</f>
        <v>3</v>
      </c>
      <c r="L7" s="557"/>
    </row>
    <row r="8" spans="1:12" ht="51" customHeight="1">
      <c r="A8" s="193"/>
      <c r="B8" s="351" t="s">
        <v>1412</v>
      </c>
      <c r="C8" s="200" t="s">
        <v>9</v>
      </c>
      <c r="D8" s="588">
        <f>DATA!D19</f>
        <v>220</v>
      </c>
      <c r="E8" s="589"/>
      <c r="F8" s="350" t="s">
        <v>1424</v>
      </c>
      <c r="G8" s="345">
        <v>220</v>
      </c>
      <c r="I8" s="352" t="s">
        <v>1412</v>
      </c>
      <c r="J8" s="200" t="s">
        <v>9</v>
      </c>
      <c r="K8" s="556">
        <f>DATA!D22</f>
        <v>380</v>
      </c>
      <c r="L8" s="557"/>
    </row>
    <row r="9" spans="1:12" ht="30" customHeight="1" thickBot="1">
      <c r="A9" s="193"/>
      <c r="B9" s="357" t="s">
        <v>1508</v>
      </c>
      <c r="C9" s="347" t="s">
        <v>9</v>
      </c>
      <c r="D9" s="583">
        <f>IF(D7=1,D6/(380/3^0.5),(D6/(380*3^0.5)))</f>
        <v>0</v>
      </c>
      <c r="E9" s="584"/>
      <c r="F9" s="196"/>
      <c r="G9" s="346">
        <v>380</v>
      </c>
      <c r="I9" s="358" t="s">
        <v>1508</v>
      </c>
      <c r="J9" s="347" t="s">
        <v>9</v>
      </c>
      <c r="K9" s="560">
        <f>IF(K7=1,K6/(380/3^0.5),(K6/(380*3^0.5)))</f>
        <v>34.94488471410893</v>
      </c>
      <c r="L9" s="561"/>
    </row>
    <row r="10" spans="1:12" ht="24.75" customHeight="1">
      <c r="B10" s="359"/>
      <c r="C10" s="356"/>
      <c r="D10" s="360"/>
      <c r="E10" s="360"/>
      <c r="F10" s="196"/>
      <c r="G10" s="346"/>
      <c r="I10" s="359"/>
      <c r="J10" s="356"/>
      <c r="K10" s="360"/>
      <c r="L10" s="360"/>
    </row>
    <row r="11" spans="1:12" ht="16.5" thickBot="1">
      <c r="B11" s="353" t="s">
        <v>1509</v>
      </c>
      <c r="I11" s="353" t="s">
        <v>1503</v>
      </c>
    </row>
    <row r="12" spans="1:12" ht="34.5" customHeight="1">
      <c r="A12" s="193"/>
      <c r="B12" s="381" t="s">
        <v>1501</v>
      </c>
      <c r="C12" s="375" t="s">
        <v>9</v>
      </c>
      <c r="D12" s="592"/>
      <c r="E12" s="593"/>
      <c r="F12" s="197"/>
      <c r="G12" s="197"/>
      <c r="I12" s="374" t="s">
        <v>1501</v>
      </c>
      <c r="J12" s="375" t="s">
        <v>9</v>
      </c>
      <c r="K12" s="562" t="s">
        <v>1638</v>
      </c>
      <c r="L12" s="563"/>
    </row>
    <row r="13" spans="1:12" ht="31.5" customHeight="1">
      <c r="A13" s="193"/>
      <c r="B13" s="382" t="s">
        <v>1350</v>
      </c>
      <c r="C13" s="362" t="s">
        <v>9</v>
      </c>
      <c r="D13" s="596"/>
      <c r="E13" s="597"/>
      <c r="F13" s="197"/>
      <c r="G13" s="197"/>
      <c r="I13" s="376" t="s">
        <v>1350</v>
      </c>
      <c r="J13" s="362" t="s">
        <v>9</v>
      </c>
      <c r="K13" s="558" t="s">
        <v>1625</v>
      </c>
      <c r="L13" s="559"/>
    </row>
    <row r="14" spans="1:12" ht="30.75" customHeight="1">
      <c r="A14" s="193"/>
      <c r="B14" s="382" t="s">
        <v>1502</v>
      </c>
      <c r="C14" s="362" t="s">
        <v>9</v>
      </c>
      <c r="D14" s="568"/>
      <c r="E14" s="569"/>
      <c r="F14" s="350" t="s">
        <v>1424</v>
      </c>
      <c r="G14" s="354">
        <v>50</v>
      </c>
      <c r="I14" s="376" t="s">
        <v>1502</v>
      </c>
      <c r="J14" s="362" t="s">
        <v>9</v>
      </c>
      <c r="K14" s="570">
        <v>50</v>
      </c>
      <c r="L14" s="571"/>
    </row>
    <row r="15" spans="1:12" ht="57" customHeight="1">
      <c r="A15" s="193"/>
      <c r="B15" s="382" t="s">
        <v>1411</v>
      </c>
      <c r="C15" s="362" t="s">
        <v>9</v>
      </c>
      <c r="D15" s="368"/>
      <c r="E15" s="377"/>
      <c r="F15" s="350" t="s">
        <v>1424</v>
      </c>
      <c r="G15" s="354">
        <v>100</v>
      </c>
      <c r="I15" s="376" t="s">
        <v>1411</v>
      </c>
      <c r="J15" s="362" t="s">
        <v>9</v>
      </c>
      <c r="K15" s="368">
        <v>1</v>
      </c>
      <c r="L15" s="377"/>
    </row>
    <row r="16" spans="1:12" ht="44.25" customHeight="1">
      <c r="A16" s="193"/>
      <c r="B16" s="382" t="s">
        <v>1512</v>
      </c>
      <c r="C16" s="362"/>
      <c r="D16" s="572"/>
      <c r="E16" s="573"/>
      <c r="F16" s="350"/>
      <c r="G16" s="354">
        <v>160</v>
      </c>
      <c r="I16" s="376" t="s">
        <v>1504</v>
      </c>
      <c r="J16" s="362" t="s">
        <v>9</v>
      </c>
      <c r="K16" s="574">
        <f>K9</f>
        <v>34.94488471410893</v>
      </c>
      <c r="L16" s="575"/>
    </row>
    <row r="17" spans="1:12" ht="34.5" customHeight="1">
      <c r="A17" s="193"/>
      <c r="B17" s="382" t="s">
        <v>1505</v>
      </c>
      <c r="C17" s="362" t="s">
        <v>9</v>
      </c>
      <c r="D17" s="566">
        <f>IF(D15=1,D14/(20/3^0.5),(D14/(20*3^0.5)))</f>
        <v>0</v>
      </c>
      <c r="E17" s="567"/>
      <c r="F17" s="350" t="s">
        <v>1424</v>
      </c>
      <c r="G17" s="355">
        <v>200</v>
      </c>
      <c r="I17" s="376" t="s">
        <v>1505</v>
      </c>
      <c r="J17" s="362" t="s">
        <v>9</v>
      </c>
      <c r="K17" s="564">
        <f>IF(K15=1,K14/(20/3^0.5),(K14/(20*3^0.5)))</f>
        <v>4.3301270189221928</v>
      </c>
      <c r="L17" s="565"/>
    </row>
    <row r="18" spans="1:12" ht="34.5" customHeight="1">
      <c r="A18" s="193"/>
      <c r="B18" s="382" t="s">
        <v>1506</v>
      </c>
      <c r="C18" s="362" t="s">
        <v>9</v>
      </c>
      <c r="D18" s="566">
        <f>IF(D15=1,D14/(380/3^0.5),(D14/(380*3^0.5)))*1000</f>
        <v>0</v>
      </c>
      <c r="E18" s="567"/>
      <c r="F18" s="350" t="s">
        <v>1424</v>
      </c>
      <c r="G18" s="355">
        <v>250</v>
      </c>
      <c r="I18" s="376" t="s">
        <v>1506</v>
      </c>
      <c r="J18" s="362" t="s">
        <v>9</v>
      </c>
      <c r="K18" s="564">
        <f>IF(K15=1,K14/(380/3^0.5),(K14/(380*3^0.5)))*1000</f>
        <v>227.90142204853646</v>
      </c>
      <c r="L18" s="565"/>
    </row>
    <row r="19" spans="1:12" ht="30" customHeight="1">
      <c r="A19" s="193"/>
      <c r="B19" s="383" t="s">
        <v>1498</v>
      </c>
      <c r="C19" s="361" t="s">
        <v>9</v>
      </c>
      <c r="D19" s="566">
        <f>IF(D15=1,D13/(380/3^0.5),(D13/(380*3^0.5)))</f>
        <v>0</v>
      </c>
      <c r="E19" s="567"/>
      <c r="F19" s="196"/>
      <c r="G19" s="346"/>
      <c r="I19" s="378" t="s">
        <v>1498</v>
      </c>
      <c r="J19" s="361" t="s">
        <v>9</v>
      </c>
      <c r="K19" s="564" t="e">
        <f>IF(K15=1,K13/(380/3^0.5),(K13/(380*3^0.5)))</f>
        <v>#VALUE!</v>
      </c>
      <c r="L19" s="565"/>
    </row>
    <row r="20" spans="1:12" ht="30" customHeight="1" thickBot="1">
      <c r="A20" s="193"/>
      <c r="B20" s="384" t="s">
        <v>1507</v>
      </c>
      <c r="C20" s="380" t="s">
        <v>9</v>
      </c>
      <c r="D20" s="594" t="e">
        <f>D16/D18</f>
        <v>#DIV/0!</v>
      </c>
      <c r="E20" s="595"/>
      <c r="F20" s="196"/>
      <c r="G20" s="346"/>
      <c r="I20" s="379" t="s">
        <v>1498</v>
      </c>
      <c r="J20" s="380" t="s">
        <v>9</v>
      </c>
      <c r="K20" s="598">
        <f>K16/K18</f>
        <v>0.15333333333333335</v>
      </c>
      <c r="L20" s="599"/>
    </row>
    <row r="21" spans="1:12" ht="9.75" customHeight="1">
      <c r="A21" s="193"/>
      <c r="B21" s="369" t="s">
        <v>1507</v>
      </c>
      <c r="C21" s="370" t="s">
        <v>9</v>
      </c>
      <c r="D21" s="579">
        <v>1</v>
      </c>
      <c r="E21" s="579"/>
      <c r="F21" s="371"/>
      <c r="G21" s="372"/>
      <c r="H21" s="373"/>
      <c r="I21" s="369" t="s">
        <v>1498</v>
      </c>
      <c r="J21" s="370" t="s">
        <v>9</v>
      </c>
      <c r="K21" s="579">
        <v>1</v>
      </c>
      <c r="L21" s="579"/>
    </row>
    <row r="22" spans="1:12" ht="6.75" customHeight="1">
      <c r="B22" s="359"/>
      <c r="C22" s="356"/>
      <c r="D22" s="367"/>
      <c r="E22" s="367"/>
      <c r="F22" s="196"/>
      <c r="G22" s="346"/>
      <c r="J22" s="356"/>
      <c r="K22" s="367"/>
      <c r="L22" s="367"/>
    </row>
    <row r="23" spans="1:12" ht="15.75" thickBot="1"/>
    <row r="24" spans="1:12" ht="200.25" customHeight="1" thickBot="1">
      <c r="B24" s="576"/>
      <c r="C24" s="577"/>
      <c r="D24" s="577"/>
      <c r="E24" s="578"/>
      <c r="I24" s="576"/>
      <c r="J24" s="577"/>
      <c r="K24" s="577"/>
      <c r="L24" s="578"/>
    </row>
    <row r="26" spans="1:12">
      <c r="D26" s="364"/>
    </row>
    <row r="27" spans="1:12">
      <c r="D27" s="365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  <mergeCell ref="K12:L12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10" zoomScaleNormal="100" workbookViewId="0">
      <selection activeCell="N13" sqref="N13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00"/>
      <c r="C1" s="600"/>
      <c r="D1" s="600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3">
        <v>1084.1250458865841</v>
      </c>
      <c r="F5" s="389" t="s">
        <v>1575</v>
      </c>
      <c r="K5" s="388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9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23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21551000</v>
      </c>
    </row>
    <row r="10" spans="2:11" ht="20.100000000000001" customHeight="1">
      <c r="B10" s="214" t="s">
        <v>1417</v>
      </c>
      <c r="C10" s="215" t="s">
        <v>9</v>
      </c>
      <c r="D10" s="221">
        <f ca="1">RAB!K85</f>
        <v>32833577.472749997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656671.54945499997</v>
      </c>
    </row>
    <row r="12" spans="2:11" ht="9" customHeight="1">
      <c r="B12" s="601"/>
      <c r="C12" s="601"/>
      <c r="D12" s="601"/>
    </row>
    <row r="13" spans="2:11" ht="15.75" customHeight="1">
      <c r="B13" s="222"/>
      <c r="C13" s="222"/>
      <c r="D13" s="222"/>
    </row>
    <row r="14" spans="2:11" ht="33.75" customHeight="1">
      <c r="B14" s="335" t="s">
        <v>1349</v>
      </c>
      <c r="C14" s="336" t="s">
        <v>9</v>
      </c>
      <c r="D14" s="341" t="s">
        <v>1636</v>
      </c>
      <c r="E14" s="223" t="s">
        <v>1424</v>
      </c>
    </row>
    <row r="15" spans="2:11" ht="20.100000000000001" customHeight="1">
      <c r="B15" s="337" t="s">
        <v>1418</v>
      </c>
      <c r="C15" s="338" t="s">
        <v>9</v>
      </c>
      <c r="D15" s="342" t="s">
        <v>1581</v>
      </c>
      <c r="E15" s="223" t="s">
        <v>1424</v>
      </c>
    </row>
    <row r="16" spans="2:11" ht="20.100000000000001" customHeight="1">
      <c r="B16" s="337" t="s">
        <v>1419</v>
      </c>
      <c r="C16" s="338" t="s">
        <v>9</v>
      </c>
      <c r="D16" s="342" t="s">
        <v>1422</v>
      </c>
      <c r="E16" s="223" t="s">
        <v>1424</v>
      </c>
    </row>
    <row r="17" spans="2:5" ht="20.100000000000001" customHeight="1">
      <c r="B17" s="337" t="s">
        <v>1420</v>
      </c>
      <c r="C17" s="338" t="s">
        <v>9</v>
      </c>
      <c r="D17" s="343"/>
      <c r="E17" s="223" t="s">
        <v>1424</v>
      </c>
    </row>
    <row r="18" spans="2:5" ht="20.100000000000001" hidden="1" customHeight="1">
      <c r="B18" s="337" t="s">
        <v>1510</v>
      </c>
      <c r="C18" s="338"/>
      <c r="D18" s="343">
        <f>IF((D17&lt;=11),1,3)</f>
        <v>1</v>
      </c>
      <c r="E18" s="223"/>
    </row>
    <row r="19" spans="2:5" ht="20.100000000000001" hidden="1" customHeight="1">
      <c r="B19" s="337" t="s">
        <v>1511</v>
      </c>
      <c r="C19" s="338"/>
      <c r="D19" s="343">
        <f>IF((D17&lt;=11),220,380)</f>
        <v>220</v>
      </c>
      <c r="E19" s="223"/>
    </row>
    <row r="20" spans="2:5" ht="20.100000000000001" customHeight="1">
      <c r="B20" s="337" t="s">
        <v>1421</v>
      </c>
      <c r="C20" s="338" t="s">
        <v>9</v>
      </c>
      <c r="D20" s="343">
        <v>23</v>
      </c>
      <c r="E20" s="223" t="s">
        <v>1424</v>
      </c>
    </row>
    <row r="21" spans="2:5" ht="20.100000000000001" hidden="1" customHeight="1">
      <c r="B21" s="337" t="s">
        <v>1510</v>
      </c>
      <c r="C21" s="338"/>
      <c r="D21" s="343">
        <f>IF((D20&lt;=11),1,3)</f>
        <v>3</v>
      </c>
      <c r="E21" s="223"/>
    </row>
    <row r="22" spans="2:5" ht="20.100000000000001" hidden="1" customHeight="1">
      <c r="B22" s="337" t="s">
        <v>1511</v>
      </c>
      <c r="C22" s="338"/>
      <c r="D22" s="343">
        <f>IF((D20&lt;=11),220,380)</f>
        <v>380</v>
      </c>
      <c r="E22" s="223"/>
    </row>
    <row r="23" spans="2:5" ht="20.100000000000001" customHeight="1">
      <c r="B23" s="337" t="s">
        <v>1323</v>
      </c>
      <c r="C23" s="338" t="s">
        <v>9</v>
      </c>
      <c r="D23" s="342">
        <v>1444.7</v>
      </c>
      <c r="E23" s="223" t="s">
        <v>1424</v>
      </c>
    </row>
    <row r="24" spans="2:5" ht="20.100000000000001" customHeight="1">
      <c r="B24" s="337" t="s">
        <v>1324</v>
      </c>
      <c r="C24" s="338" t="s">
        <v>9</v>
      </c>
      <c r="D24" s="342">
        <v>1444.7</v>
      </c>
      <c r="E24" s="223" t="s">
        <v>1424</v>
      </c>
    </row>
    <row r="25" spans="2:5" ht="20.100000000000001" customHeight="1">
      <c r="B25" s="337" t="s">
        <v>1423</v>
      </c>
      <c r="C25" s="338" t="s">
        <v>9</v>
      </c>
      <c r="D25" s="343">
        <v>937</v>
      </c>
      <c r="E25" s="223" t="s">
        <v>1424</v>
      </c>
    </row>
    <row r="26" spans="2:5" ht="20.100000000000001" customHeight="1">
      <c r="B26" s="339" t="s">
        <v>1325</v>
      </c>
      <c r="C26" s="340" t="s">
        <v>9</v>
      </c>
      <c r="D26" s="344">
        <v>40</v>
      </c>
      <c r="E26" s="223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abSelected="1" topLeftCell="D1" zoomScale="85" zoomScaleNormal="85" workbookViewId="0">
      <pane ySplit="6" topLeftCell="A7" activePane="bottomLeft" state="frozen"/>
      <selection activeCell="H1093" sqref="H1093"/>
      <selection pane="bottomLeft" activeCell="K20" sqref="K20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08" t="s">
        <v>1327</v>
      </c>
      <c r="C3" s="608"/>
      <c r="D3" s="608"/>
      <c r="E3" s="608"/>
      <c r="F3" s="228" t="str">
        <f>DATA!D14</f>
        <v>RYAN GHOZALI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02" t="s">
        <v>1319</v>
      </c>
      <c r="C5" s="602" t="s">
        <v>1328</v>
      </c>
      <c r="D5" s="607" t="s">
        <v>1329</v>
      </c>
      <c r="E5" s="607" t="s">
        <v>1330</v>
      </c>
      <c r="F5" s="602" t="s">
        <v>1331</v>
      </c>
      <c r="G5" s="602"/>
      <c r="H5" s="602"/>
      <c r="I5" s="602"/>
      <c r="J5" s="602"/>
      <c r="K5" s="602" t="s">
        <v>1332</v>
      </c>
      <c r="L5" s="602"/>
      <c r="M5" s="230"/>
      <c r="N5" s="605" t="s">
        <v>1333</v>
      </c>
      <c r="O5" s="607" t="s">
        <v>1334</v>
      </c>
      <c r="P5" s="607" t="s">
        <v>1335</v>
      </c>
      <c r="Q5" s="607" t="s">
        <v>1336</v>
      </c>
      <c r="R5" s="231"/>
      <c r="S5" s="232"/>
      <c r="T5" s="603" t="s">
        <v>1337</v>
      </c>
      <c r="U5" s="233"/>
    </row>
    <row r="6" spans="1:21" ht="20.100000000000001" customHeight="1">
      <c r="B6" s="602"/>
      <c r="C6" s="602"/>
      <c r="D6" s="602"/>
      <c r="E6" s="602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06"/>
      <c r="O6" s="602"/>
      <c r="P6" s="602"/>
      <c r="Q6" s="602"/>
      <c r="R6" s="231"/>
      <c r="S6" s="232"/>
      <c r="T6" s="602"/>
      <c r="U6" s="235"/>
    </row>
    <row r="7" spans="1:21" ht="20.100000000000001" customHeight="1">
      <c r="A7" s="236">
        <v>0</v>
      </c>
      <c r="B7" s="237">
        <v>2023</v>
      </c>
      <c r="C7" s="385">
        <f>DATA!D8*DATA!D26*8</f>
        <v>7360</v>
      </c>
      <c r="D7" s="239">
        <f>C7*4/24</f>
        <v>1226.6666666666667</v>
      </c>
      <c r="E7" s="239">
        <f>C7-D7</f>
        <v>6133.333333333333</v>
      </c>
      <c r="F7" s="240">
        <f ca="1">DATA!D10/1000000</f>
        <v>32.833577472749994</v>
      </c>
      <c r="G7" s="241">
        <f ca="1">DATA!$D$11/1000000</f>
        <v>0.65667154945499995</v>
      </c>
      <c r="H7" s="241">
        <f>C7*DATA!$D$5/1000000</f>
        <v>7.9791603377252587</v>
      </c>
      <c r="I7" s="241">
        <f>(C7*DATA!$D$5*DATA!$D$7)/1000000</f>
        <v>0.17953110759881832</v>
      </c>
      <c r="J7" s="239">
        <f ca="1">SUM(F7:I7)</f>
        <v>41.648940467529073</v>
      </c>
      <c r="K7" s="242">
        <f>DATA!D9/1000000</f>
        <v>21.550999999999998</v>
      </c>
      <c r="L7" s="239">
        <f>((D7*DATA!$D$23)/1000000)+((E7*DATA!$D$24)/1000000)</f>
        <v>10.632992</v>
      </c>
      <c r="M7" s="239">
        <f>K7+L7</f>
        <v>32.183991999999996</v>
      </c>
      <c r="N7" s="239">
        <f ca="1">M7-J7</f>
        <v>-9.4649484675290765</v>
      </c>
      <c r="O7" s="237">
        <v>1</v>
      </c>
      <c r="P7" s="239">
        <f ca="1">O7*N7</f>
        <v>-9.4649484675290765</v>
      </c>
      <c r="Q7" s="239">
        <f ca="1">P7</f>
        <v>-9.4649484675290765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11040</v>
      </c>
      <c r="D8" s="239">
        <f>C8*4/24</f>
        <v>1840</v>
      </c>
      <c r="E8" s="239">
        <f t="shared" ref="E8:E32" si="0">C8-D8</f>
        <v>9200</v>
      </c>
      <c r="F8" s="237"/>
      <c r="G8" s="241">
        <f ca="1">DATA!$D$11/1000000</f>
        <v>0.65667154945499995</v>
      </c>
      <c r="H8" s="241">
        <f>C8*DATA!$D$5/1000000</f>
        <v>11.968740506587888</v>
      </c>
      <c r="I8" s="241">
        <f>(C8*DATA!$D$5*DATA!$D$7)/1000000</f>
        <v>0.2692966613982275</v>
      </c>
      <c r="J8" s="239">
        <f t="shared" ref="J8:J32" ca="1" si="1">SUM(F8:I8)</f>
        <v>12.894708717441116</v>
      </c>
      <c r="K8" s="244"/>
      <c r="L8" s="239">
        <f>((D8*DATA!$D$23)/1000000)+((E8*DATA!$D$24)/1000000)</f>
        <v>15.949488000000001</v>
      </c>
      <c r="M8" s="239">
        <f t="shared" ref="M8:M32" si="2">K8+L8</f>
        <v>15.949488000000001</v>
      </c>
      <c r="N8" s="239">
        <f ca="1">M8-J8</f>
        <v>3.0547792825588846</v>
      </c>
      <c r="O8" s="238">
        <f>1/(1+'[91]Asumsi I'!$C$3)^(KKF!A8)</f>
        <v>0.89285714285714279</v>
      </c>
      <c r="P8" s="239">
        <f ca="1">O8*N8</f>
        <v>2.7274815022847183</v>
      </c>
      <c r="Q8" s="239">
        <f ca="1">Q7+P8</f>
        <v>-6.7374669652443586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11040</v>
      </c>
      <c r="D9" s="239">
        <f t="shared" ref="D9:D32" si="5">C9*4/24</f>
        <v>1840</v>
      </c>
      <c r="E9" s="239">
        <f t="shared" si="0"/>
        <v>9200</v>
      </c>
      <c r="F9" s="237"/>
      <c r="G9" s="241">
        <f ca="1">DATA!$D$11/1000000</f>
        <v>0.65667154945499995</v>
      </c>
      <c r="H9" s="241">
        <f>C9*DATA!$D$5/1000000</f>
        <v>11.968740506587888</v>
      </c>
      <c r="I9" s="241">
        <f>(C9*DATA!$D$5*DATA!$D$7)/1000000</f>
        <v>0.2692966613982275</v>
      </c>
      <c r="J9" s="239">
        <f t="shared" ca="1" si="1"/>
        <v>12.894708717441116</v>
      </c>
      <c r="K9" s="239"/>
      <c r="L9" s="239">
        <f>((D9*DATA!$D$23)/1000000)+((E9*DATA!$D$24)/1000000)</f>
        <v>15.949488000000001</v>
      </c>
      <c r="M9" s="239">
        <f t="shared" si="2"/>
        <v>15.949488000000001</v>
      </c>
      <c r="N9" s="239">
        <f t="shared" ref="N9:N32" ca="1" si="6">M9-J9</f>
        <v>3.0547792825588846</v>
      </c>
      <c r="O9" s="245">
        <f>1/(1+'[91]Asumsi I'!$C$3)^(KKF!A9)</f>
        <v>0.79719387755102034</v>
      </c>
      <c r="P9" s="239">
        <f t="shared" ref="P9:P32" ca="1" si="7">O9*N9</f>
        <v>2.4352513413256411</v>
      </c>
      <c r="Q9" s="239">
        <f ca="1">Q8+P9</f>
        <v>-4.3022156239187179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11040</v>
      </c>
      <c r="D10" s="239">
        <f t="shared" si="5"/>
        <v>1840</v>
      </c>
      <c r="E10" s="239">
        <f t="shared" si="0"/>
        <v>9200</v>
      </c>
      <c r="F10" s="237"/>
      <c r="G10" s="241">
        <f ca="1">DATA!$D$11/1000000</f>
        <v>0.65667154945499995</v>
      </c>
      <c r="H10" s="241">
        <f>C10*DATA!$D$5/1000000</f>
        <v>11.968740506587888</v>
      </c>
      <c r="I10" s="241">
        <f>(C10*DATA!$D$5*DATA!$D$7)/1000000</f>
        <v>0.2692966613982275</v>
      </c>
      <c r="J10" s="239">
        <f t="shared" ca="1" si="1"/>
        <v>12.894708717441116</v>
      </c>
      <c r="K10" s="237"/>
      <c r="L10" s="239">
        <f>((D10*DATA!$D$23)/1000000)+((E10*DATA!$D$24)/1000000)</f>
        <v>15.949488000000001</v>
      </c>
      <c r="M10" s="239">
        <f t="shared" si="2"/>
        <v>15.949488000000001</v>
      </c>
      <c r="N10" s="239">
        <f t="shared" ca="1" si="6"/>
        <v>3.0547792825588846</v>
      </c>
      <c r="O10" s="238">
        <f>1/(1+'[91]Asumsi I'!$C$3)^(KKF!A10)</f>
        <v>0.71178024781341087</v>
      </c>
      <c r="P10" s="239">
        <f t="shared" ca="1" si="7"/>
        <v>2.1743315547550366</v>
      </c>
      <c r="Q10" s="239">
        <f t="shared" ref="Q10:Q30" ca="1" si="9">Q9+P10</f>
        <v>-2.1278840691636813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11040</v>
      </c>
      <c r="D11" s="239">
        <f t="shared" si="5"/>
        <v>1840</v>
      </c>
      <c r="E11" s="239">
        <f t="shared" si="0"/>
        <v>9200</v>
      </c>
      <c r="F11" s="237"/>
      <c r="G11" s="241">
        <f ca="1">DATA!$D$11/1000000</f>
        <v>0.65667154945499995</v>
      </c>
      <c r="H11" s="241">
        <f>C11*DATA!$D$5/1000000</f>
        <v>11.968740506587888</v>
      </c>
      <c r="I11" s="241">
        <f>(C11*DATA!$D$5*DATA!$D$7)/1000000</f>
        <v>0.2692966613982275</v>
      </c>
      <c r="J11" s="239">
        <f t="shared" ca="1" si="1"/>
        <v>12.894708717441116</v>
      </c>
      <c r="K11" s="237"/>
      <c r="L11" s="239">
        <f>((D11*DATA!$D$23)/1000000)+((E11*DATA!$D$24)/1000000)</f>
        <v>15.949488000000001</v>
      </c>
      <c r="M11" s="239">
        <f t="shared" si="2"/>
        <v>15.949488000000001</v>
      </c>
      <c r="N11" s="239">
        <f t="shared" ca="1" si="6"/>
        <v>3.0547792825588846</v>
      </c>
      <c r="O11" s="238">
        <f>1/(1+'[91]Asumsi I'!$C$3)^(KKF!A11)</f>
        <v>0.63551807840483121</v>
      </c>
      <c r="P11" s="239">
        <f t="shared" ca="1" si="7"/>
        <v>1.9413674596027113</v>
      </c>
      <c r="Q11" s="239">
        <f t="shared" ca="1" si="9"/>
        <v>-0.18651660956097005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11040</v>
      </c>
      <c r="D12" s="239">
        <f t="shared" si="5"/>
        <v>1840</v>
      </c>
      <c r="E12" s="239">
        <f t="shared" si="0"/>
        <v>9200</v>
      </c>
      <c r="F12" s="237"/>
      <c r="G12" s="241">
        <f ca="1">DATA!$D$11/1000000</f>
        <v>0.65667154945499995</v>
      </c>
      <c r="H12" s="241">
        <f>C12*DATA!$D$5/1000000</f>
        <v>11.968740506587888</v>
      </c>
      <c r="I12" s="241">
        <f>(C12*DATA!$D$5*DATA!$D$7)/1000000</f>
        <v>0.2692966613982275</v>
      </c>
      <c r="J12" s="239">
        <f t="shared" ca="1" si="1"/>
        <v>12.894708717441116</v>
      </c>
      <c r="K12" s="237"/>
      <c r="L12" s="239">
        <f>((D12*DATA!$D$23)/1000000)+((E12*DATA!$D$24)/1000000)</f>
        <v>15.949488000000001</v>
      </c>
      <c r="M12" s="239">
        <f t="shared" si="2"/>
        <v>15.949488000000001</v>
      </c>
      <c r="N12" s="239">
        <f t="shared" ca="1" si="6"/>
        <v>3.0547792825588846</v>
      </c>
      <c r="O12" s="238">
        <f>1/(1+'[91]Asumsi I'!$C$3)^(KKF!A12)</f>
        <v>0.56742685571859919</v>
      </c>
      <c r="P12" s="239">
        <f t="shared" ca="1" si="7"/>
        <v>1.7333638032167062</v>
      </c>
      <c r="Q12" s="239">
        <f t="shared" ca="1" si="9"/>
        <v>1.5468471936557362</v>
      </c>
      <c r="S12" s="227" t="str">
        <f t="shared" ca="1" si="3"/>
        <v/>
      </c>
      <c r="T12" s="243">
        <f t="shared" ca="1" si="10"/>
        <v>4.4936304555660094</v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11040</v>
      </c>
      <c r="D13" s="239">
        <f t="shared" si="5"/>
        <v>1840</v>
      </c>
      <c r="E13" s="239">
        <f t="shared" si="0"/>
        <v>9200</v>
      </c>
      <c r="F13" s="237"/>
      <c r="G13" s="241">
        <f ca="1">DATA!$D$11/1000000</f>
        <v>0.65667154945499995</v>
      </c>
      <c r="H13" s="241">
        <f>C13*DATA!$D$5/1000000</f>
        <v>11.968740506587888</v>
      </c>
      <c r="I13" s="241">
        <f>(C13*DATA!$D$5*DATA!$D$7)/1000000</f>
        <v>0.2692966613982275</v>
      </c>
      <c r="J13" s="239">
        <f t="shared" ca="1" si="1"/>
        <v>12.894708717441116</v>
      </c>
      <c r="K13" s="237"/>
      <c r="L13" s="239">
        <f>((D13*DATA!$D$23)/1000000)+((E13*DATA!$D$24)/1000000)</f>
        <v>15.949488000000001</v>
      </c>
      <c r="M13" s="239">
        <f t="shared" si="2"/>
        <v>15.949488000000001</v>
      </c>
      <c r="N13" s="239">
        <f t="shared" ca="1" si="6"/>
        <v>3.0547792825588846</v>
      </c>
      <c r="O13" s="238">
        <f>1/(1+'[91]Asumsi I'!$C$3)^(KKF!A13)</f>
        <v>0.50663112117732068</v>
      </c>
      <c r="P13" s="239">
        <f t="shared" ca="1" si="7"/>
        <v>1.5476462528720589</v>
      </c>
      <c r="Q13" s="239">
        <f t="shared" ca="1" si="9"/>
        <v>3.0944934465277951</v>
      </c>
      <c r="S13" s="227" t="str">
        <f t="shared" ca="1" si="3"/>
        <v/>
      </c>
      <c r="T13" s="243">
        <f t="shared" ca="1" si="10"/>
        <v>4.9869993343886883</v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11040</v>
      </c>
      <c r="D14" s="239">
        <f t="shared" si="5"/>
        <v>1840</v>
      </c>
      <c r="E14" s="239">
        <f t="shared" si="0"/>
        <v>9200</v>
      </c>
      <c r="F14" s="237"/>
      <c r="G14" s="241">
        <f ca="1">DATA!$D$11/1000000</f>
        <v>0.65667154945499995</v>
      </c>
      <c r="H14" s="241">
        <f>C14*DATA!$D$5/1000000</f>
        <v>11.968740506587888</v>
      </c>
      <c r="I14" s="241">
        <f>(C14*DATA!$D$5*DATA!$D$7)/1000000</f>
        <v>0.2692966613982275</v>
      </c>
      <c r="J14" s="239">
        <f t="shared" ca="1" si="1"/>
        <v>12.894708717441116</v>
      </c>
      <c r="K14" s="237"/>
      <c r="L14" s="239">
        <f>((D14*DATA!$D$23)/1000000)+((E14*DATA!$D$24)/1000000)</f>
        <v>15.949488000000001</v>
      </c>
      <c r="M14" s="239">
        <f t="shared" si="2"/>
        <v>15.949488000000001</v>
      </c>
      <c r="N14" s="239">
        <f t="shared" ca="1" si="6"/>
        <v>3.0547792825588846</v>
      </c>
      <c r="O14" s="238">
        <f>1/(1+'[91]Asumsi I'!$C$3)^(KKF!A14)</f>
        <v>0.45234921533689343</v>
      </c>
      <c r="P14" s="239">
        <f t="shared" ca="1" si="7"/>
        <v>1.3818270114929097</v>
      </c>
      <c r="Q14" s="239">
        <f t="shared" ca="1" si="9"/>
        <v>4.4763204580207052</v>
      </c>
      <c r="S14" s="227" t="str">
        <f t="shared" ca="1" si="3"/>
        <v/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11040</v>
      </c>
      <c r="D15" s="239">
        <f t="shared" si="5"/>
        <v>1840</v>
      </c>
      <c r="E15" s="239">
        <f t="shared" si="0"/>
        <v>9200</v>
      </c>
      <c r="F15" s="237"/>
      <c r="G15" s="241">
        <f ca="1">DATA!$D$11/1000000</f>
        <v>0.65667154945499995</v>
      </c>
      <c r="H15" s="241">
        <f>C15*DATA!$D$5/1000000</f>
        <v>11.968740506587888</v>
      </c>
      <c r="I15" s="241">
        <f>(C15*DATA!$D$5*DATA!$D$7)/1000000</f>
        <v>0.2692966613982275</v>
      </c>
      <c r="J15" s="239">
        <f t="shared" ca="1" si="1"/>
        <v>12.894708717441116</v>
      </c>
      <c r="K15" s="237"/>
      <c r="L15" s="239">
        <f>((D15*DATA!$D$23)/1000000)+((E15*DATA!$D$24)/1000000)</f>
        <v>15.949488000000001</v>
      </c>
      <c r="M15" s="239">
        <f t="shared" si="2"/>
        <v>15.949488000000001</v>
      </c>
      <c r="N15" s="239">
        <f t="shared" ca="1" si="6"/>
        <v>3.0547792825588846</v>
      </c>
      <c r="O15" s="238">
        <f>1/(1+'[91]Asumsi I'!$C$3)^(KKF!A15)</f>
        <v>0.4038832279793691</v>
      </c>
      <c r="P15" s="239">
        <f t="shared" ca="1" si="7"/>
        <v>1.2337741174043835</v>
      </c>
      <c r="Q15" s="239">
        <f t="shared" ca="1" si="9"/>
        <v>5.7100945754250887</v>
      </c>
      <c r="S15" s="227" t="str">
        <f t="shared" ca="1" si="3"/>
        <v/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11040</v>
      </c>
      <c r="D16" s="239">
        <f t="shared" si="5"/>
        <v>1840</v>
      </c>
      <c r="E16" s="239">
        <f t="shared" si="0"/>
        <v>9200</v>
      </c>
      <c r="F16" s="237"/>
      <c r="G16" s="241">
        <f ca="1">DATA!$D$11/1000000</f>
        <v>0.65667154945499995</v>
      </c>
      <c r="H16" s="241">
        <f>C16*DATA!$D$5/1000000</f>
        <v>11.968740506587888</v>
      </c>
      <c r="I16" s="241">
        <f>(C16*DATA!$D$5*DATA!$D$7)/1000000</f>
        <v>0.2692966613982275</v>
      </c>
      <c r="J16" s="239">
        <f t="shared" ca="1" si="1"/>
        <v>12.894708717441116</v>
      </c>
      <c r="K16" s="237"/>
      <c r="L16" s="239">
        <f>((D16*DATA!$D$23)/1000000)+((E16*DATA!$D$24)/1000000)</f>
        <v>15.949488000000001</v>
      </c>
      <c r="M16" s="239">
        <f t="shared" si="2"/>
        <v>15.949488000000001</v>
      </c>
      <c r="N16" s="239">
        <f t="shared" ca="1" si="6"/>
        <v>3.0547792825588846</v>
      </c>
      <c r="O16" s="238">
        <f>1/(1+'[91]Asumsi I'!$C$3)^(KKF!A16)</f>
        <v>0.36061002498157957</v>
      </c>
      <c r="P16" s="239">
        <f t="shared" ca="1" si="7"/>
        <v>1.101584033396771</v>
      </c>
      <c r="Q16" s="239">
        <f t="shared" ca="1" si="9"/>
        <v>6.8116786088218593</v>
      </c>
      <c r="S16" s="227" t="str">
        <f t="shared" ca="1" si="3"/>
        <v/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11040</v>
      </c>
      <c r="D17" s="239">
        <f t="shared" si="5"/>
        <v>1840</v>
      </c>
      <c r="E17" s="239">
        <f t="shared" si="0"/>
        <v>9200</v>
      </c>
      <c r="F17" s="237"/>
      <c r="G17" s="241">
        <f ca="1">DATA!$D$11/1000000</f>
        <v>0.65667154945499995</v>
      </c>
      <c r="H17" s="241">
        <f>C17*DATA!$D$5/1000000</f>
        <v>11.968740506587888</v>
      </c>
      <c r="I17" s="241">
        <f>(C17*DATA!$D$5*DATA!$D$7)/1000000</f>
        <v>0.2692966613982275</v>
      </c>
      <c r="J17" s="239">
        <f t="shared" ca="1" si="1"/>
        <v>12.894708717441116</v>
      </c>
      <c r="K17" s="237"/>
      <c r="L17" s="239">
        <f>((D17*DATA!$D$23)/1000000)+((E17*DATA!$D$24)/1000000)</f>
        <v>15.949488000000001</v>
      </c>
      <c r="M17" s="239">
        <f t="shared" si="2"/>
        <v>15.949488000000001</v>
      </c>
      <c r="N17" s="239">
        <f t="shared" ca="1" si="6"/>
        <v>3.0547792825588846</v>
      </c>
      <c r="O17" s="238">
        <f>1/(1+'[91]Asumsi I'!$C$3)^(KKF!A17)</f>
        <v>0.32197323659069599</v>
      </c>
      <c r="P17" s="239">
        <f t="shared" ca="1" si="7"/>
        <v>0.98355717267568832</v>
      </c>
      <c r="Q17" s="239">
        <f t="shared" ca="1" si="9"/>
        <v>7.7952357814975475</v>
      </c>
      <c r="S17" s="227" t="str">
        <f t="shared" ca="1" si="3"/>
        <v/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11040</v>
      </c>
      <c r="D18" s="239">
        <f t="shared" si="5"/>
        <v>1840</v>
      </c>
      <c r="E18" s="239">
        <f t="shared" si="0"/>
        <v>9200</v>
      </c>
      <c r="F18" s="237"/>
      <c r="G18" s="241">
        <f ca="1">DATA!$D$11/1000000</f>
        <v>0.65667154945499995</v>
      </c>
      <c r="H18" s="241">
        <f>C18*DATA!$D$5/1000000</f>
        <v>11.968740506587888</v>
      </c>
      <c r="I18" s="241">
        <f>(C18*DATA!$D$5*DATA!$D$7)/1000000</f>
        <v>0.2692966613982275</v>
      </c>
      <c r="J18" s="239">
        <f t="shared" ca="1" si="1"/>
        <v>12.894708717441116</v>
      </c>
      <c r="K18" s="237"/>
      <c r="L18" s="239">
        <f>((D18*DATA!$D$23)/1000000)+((E18*DATA!$D$24)/1000000)</f>
        <v>15.949488000000001</v>
      </c>
      <c r="M18" s="239">
        <f t="shared" si="2"/>
        <v>15.949488000000001</v>
      </c>
      <c r="N18" s="239">
        <f t="shared" ca="1" si="6"/>
        <v>3.0547792825588846</v>
      </c>
      <c r="O18" s="238">
        <f>1/(1+'[91]Asumsi I'!$C$3)^(KKF!A18)</f>
        <v>0.28747610409883567</v>
      </c>
      <c r="P18" s="239">
        <f t="shared" ca="1" si="7"/>
        <v>0.87817604703186447</v>
      </c>
      <c r="Q18" s="239">
        <f t="shared" ca="1" si="9"/>
        <v>8.6734118285294119</v>
      </c>
      <c r="S18" s="227" t="str">
        <f t="shared" ca="1" si="3"/>
        <v/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11040</v>
      </c>
      <c r="D19" s="239">
        <f t="shared" si="5"/>
        <v>1840</v>
      </c>
      <c r="E19" s="239">
        <f t="shared" si="0"/>
        <v>9200</v>
      </c>
      <c r="F19" s="237"/>
      <c r="G19" s="241">
        <f ca="1">DATA!$D$11/1000000</f>
        <v>0.65667154945499995</v>
      </c>
      <c r="H19" s="241">
        <f>C19*DATA!$D$5/1000000</f>
        <v>11.968740506587888</v>
      </c>
      <c r="I19" s="241">
        <f>(C19*DATA!$D$5*DATA!$D$7)/1000000</f>
        <v>0.2692966613982275</v>
      </c>
      <c r="J19" s="239">
        <f t="shared" ca="1" si="1"/>
        <v>12.894708717441116</v>
      </c>
      <c r="K19" s="237"/>
      <c r="L19" s="239">
        <f>((D19*DATA!$D$23)/1000000)+((E19*DATA!$D$24)/1000000)</f>
        <v>15.949488000000001</v>
      </c>
      <c r="M19" s="239">
        <f t="shared" si="2"/>
        <v>15.949488000000001</v>
      </c>
      <c r="N19" s="239">
        <f t="shared" ca="1" si="6"/>
        <v>3.0547792825588846</v>
      </c>
      <c r="O19" s="238">
        <f>1/(1+'[91]Asumsi I'!$C$3)^(KKF!A19)</f>
        <v>0.25667509294538904</v>
      </c>
      <c r="P19" s="239">
        <f t="shared" ca="1" si="7"/>
        <v>0.78408575627845056</v>
      </c>
      <c r="Q19" s="239">
        <f t="shared" ca="1" si="9"/>
        <v>9.4574975848078626</v>
      </c>
      <c r="S19" s="227" t="str">
        <f t="shared" ca="1" si="3"/>
        <v/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11040</v>
      </c>
      <c r="D20" s="239">
        <f t="shared" si="5"/>
        <v>1840</v>
      </c>
      <c r="E20" s="239">
        <f t="shared" si="0"/>
        <v>9200</v>
      </c>
      <c r="F20" s="237"/>
      <c r="G20" s="241">
        <f ca="1">DATA!$D$11/1000000</f>
        <v>0.65667154945499995</v>
      </c>
      <c r="H20" s="241">
        <f>C20*DATA!$D$5/1000000</f>
        <v>11.968740506587888</v>
      </c>
      <c r="I20" s="241">
        <f>(C20*DATA!$D$5*DATA!$D$7)/1000000</f>
        <v>0.2692966613982275</v>
      </c>
      <c r="J20" s="239">
        <f t="shared" ca="1" si="1"/>
        <v>12.894708717441116</v>
      </c>
      <c r="K20" s="237"/>
      <c r="L20" s="239">
        <f>((D20*DATA!$D$23)/1000000)+((E20*DATA!$D$24)/1000000)</f>
        <v>15.949488000000001</v>
      </c>
      <c r="M20" s="239">
        <f t="shared" si="2"/>
        <v>15.949488000000001</v>
      </c>
      <c r="N20" s="239">
        <f t="shared" ca="1" si="6"/>
        <v>3.0547792825588846</v>
      </c>
      <c r="O20" s="238">
        <f>1/(1+'[91]Asumsi I'!$C$3)^(KKF!A20)</f>
        <v>0.22917419012981158</v>
      </c>
      <c r="P20" s="239">
        <f t="shared" ca="1" si="7"/>
        <v>0.70007656810575924</v>
      </c>
      <c r="Q20" s="239">
        <f t="shared" ca="1" si="9"/>
        <v>10.157574152913622</v>
      </c>
      <c r="S20" s="227" t="str">
        <f t="shared" ca="1" si="3"/>
        <v/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11040</v>
      </c>
      <c r="D21" s="239">
        <f t="shared" si="5"/>
        <v>1840</v>
      </c>
      <c r="E21" s="239">
        <f t="shared" si="0"/>
        <v>9200</v>
      </c>
      <c r="F21" s="237"/>
      <c r="G21" s="241">
        <f ca="1">DATA!$D$11/1000000</f>
        <v>0.65667154945499995</v>
      </c>
      <c r="H21" s="241">
        <f>C21*DATA!$D$5/1000000</f>
        <v>11.968740506587888</v>
      </c>
      <c r="I21" s="241">
        <f>(C21*DATA!$D$5*DATA!$D$7)/1000000</f>
        <v>0.2692966613982275</v>
      </c>
      <c r="J21" s="239">
        <f t="shared" ca="1" si="1"/>
        <v>12.894708717441116</v>
      </c>
      <c r="K21" s="237"/>
      <c r="L21" s="239">
        <f>((D21*DATA!$D$23)/1000000)+((E21*DATA!$D$24)/1000000)</f>
        <v>15.949488000000001</v>
      </c>
      <c r="M21" s="239">
        <f t="shared" si="2"/>
        <v>15.949488000000001</v>
      </c>
      <c r="N21" s="239">
        <f t="shared" ca="1" si="6"/>
        <v>3.0547792825588846</v>
      </c>
      <c r="O21" s="238">
        <f>1/(1+'[91]Asumsi I'!$C$3)^(KKF!A21)</f>
        <v>0.20461981261590317</v>
      </c>
      <c r="P21" s="239">
        <f t="shared" ca="1" si="7"/>
        <v>0.62506836438014213</v>
      </c>
      <c r="Q21" s="239">
        <f t="shared" ca="1" si="9"/>
        <v>10.782642517293764</v>
      </c>
      <c r="S21" s="227" t="str">
        <f t="shared" ca="1" si="3"/>
        <v/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11040</v>
      </c>
      <c r="D22" s="239">
        <f t="shared" si="5"/>
        <v>1840</v>
      </c>
      <c r="E22" s="239">
        <f t="shared" si="0"/>
        <v>9200</v>
      </c>
      <c r="F22" s="237"/>
      <c r="G22" s="241">
        <f ca="1">DATA!$D$11/1000000</f>
        <v>0.65667154945499995</v>
      </c>
      <c r="H22" s="241">
        <f>C22*DATA!$D$5/1000000</f>
        <v>11.968740506587888</v>
      </c>
      <c r="I22" s="241">
        <f>(C22*DATA!$D$5*DATA!$D$7)/1000000</f>
        <v>0.2692966613982275</v>
      </c>
      <c r="J22" s="239">
        <f t="shared" ca="1" si="1"/>
        <v>12.894708717441116</v>
      </c>
      <c r="K22" s="237"/>
      <c r="L22" s="239">
        <f>((D22*DATA!$D$23)/1000000)+((E22*DATA!$D$24)/1000000)</f>
        <v>15.949488000000001</v>
      </c>
      <c r="M22" s="239">
        <f t="shared" si="2"/>
        <v>15.949488000000001</v>
      </c>
      <c r="N22" s="239">
        <f t="shared" ca="1" si="6"/>
        <v>3.0547792825588846</v>
      </c>
      <c r="O22" s="238">
        <f>1/(1+'[91]Asumsi I'!$C$3)^(KKF!A22)</f>
        <v>0.18269626126419927</v>
      </c>
      <c r="P22" s="239">
        <f t="shared" ca="1" si="7"/>
        <v>0.55809675391084124</v>
      </c>
      <c r="Q22" s="239">
        <f t="shared" ca="1" si="9"/>
        <v>11.340739271204605</v>
      </c>
      <c r="S22" s="227" t="str">
        <f t="shared" ca="1" si="3"/>
        <v/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11040</v>
      </c>
      <c r="D23" s="239">
        <f t="shared" si="5"/>
        <v>1840</v>
      </c>
      <c r="E23" s="239">
        <f t="shared" si="0"/>
        <v>9200</v>
      </c>
      <c r="F23" s="237"/>
      <c r="G23" s="241">
        <f ca="1">DATA!$D$11/1000000</f>
        <v>0.65667154945499995</v>
      </c>
      <c r="H23" s="241">
        <f>C23*DATA!$D$5/1000000</f>
        <v>11.968740506587888</v>
      </c>
      <c r="I23" s="241">
        <f>(C23*DATA!$D$5*DATA!$D$7)/1000000</f>
        <v>0.2692966613982275</v>
      </c>
      <c r="J23" s="239">
        <f t="shared" ca="1" si="1"/>
        <v>12.894708717441116</v>
      </c>
      <c r="K23" s="237"/>
      <c r="L23" s="239">
        <f>((D23*DATA!$D$23)/1000000)+((E23*DATA!$D$24)/1000000)</f>
        <v>15.949488000000001</v>
      </c>
      <c r="M23" s="239">
        <f t="shared" si="2"/>
        <v>15.949488000000001</v>
      </c>
      <c r="N23" s="239">
        <f t="shared" ca="1" si="6"/>
        <v>3.0547792825588846</v>
      </c>
      <c r="O23" s="238">
        <f>1/(1+'[91]Asumsi I'!$C$3)^(KKF!A23)</f>
        <v>0.16312166184303503</v>
      </c>
      <c r="P23" s="239">
        <f t="shared" ca="1" si="7"/>
        <v>0.49830067313467952</v>
      </c>
      <c r="Q23" s="239">
        <f t="shared" ca="1" si="9"/>
        <v>11.839039944339284</v>
      </c>
      <c r="S23" s="227" t="str">
        <f t="shared" ca="1" si="3"/>
        <v/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11040</v>
      </c>
      <c r="D24" s="239">
        <f t="shared" si="5"/>
        <v>1840</v>
      </c>
      <c r="E24" s="239">
        <f t="shared" si="0"/>
        <v>9200</v>
      </c>
      <c r="F24" s="237"/>
      <c r="G24" s="241">
        <f ca="1">DATA!$D$11/1000000</f>
        <v>0.65667154945499995</v>
      </c>
      <c r="H24" s="241">
        <f>C24*DATA!$D$5/1000000</f>
        <v>11.968740506587888</v>
      </c>
      <c r="I24" s="241">
        <f>(C24*DATA!$D$5*DATA!$D$7)/1000000</f>
        <v>0.2692966613982275</v>
      </c>
      <c r="J24" s="239">
        <f t="shared" ca="1" si="1"/>
        <v>12.894708717441116</v>
      </c>
      <c r="K24" s="237"/>
      <c r="L24" s="239">
        <f>((D24*DATA!$D$23)/1000000)+((E24*DATA!$D$24)/1000000)</f>
        <v>15.949488000000001</v>
      </c>
      <c r="M24" s="239">
        <f t="shared" si="2"/>
        <v>15.949488000000001</v>
      </c>
      <c r="N24" s="239">
        <f t="shared" ca="1" si="6"/>
        <v>3.0547792825588846</v>
      </c>
      <c r="O24" s="238">
        <f>1/(1+'[91]Asumsi I'!$C$3)^(KKF!A24)</f>
        <v>0.14564434093128129</v>
      </c>
      <c r="P24" s="239">
        <f t="shared" ca="1" si="7"/>
        <v>0.44491131529882105</v>
      </c>
      <c r="Q24" s="239">
        <f t="shared" ca="1" si="9"/>
        <v>12.283951259638105</v>
      </c>
      <c r="S24" s="227" t="str">
        <f t="shared" ca="1" si="3"/>
        <v/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11040</v>
      </c>
      <c r="D25" s="239">
        <f t="shared" si="5"/>
        <v>1840</v>
      </c>
      <c r="E25" s="239">
        <f t="shared" si="0"/>
        <v>9200</v>
      </c>
      <c r="F25" s="237"/>
      <c r="G25" s="241">
        <f ca="1">DATA!$D$11/1000000</f>
        <v>0.65667154945499995</v>
      </c>
      <c r="H25" s="241">
        <f>C25*DATA!$D$5/1000000</f>
        <v>11.968740506587888</v>
      </c>
      <c r="I25" s="241">
        <f>(C25*DATA!$D$5*DATA!$D$7)/1000000</f>
        <v>0.2692966613982275</v>
      </c>
      <c r="J25" s="239">
        <f t="shared" ca="1" si="1"/>
        <v>12.894708717441116</v>
      </c>
      <c r="K25" s="237"/>
      <c r="L25" s="239">
        <f>((D25*DATA!$D$23)/1000000)+((E25*DATA!$D$24)/1000000)</f>
        <v>15.949488000000001</v>
      </c>
      <c r="M25" s="239">
        <f t="shared" si="2"/>
        <v>15.949488000000001</v>
      </c>
      <c r="N25" s="239">
        <f t="shared" ca="1" si="6"/>
        <v>3.0547792825588846</v>
      </c>
      <c r="O25" s="238">
        <f>1/(1+'[91]Asumsi I'!$C$3)^(KKF!A25)</f>
        <v>0.13003959011721541</v>
      </c>
      <c r="P25" s="239">
        <f t="shared" ca="1" si="7"/>
        <v>0.39724224580251871</v>
      </c>
      <c r="Q25" s="239">
        <f t="shared" ca="1" si="9"/>
        <v>12.681193505440623</v>
      </c>
      <c r="S25" s="227" t="str">
        <f t="shared" ca="1" si="3"/>
        <v/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11040</v>
      </c>
      <c r="D26" s="239">
        <f t="shared" si="5"/>
        <v>1840</v>
      </c>
      <c r="E26" s="239">
        <f t="shared" si="0"/>
        <v>9200</v>
      </c>
      <c r="F26" s="237"/>
      <c r="G26" s="241">
        <f ca="1">DATA!$D$11/1000000</f>
        <v>0.65667154945499995</v>
      </c>
      <c r="H26" s="241">
        <f>C26*DATA!$D$5/1000000</f>
        <v>11.968740506587888</v>
      </c>
      <c r="I26" s="241">
        <f>(C26*DATA!$D$5*DATA!$D$7)/1000000</f>
        <v>0.2692966613982275</v>
      </c>
      <c r="J26" s="239">
        <f t="shared" ca="1" si="1"/>
        <v>12.894708717441116</v>
      </c>
      <c r="K26" s="237"/>
      <c r="L26" s="239">
        <f>((D26*DATA!$D$23)/1000000)+((E26*DATA!$D$24)/1000000)</f>
        <v>15.949488000000001</v>
      </c>
      <c r="M26" s="239">
        <f t="shared" si="2"/>
        <v>15.949488000000001</v>
      </c>
      <c r="N26" s="239">
        <f t="shared" ca="1" si="6"/>
        <v>3.0547792825588846</v>
      </c>
      <c r="O26" s="238">
        <f>1/(1+'[91]Asumsi I'!$C$3)^(KKF!A26)</f>
        <v>0.1161067768903709</v>
      </c>
      <c r="P26" s="239">
        <f t="shared" ca="1" si="7"/>
        <v>0.35468057660939167</v>
      </c>
      <c r="Q26" s="239">
        <f t="shared" ca="1" si="9"/>
        <v>13.035874082050015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11040</v>
      </c>
      <c r="D27" s="239">
        <f t="shared" si="5"/>
        <v>1840</v>
      </c>
      <c r="E27" s="239">
        <f t="shared" si="0"/>
        <v>9200</v>
      </c>
      <c r="F27" s="237"/>
      <c r="G27" s="241">
        <f ca="1">DATA!$D$11/1000000</f>
        <v>0.65667154945499995</v>
      </c>
      <c r="H27" s="241">
        <f>C27*DATA!$D$5/1000000</f>
        <v>11.968740506587888</v>
      </c>
      <c r="I27" s="241">
        <f>(C27*DATA!$D$5*DATA!$D$7)/1000000</f>
        <v>0.2692966613982275</v>
      </c>
      <c r="J27" s="239">
        <f t="shared" ca="1" si="1"/>
        <v>12.894708717441116</v>
      </c>
      <c r="K27" s="237"/>
      <c r="L27" s="239">
        <f>((D27*DATA!$D$23)/1000000)+((E27*DATA!$D$24)/1000000)</f>
        <v>15.949488000000001</v>
      </c>
      <c r="M27" s="239">
        <f t="shared" si="2"/>
        <v>15.949488000000001</v>
      </c>
      <c r="N27" s="239">
        <f t="shared" ca="1" si="6"/>
        <v>3.0547792825588846</v>
      </c>
      <c r="O27" s="238">
        <f>1/(1+'[91]Asumsi I'!$C$3)^(KKF!A27)</f>
        <v>0.1036667650806883</v>
      </c>
      <c r="P27" s="239">
        <f t="shared" ca="1" si="7"/>
        <v>0.31667908625838542</v>
      </c>
      <c r="Q27" s="239">
        <f t="shared" ca="1" si="9"/>
        <v>13.3525531683084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11040</v>
      </c>
      <c r="D28" s="239">
        <f t="shared" si="5"/>
        <v>1840</v>
      </c>
      <c r="E28" s="239">
        <f t="shared" si="0"/>
        <v>9200</v>
      </c>
      <c r="F28" s="237"/>
      <c r="G28" s="241">
        <f ca="1">DATA!$D$11/1000000</f>
        <v>0.65667154945499995</v>
      </c>
      <c r="H28" s="241">
        <f>C28*DATA!$D$5/1000000</f>
        <v>11.968740506587888</v>
      </c>
      <c r="I28" s="241">
        <f>(C28*DATA!$D$5*DATA!$D$7)/1000000</f>
        <v>0.2692966613982275</v>
      </c>
      <c r="J28" s="239">
        <f t="shared" ca="1" si="1"/>
        <v>12.894708717441116</v>
      </c>
      <c r="K28" s="237"/>
      <c r="L28" s="239">
        <f>((D28*DATA!$D$23)/1000000)+((E28*DATA!$D$24)/1000000)</f>
        <v>15.949488000000001</v>
      </c>
      <c r="M28" s="239">
        <f t="shared" si="2"/>
        <v>15.949488000000001</v>
      </c>
      <c r="N28" s="239">
        <f t="shared" ca="1" si="6"/>
        <v>3.0547792825588846</v>
      </c>
      <c r="O28" s="238">
        <f>1/(1+'[91]Asumsi I'!$C$3)^(KKF!A28)</f>
        <v>9.2559611679185971E-2</v>
      </c>
      <c r="P28" s="239">
        <f t="shared" ca="1" si="7"/>
        <v>0.28274918415927269</v>
      </c>
      <c r="Q28" s="239">
        <f t="shared" ca="1" si="9"/>
        <v>13.635302352467674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11040</v>
      </c>
      <c r="D29" s="239">
        <f t="shared" si="5"/>
        <v>1840</v>
      </c>
      <c r="E29" s="239">
        <f t="shared" si="0"/>
        <v>9200</v>
      </c>
      <c r="F29" s="237"/>
      <c r="G29" s="241">
        <f ca="1">DATA!$D$11/1000000</f>
        <v>0.65667154945499995</v>
      </c>
      <c r="H29" s="241">
        <f>C29*DATA!$D$5/1000000</f>
        <v>11.968740506587888</v>
      </c>
      <c r="I29" s="241">
        <f>(C29*DATA!$D$5*DATA!$D$7)/1000000</f>
        <v>0.2692966613982275</v>
      </c>
      <c r="J29" s="239">
        <f t="shared" ca="1" si="1"/>
        <v>12.894708717441116</v>
      </c>
      <c r="K29" s="237"/>
      <c r="L29" s="239">
        <f>((D29*DATA!$D$23)/1000000)+((E29*DATA!$D$24)/1000000)</f>
        <v>15.949488000000001</v>
      </c>
      <c r="M29" s="239">
        <f t="shared" si="2"/>
        <v>15.949488000000001</v>
      </c>
      <c r="N29" s="239">
        <f t="shared" ca="1" si="6"/>
        <v>3.0547792825588846</v>
      </c>
      <c r="O29" s="238">
        <f>1/(1+'[91]Asumsi I'!$C$3)^(KKF!A29)</f>
        <v>8.2642510427844609E-2</v>
      </c>
      <c r="P29" s="239">
        <f t="shared" ca="1" si="7"/>
        <v>0.25245462871363628</v>
      </c>
      <c r="Q29" s="239">
        <f t="shared" ca="1" si="9"/>
        <v>13.88775698118131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11040</v>
      </c>
      <c r="D30" s="239">
        <f t="shared" si="5"/>
        <v>1840</v>
      </c>
      <c r="E30" s="239">
        <f t="shared" si="0"/>
        <v>9200</v>
      </c>
      <c r="F30" s="237"/>
      <c r="G30" s="241">
        <f ca="1">DATA!$D$11/1000000</f>
        <v>0.65667154945499995</v>
      </c>
      <c r="H30" s="241">
        <f>C30*DATA!$D$5/1000000</f>
        <v>11.968740506587888</v>
      </c>
      <c r="I30" s="241">
        <f>(C30*DATA!$D$5*DATA!$D$7)/1000000</f>
        <v>0.2692966613982275</v>
      </c>
      <c r="J30" s="239">
        <f t="shared" ca="1" si="1"/>
        <v>12.894708717441116</v>
      </c>
      <c r="K30" s="237"/>
      <c r="L30" s="239">
        <f>((D30*DATA!$D$23)/1000000)+((E30*DATA!$D$24)/1000000)</f>
        <v>15.949488000000001</v>
      </c>
      <c r="M30" s="239">
        <f t="shared" si="2"/>
        <v>15.949488000000001</v>
      </c>
      <c r="N30" s="239">
        <f t="shared" ca="1" si="6"/>
        <v>3.0547792825588846</v>
      </c>
      <c r="O30" s="238">
        <f>1/(1+'[91]Asumsi I'!$C$3)^(KKF!A30)</f>
        <v>7.3787955739146982E-2</v>
      </c>
      <c r="P30" s="239">
        <f t="shared" ca="1" si="7"/>
        <v>0.22540591849431815</v>
      </c>
      <c r="Q30" s="239">
        <f t="shared" ca="1" si="9"/>
        <v>14.113162899675627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11040</v>
      </c>
      <c r="D31" s="239">
        <f t="shared" si="5"/>
        <v>1840</v>
      </c>
      <c r="E31" s="239">
        <f t="shared" si="0"/>
        <v>9200</v>
      </c>
      <c r="F31" s="237"/>
      <c r="G31" s="241">
        <f ca="1">DATA!$D$11/1000000</f>
        <v>0.65667154945499995</v>
      </c>
      <c r="H31" s="241">
        <f>C31*DATA!$D$5/1000000</f>
        <v>11.968740506587888</v>
      </c>
      <c r="I31" s="241">
        <f>(C31*DATA!$D$5*DATA!$D$7)/1000000</f>
        <v>0.2692966613982275</v>
      </c>
      <c r="J31" s="239">
        <f t="shared" ca="1" si="1"/>
        <v>12.894708717441116</v>
      </c>
      <c r="K31" s="237"/>
      <c r="L31" s="239">
        <f>((D31*DATA!$D$23)/1000000)+((E31*DATA!$D$24)/1000000)</f>
        <v>15.949488000000001</v>
      </c>
      <c r="M31" s="239">
        <f t="shared" si="2"/>
        <v>15.949488000000001</v>
      </c>
      <c r="N31" s="239">
        <f t="shared" ca="1" si="6"/>
        <v>3.0547792825588846</v>
      </c>
      <c r="O31" s="238">
        <f>1/(1+'[91]Asumsi I'!$C$3)^(KKF!A31)</f>
        <v>6.5882103338524081E-2</v>
      </c>
      <c r="P31" s="239">
        <f t="shared" ca="1" si="7"/>
        <v>0.2012552843699269</v>
      </c>
      <c r="Q31" s="239">
        <f ca="1">Q30+P31</f>
        <v>14.314418184045554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11040</v>
      </c>
      <c r="D32" s="239">
        <f t="shared" si="5"/>
        <v>1840</v>
      </c>
      <c r="E32" s="239">
        <f t="shared" si="0"/>
        <v>9200</v>
      </c>
      <c r="F32" s="237"/>
      <c r="G32" s="241">
        <f ca="1">DATA!$D$11/1000000</f>
        <v>0.65667154945499995</v>
      </c>
      <c r="H32" s="241">
        <f>C32*DATA!$D$5/1000000</f>
        <v>11.968740506587888</v>
      </c>
      <c r="I32" s="241">
        <f>(C32*DATA!$D$5*DATA!$D$7)/1000000</f>
        <v>0.2692966613982275</v>
      </c>
      <c r="J32" s="239">
        <f t="shared" ca="1" si="1"/>
        <v>12.894708717441116</v>
      </c>
      <c r="K32" s="237"/>
      <c r="L32" s="239">
        <f>((D32*DATA!$D$23)/1000000)+((E32*DATA!$D$24)/1000000)</f>
        <v>15.949488000000001</v>
      </c>
      <c r="M32" s="239">
        <f t="shared" si="2"/>
        <v>15.949488000000001</v>
      </c>
      <c r="N32" s="239">
        <f t="shared" ca="1" si="6"/>
        <v>3.0547792825588846</v>
      </c>
      <c r="O32" s="238">
        <f>1/(1+'[91]Asumsi I'!$C$3)^(KKF!A32)</f>
        <v>5.8823306552253637E-2</v>
      </c>
      <c r="P32" s="239">
        <f t="shared" ca="1" si="7"/>
        <v>0.17969221818743469</v>
      </c>
      <c r="Q32" s="239">
        <f ca="1">Q31+P32</f>
        <v>14.494110402232989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04" t="s">
        <v>1344</v>
      </c>
      <c r="G33" s="604"/>
      <c r="H33" s="604"/>
      <c r="I33" s="247"/>
      <c r="J33" s="248">
        <f ca="1">SUM(J7:J32)</f>
        <v>364.01665840355702</v>
      </c>
      <c r="K33" s="604" t="s">
        <v>1345</v>
      </c>
      <c r="L33" s="604"/>
      <c r="M33" s="248">
        <f>SUM(M7:M32)</f>
        <v>430.92119199999973</v>
      </c>
      <c r="N33" s="246"/>
      <c r="O33" s="246"/>
      <c r="P33" s="249"/>
      <c r="Q33" s="249"/>
      <c r="S33" s="227">
        <f ca="1">COUNTIF(S7:S32,"a")</f>
        <v>5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13.634026099797683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>
        <f ca="1">AVERAGE(T7:T32)</f>
        <v>4.7403148949773488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1.1837952523652664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12.941170001993736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0.32244840947267117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100"/>
  <sheetViews>
    <sheetView showGridLines="0" zoomScale="70" zoomScaleNormal="70" zoomScaleSheetLayoutView="70" workbookViewId="0">
      <pane ySplit="13" topLeftCell="A59" activePane="bottomLeft" state="frozen"/>
      <selection activeCell="H1093" sqref="H1093"/>
      <selection pane="bottomLeft" activeCell="G33" sqref="G33:K34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9" customWidth="1"/>
    <col min="4" max="4" width="13.7109375" style="329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20" t="s">
        <v>1006</v>
      </c>
      <c r="P3" s="620"/>
      <c r="Q3" s="269"/>
      <c r="T3" s="267"/>
      <c r="U3" s="268" t="s">
        <v>1011</v>
      </c>
      <c r="V3" s="267"/>
    </row>
    <row r="4" spans="1:22" ht="15.75" customHeight="1">
      <c r="B4" s="621" t="s">
        <v>993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42" t="s">
        <v>1636</v>
      </c>
      <c r="H6" s="542"/>
      <c r="I6" s="542"/>
      <c r="J6" s="542"/>
      <c r="K6" s="542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1637</v>
      </c>
      <c r="H7" s="27"/>
      <c r="I7" s="27"/>
      <c r="J7" s="107"/>
      <c r="K7" s="445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23" t="s">
        <v>0</v>
      </c>
      <c r="C11" s="625" t="s">
        <v>1</v>
      </c>
      <c r="D11" s="628" t="s">
        <v>32</v>
      </c>
      <c r="E11" s="628" t="s">
        <v>33</v>
      </c>
      <c r="F11" s="628" t="s">
        <v>2</v>
      </c>
      <c r="G11" s="630" t="s">
        <v>31</v>
      </c>
      <c r="H11" s="628" t="s">
        <v>3</v>
      </c>
      <c r="I11" s="628"/>
      <c r="J11" s="628"/>
      <c r="K11" s="635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24"/>
      <c r="C12" s="626"/>
      <c r="D12" s="629"/>
      <c r="E12" s="629"/>
      <c r="F12" s="629"/>
      <c r="G12" s="631"/>
      <c r="H12" s="633" t="s">
        <v>36</v>
      </c>
      <c r="I12" s="633" t="s">
        <v>5</v>
      </c>
      <c r="J12" s="629" t="s">
        <v>37</v>
      </c>
      <c r="K12" s="636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24"/>
      <c r="C13" s="627"/>
      <c r="D13" s="629"/>
      <c r="E13" s="629"/>
      <c r="F13" s="629"/>
      <c r="G13" s="632"/>
      <c r="H13" s="634"/>
      <c r="I13" s="634"/>
      <c r="J13" s="629"/>
      <c r="K13" s="636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83" t="s">
        <v>470</v>
      </c>
      <c r="C15" s="484" t="s">
        <v>1576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18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86"/>
      <c r="C16" s="503"/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289"/>
      <c r="G16" s="283">
        <f ca="1">IF(ISERROR(OFFSET('HARGA SATUAN'!$I$6,MATCH(RAB!C16,'HARGA SATUAN'!$C$7:$C$1492,0),0)),0,OFFSET('HARGA SATUAN'!$I$6,MATCH(RAB!C16,'HARGA SATUAN'!$C$7:$C$1492,0),0))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486"/>
      <c r="C17" s="503"/>
      <c r="D17" s="281" t="str">
        <f ca="1">IF(ISERROR(OFFSET('HARGA SATUAN'!$D$6,MATCH(RAB!C17,'HARGA SATUAN'!$C$7:$C$1492,0),0)),"",OFFSET('HARGA SATUAN'!$D$6,MATCH(RAB!C17,'HARGA SATUAN'!$C$7:$C$1492,0),0))</f>
        <v/>
      </c>
      <c r="E17" s="282" t="str">
        <f ca="1">IF(B17="+","Unit",IF(ISERROR(OFFSET('HARGA SATUAN'!$E$6,MATCH(RAB!C17,'HARGA SATUAN'!$C$7:$C$1492,0),0)),"",OFFSET('HARGA SATUAN'!$E$6,MATCH(RAB!C17,'HARGA SATUAN'!$C$7:$C$1492,0),0)))</f>
        <v/>
      </c>
      <c r="F17" s="289"/>
      <c r="G17" s="283">
        <f ca="1">IF(ISERROR(OFFSET('HARGA SATUAN'!$I$6,MATCH(RAB!C17,'HARGA SATUAN'!$C$7:$C$1492,0),0)),0,OFFSET('HARGA SATUAN'!$I$6,MATCH(RAB!C17,'HARGA SATUAN'!$C$7:$C$1492,0),0))</f>
        <v>0</v>
      </c>
      <c r="H17" s="284">
        <f t="shared" ref="H17:H18" ca="1" si="4">IF(OR(D17="MDU",D17="MDU-KD"),(IF($O$3="RAB NON MDU","PLN KD",G17*F17)),0)</f>
        <v>0</v>
      </c>
      <c r="I17" s="284">
        <f t="shared" ref="I17:I18" ca="1" si="5">IF(D17="HDW",G17*F17,0)</f>
        <v>0</v>
      </c>
      <c r="J17" s="284">
        <f t="shared" ref="J17:J18" ca="1" si="6">IF(D17="JASA",G17*F17,0)</f>
        <v>0</v>
      </c>
      <c r="K17" s="285">
        <f t="shared" ca="1" si="3"/>
        <v>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 ht="28.5">
      <c r="A18" s="259" t="e">
        <f>IF(AND(C18=0,#REF!=0,#REF!=0),"BLANKS",1)</f>
        <v>#REF!</v>
      </c>
      <c r="B18" s="485" t="s">
        <v>495</v>
      </c>
      <c r="C18" s="280" t="s">
        <v>1577</v>
      </c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/>
      </c>
      <c r="F18" s="396"/>
      <c r="G18" s="283">
        <f ca="1">IF(ISERROR(OFFSET('HARGA SATUAN'!$I$6,MATCH(RAB!C18,'HARGA SATUAN'!$C$7:$C$1492,0),0)),0,OFFSET('HARGA SATUAN'!$I$6,MATCH(RAB!C18,'HARGA SATUAN'!$C$7:$C$1492,0),0))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3"/>
        <v>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/>
      <c r="B19" s="486"/>
      <c r="C19" s="503"/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/>
      </c>
      <c r="F19" s="396"/>
      <c r="G19" s="283">
        <f ca="1">IF(ISERROR(OFFSET('HARGA SATUAN'!$I$6,MATCH(RAB!C19,'HARGA SATUAN'!$C$7:$C$1492,0),0)),0,OFFSET('HARGA SATUAN'!$I$6,MATCH(RAB!C19,'HARGA SATUAN'!$C$7:$C$1492,0),0))</f>
        <v>0</v>
      </c>
      <c r="H19" s="284">
        <f t="shared" ref="H19:H67" ca="1" si="7">IF(OR(D19="MDU",D19="MDU-KD"),(IF($O$3="RAB NON MDU","PLN KD",G19*F19)),0)</f>
        <v>0</v>
      </c>
      <c r="I19" s="284">
        <f t="shared" ref="I19:I67" ca="1" si="8">IF(D19="HDW",G19*F19,0)</f>
        <v>0</v>
      </c>
      <c r="J19" s="284">
        <f t="shared" ref="J19:J67" ca="1" si="9">IF(D19="JASA",G19*F19,0)</f>
        <v>0</v>
      </c>
      <c r="K19" s="285">
        <f t="shared" ref="K19:K67" ca="1" si="10">SUM(H19:J19)</f>
        <v>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405" t="s">
        <v>1005</v>
      </c>
      <c r="C20" s="406" t="s">
        <v>1626</v>
      </c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>Unit</v>
      </c>
      <c r="F20" s="396">
        <v>1</v>
      </c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7"/>
        <v>0</v>
      </c>
      <c r="I20" s="284">
        <f t="shared" ca="1" si="8"/>
        <v>0</v>
      </c>
      <c r="J20" s="284">
        <f t="shared" ca="1" si="9"/>
        <v>0</v>
      </c>
      <c r="K20" s="285">
        <f t="shared" ca="1" si="10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 t="e">
        <f>IF(AND(C21=0,C22=0,#REF!=0),"BLANKS",1)</f>
        <v>#REF!</v>
      </c>
      <c r="B21" s="405">
        <v>1</v>
      </c>
      <c r="C21" s="406" t="s">
        <v>1116</v>
      </c>
      <c r="D21" s="714" t="s">
        <v>1642</v>
      </c>
      <c r="E21" s="282" t="str">
        <f ca="1">IF(B21="+","Unit",IF(ISERROR(OFFSET('HARGA SATUAN'!$E$6,MATCH(RAB!C21,'HARGA SATUAN'!$C$7:$C$1492,0),0)),"",OFFSET('HARGA SATUAN'!$E$6,MATCH(RAB!C21,'HARGA SATUAN'!$C$7:$C$1492,0),0)))</f>
        <v>Bh</v>
      </c>
      <c r="F21" s="396">
        <v>1</v>
      </c>
      <c r="G21" s="283">
        <f ca="1">IF(ISERROR(OFFSET('HARGA SATUAN'!$I$6,MATCH(RAB!C21,'HARGA SATUAN'!$C$7:$C$1492,0),0)),0,OFFSET('HARGA SATUAN'!$I$6,MATCH(RAB!C21,'HARGA SATUAN'!$C$7:$C$1492,0),0))</f>
        <v>42757200</v>
      </c>
      <c r="H21" s="284">
        <f t="shared" si="7"/>
        <v>0</v>
      </c>
      <c r="I21" s="284">
        <f t="shared" si="8"/>
        <v>0</v>
      </c>
      <c r="J21" s="284">
        <f t="shared" si="9"/>
        <v>0</v>
      </c>
      <c r="K21" s="285">
        <f t="shared" si="10"/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>
      <c r="A22" s="259" t="e">
        <f>IF(AND(C22=0,#REF!=0,#REF!=0),"BLANKS",1)</f>
        <v>#REF!</v>
      </c>
      <c r="B22" s="504">
        <v>2</v>
      </c>
      <c r="C22" s="457" t="s">
        <v>1513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396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7"/>
        <v>0</v>
      </c>
      <c r="I22" s="284">
        <f t="shared" ca="1" si="8"/>
        <v>0</v>
      </c>
      <c r="J22" s="284">
        <f t="shared" ca="1" si="9"/>
        <v>0</v>
      </c>
      <c r="K22" s="285">
        <f t="shared" ca="1" si="10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/>
      <c r="B23" s="405"/>
      <c r="C23" s="457" t="s">
        <v>55</v>
      </c>
      <c r="D23" s="281" t="str">
        <f ca="1">IF(ISERROR(OFFSET('HARGA SATUAN'!$D$6,MATCH(RAB!C23,'HARGA SATUAN'!$C$7:$C$1492,0),0)),"",OFFSET('HARGA SATUAN'!$D$6,MATCH(RAB!C23,'HARGA SATUAN'!$C$7:$C$1492,0),0))</f>
        <v>MDU-KD</v>
      </c>
      <c r="E23" s="282" t="str">
        <f ca="1">IF(B23="+","Unit",IF(ISERROR(OFFSET('HARGA SATUAN'!$E$6,MATCH(RAB!C23,'HARGA SATUAN'!$C$7:$C$1492,0),0)),"",OFFSET('HARGA SATUAN'!$E$6,MATCH(RAB!C23,'HARGA SATUAN'!$C$7:$C$1492,0),0)))</f>
        <v>Mtr</v>
      </c>
      <c r="F23" s="396">
        <f>F20*(3*3)</f>
        <v>9</v>
      </c>
      <c r="G23" s="283">
        <f ca="1">IF(ISERROR(OFFSET('HARGA SATUAN'!$I$6,MATCH(RAB!C23,'HARGA SATUAN'!$C$7:$C$1492,0),0)),0,OFFSET('HARGA SATUAN'!$I$6,MATCH(RAB!C23,'HARGA SATUAN'!$C$7:$C$1492,0),0))</f>
        <v>14200</v>
      </c>
      <c r="H23" s="284">
        <f t="shared" ca="1" si="7"/>
        <v>127800</v>
      </c>
      <c r="I23" s="284">
        <f t="shared" ca="1" si="8"/>
        <v>0</v>
      </c>
      <c r="J23" s="284">
        <f t="shared" ca="1" si="9"/>
        <v>0</v>
      </c>
      <c r="K23" s="285">
        <f t="shared" ca="1" si="10"/>
        <v>127800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>
        <f t="shared" ref="A24:A26" si="11">IF(AND(C24=0,C25=0,C26=0),"BLANKS",1)</f>
        <v>1</v>
      </c>
      <c r="B24" s="405"/>
      <c r="C24" s="457" t="s">
        <v>1578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/>
      </c>
      <c r="F24" s="396">
        <f>F20*3</f>
        <v>3</v>
      </c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ca="1" si="7"/>
        <v>0</v>
      </c>
      <c r="I24" s="284">
        <f t="shared" ca="1" si="8"/>
        <v>0</v>
      </c>
      <c r="J24" s="284">
        <f t="shared" ca="1" si="9"/>
        <v>0</v>
      </c>
      <c r="K24" s="285">
        <f t="shared" ca="1" si="10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>
        <f t="shared" si="11"/>
        <v>1</v>
      </c>
      <c r="B25" s="405">
        <v>3</v>
      </c>
      <c r="C25" s="109" t="s">
        <v>549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399">
        <f>F20*3</f>
        <v>3</v>
      </c>
      <c r="G25" s="283">
        <f ca="1">IF(ISERROR(OFFSET('HARGA SATUAN'!$I$6,MATCH(RAB!C25,'HARGA SATUAN'!$C$7:$C$1492,0),0)),0,OFFSET('HARGA SATUAN'!$I$6,MATCH(RAB!C25,'HARGA SATUAN'!$C$7:$C$1492,0),0))</f>
        <v>725900</v>
      </c>
      <c r="H25" s="284">
        <f t="shared" ca="1" si="7"/>
        <v>2177700</v>
      </c>
      <c r="I25" s="284">
        <f t="shared" ca="1" si="8"/>
        <v>0</v>
      </c>
      <c r="J25" s="284">
        <f t="shared" ca="1" si="9"/>
        <v>0</v>
      </c>
      <c r="K25" s="285">
        <f t="shared" ca="1" si="10"/>
        <v>2177700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>
        <f t="shared" si="11"/>
        <v>1</v>
      </c>
      <c r="B26" s="405">
        <v>4</v>
      </c>
      <c r="C26" s="406" t="s">
        <v>525</v>
      </c>
      <c r="D26" s="281" t="str">
        <f ca="1">IF(ISERROR(OFFSET('HARGA SATUAN'!$D$6,MATCH(RAB!C26,'HARGA SATUAN'!$C$7:$C$1492,0),0)),"",OFFSET('HARGA SATUAN'!$D$6,MATCH(RAB!C26,'HARGA SATUAN'!$C$7:$C$1492,0),0))</f>
        <v>MDU-KD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396">
        <f>F20*3</f>
        <v>3</v>
      </c>
      <c r="G26" s="283">
        <f ca="1">IF(ISERROR(OFFSET('HARGA SATUAN'!$I$6,MATCH(RAB!C26,'HARGA SATUAN'!$C$7:$C$1492,0),0)),0,OFFSET('HARGA SATUAN'!$I$6,MATCH(RAB!C26,'HARGA SATUAN'!$C$7:$C$1492,0),0))</f>
        <v>848250</v>
      </c>
      <c r="H26" s="284">
        <f t="shared" ca="1" si="7"/>
        <v>2544750</v>
      </c>
      <c r="I26" s="284">
        <f t="shared" ca="1" si="8"/>
        <v>0</v>
      </c>
      <c r="J26" s="284">
        <f t="shared" ca="1" si="9"/>
        <v>0</v>
      </c>
      <c r="K26" s="285">
        <f t="shared" ca="1" si="10"/>
        <v>2544750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 t="e">
        <f>IF(AND(C27=0,C28=0,#REF!=0),"BLANKS",1)</f>
        <v>#REF!</v>
      </c>
      <c r="B27" s="405">
        <v>5</v>
      </c>
      <c r="C27" s="406" t="s">
        <v>527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396">
        <f>F20*3</f>
        <v>3</v>
      </c>
      <c r="G27" s="283">
        <f ca="1">IF(ISERROR(OFFSET('HARGA SATUAN'!$I$6,MATCH(RAB!C27,'HARGA SATUAN'!$C$7:$C$1492,0),0)),0,OFFSET('HARGA SATUAN'!$I$6,MATCH(RAB!C27,'HARGA SATUAN'!$C$7:$C$1492,0),0))</f>
        <v>17500</v>
      </c>
      <c r="H27" s="284">
        <f t="shared" ca="1" si="7"/>
        <v>0</v>
      </c>
      <c r="I27" s="284">
        <f t="shared" ca="1" si="8"/>
        <v>52500</v>
      </c>
      <c r="J27" s="284">
        <f t="shared" ca="1" si="9"/>
        <v>0</v>
      </c>
      <c r="K27" s="285">
        <f t="shared" ca="1" si="10"/>
        <v>52500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 t="e">
        <f>IF(AND(C28=0,#REF!=0,#REF!=0),"BLANKS",1)</f>
        <v>#REF!</v>
      </c>
      <c r="B28" s="405">
        <v>6</v>
      </c>
      <c r="C28" s="715" t="s">
        <v>1535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396">
        <f>F20*13</f>
        <v>13</v>
      </c>
      <c r="G28" s="716">
        <f ca="1">IF(ISERROR(OFFSET('HARGA SATUAN'!$I$6,MATCH(RAB!C28,'HARGA SATUAN'!$C$7:$C$1492,0),0)),0,OFFSET('HARGA SATUAN'!$I$6,MATCH(RAB!C28,'HARGA SATUAN'!$C$7:$C$1492,0),0))</f>
        <v>64300</v>
      </c>
      <c r="H28" s="284">
        <f t="shared" ca="1" si="7"/>
        <v>0</v>
      </c>
      <c r="I28" s="284">
        <f t="shared" ca="1" si="8"/>
        <v>835900</v>
      </c>
      <c r="J28" s="284">
        <f t="shared" ca="1" si="9"/>
        <v>0</v>
      </c>
      <c r="K28" s="285">
        <f t="shared" ca="1" si="10"/>
        <v>835900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>
        <f t="shared" ref="A29:A31" si="12">IF(AND(C29=0,C30=0,C31=0),"BLANKS",1)</f>
        <v>1</v>
      </c>
      <c r="B29" s="405">
        <v>7</v>
      </c>
      <c r="C29" s="406" t="s">
        <v>153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396">
        <f>F20*22</f>
        <v>22</v>
      </c>
      <c r="G29" s="283">
        <f ca="1">IF(ISERROR(OFFSET('HARGA SATUAN'!$I$6,MATCH(RAB!C29,'HARGA SATUAN'!$C$7:$C$1492,0),0)),0,OFFSET('HARGA SATUAN'!$I$6,MATCH(RAB!C29,'HARGA SATUAN'!$C$7:$C$1492,0),0))</f>
        <v>7938</v>
      </c>
      <c r="H29" s="284">
        <f t="shared" ca="1" si="7"/>
        <v>0</v>
      </c>
      <c r="I29" s="284">
        <f t="shared" ca="1" si="8"/>
        <v>174636</v>
      </c>
      <c r="J29" s="284">
        <f t="shared" ca="1" si="9"/>
        <v>0</v>
      </c>
      <c r="K29" s="285">
        <f t="shared" ca="1" si="10"/>
        <v>174636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 ht="30">
      <c r="A30" s="259">
        <f t="shared" si="12"/>
        <v>1</v>
      </c>
      <c r="B30" s="405">
        <v>8</v>
      </c>
      <c r="C30" s="406" t="s">
        <v>166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396">
        <f>F20*1</f>
        <v>1</v>
      </c>
      <c r="G30" s="283">
        <f ca="1">IF(ISERROR(OFFSET('HARGA SATUAN'!$I$6,MATCH(RAB!C30,'HARGA SATUAN'!$C$7:$C$1492,0),0)),0,OFFSET('HARGA SATUAN'!$I$6,MATCH(RAB!C30,'HARGA SATUAN'!$C$7:$C$1492,0),0))</f>
        <v>404600</v>
      </c>
      <c r="H30" s="284">
        <f t="shared" ca="1" si="7"/>
        <v>0</v>
      </c>
      <c r="I30" s="284">
        <f t="shared" ca="1" si="8"/>
        <v>404600</v>
      </c>
      <c r="J30" s="284">
        <f t="shared" ca="1" si="9"/>
        <v>0</v>
      </c>
      <c r="K30" s="285">
        <f t="shared" ca="1" si="10"/>
        <v>404600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>
        <f t="shared" si="12"/>
        <v>1</v>
      </c>
      <c r="B31" s="405">
        <v>9</v>
      </c>
      <c r="C31" s="406" t="s">
        <v>174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396">
        <f>F20*3</f>
        <v>3</v>
      </c>
      <c r="G31" s="283">
        <f ca="1">IF(ISERROR(OFFSET('HARGA SATUAN'!$I$6,MATCH(RAB!C31,'HARGA SATUAN'!$C$7:$C$1492,0),0)),0,OFFSET('HARGA SATUAN'!$I$6,MATCH(RAB!C31,'HARGA SATUAN'!$C$7:$C$1492,0),0))</f>
        <v>15900</v>
      </c>
      <c r="H31" s="284">
        <f t="shared" ca="1" si="7"/>
        <v>0</v>
      </c>
      <c r="I31" s="284">
        <f t="shared" ca="1" si="8"/>
        <v>47700</v>
      </c>
      <c r="J31" s="284">
        <f t="shared" ca="1" si="9"/>
        <v>0</v>
      </c>
      <c r="K31" s="285">
        <f t="shared" ca="1" si="10"/>
        <v>47700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 t="e">
        <f>IF(AND(C32=0,C33=0,#REF!=0),"BLANKS",1)</f>
        <v>#REF!</v>
      </c>
      <c r="B32" s="405">
        <v>10</v>
      </c>
      <c r="C32" s="406" t="s">
        <v>582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396">
        <f>F20*5</f>
        <v>5</v>
      </c>
      <c r="G32" s="283">
        <f ca="1">IF(ISERROR(OFFSET('HARGA SATUAN'!$I$6,MATCH(RAB!C32,'HARGA SATUAN'!$C$7:$C$1492,0),0)),0,OFFSET('HARGA SATUAN'!$I$6,MATCH(RAB!C32,'HARGA SATUAN'!$C$7:$C$1492,0),0))</f>
        <v>283100</v>
      </c>
      <c r="H32" s="284">
        <f t="shared" ca="1" si="7"/>
        <v>0</v>
      </c>
      <c r="I32" s="284">
        <f t="shared" ca="1" si="8"/>
        <v>1415500</v>
      </c>
      <c r="J32" s="284">
        <f t="shared" ca="1" si="9"/>
        <v>0</v>
      </c>
      <c r="K32" s="285">
        <f t="shared" ca="1" si="10"/>
        <v>1415500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 t="e">
        <f>IF(AND(C33=0,#REF!=0,#REF!=0),"BLANKS",1)</f>
        <v>#REF!</v>
      </c>
      <c r="B33" s="405">
        <v>11</v>
      </c>
      <c r="C33" s="406" t="s">
        <v>583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396">
        <f>F20*4</f>
        <v>4</v>
      </c>
      <c r="G33" s="283">
        <f ca="1">IF(ISERROR(OFFSET('HARGA SATUAN'!$I$6,MATCH(RAB!C33,'HARGA SATUAN'!$C$7:$C$1492,0),0)),0,OFFSET('HARGA SATUAN'!$I$6,MATCH(RAB!C33,'HARGA SATUAN'!$C$7:$C$1492,0),0))</f>
        <v>380500</v>
      </c>
      <c r="H33" s="284">
        <f t="shared" ca="1" si="7"/>
        <v>0</v>
      </c>
      <c r="I33" s="284">
        <f t="shared" ca="1" si="8"/>
        <v>1522000</v>
      </c>
      <c r="J33" s="284">
        <f t="shared" ca="1" si="9"/>
        <v>0</v>
      </c>
      <c r="K33" s="285">
        <f t="shared" ca="1" si="10"/>
        <v>1522000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/>
      <c r="B34" s="405">
        <v>12</v>
      </c>
      <c r="C34" s="406" t="s">
        <v>198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396">
        <f>F20*3</f>
        <v>3</v>
      </c>
      <c r="G34" s="283">
        <f ca="1">IF(ISERROR(OFFSET('HARGA SATUAN'!$I$6,MATCH(RAB!C34,'HARGA SATUAN'!$C$7:$C$1492,0),0)),0,OFFSET('HARGA SATUAN'!$I$6,MATCH(RAB!C34,'HARGA SATUAN'!$C$7:$C$1492,0),0))</f>
        <v>173400</v>
      </c>
      <c r="H34" s="284">
        <f t="shared" ref="H34" ca="1" si="13">IF(OR(D34="MDU",D34="MDU-KD"),(IF($O$3="RAB NON MDU","PLN KD",G34*F34)),0)</f>
        <v>0</v>
      </c>
      <c r="I34" s="284">
        <f t="shared" ref="I34" ca="1" si="14">IF(D34="HDW",G34*F34,0)</f>
        <v>520200</v>
      </c>
      <c r="J34" s="284">
        <f t="shared" ref="J34" ca="1" si="15">IF(D34="JASA",G34*F34,0)</f>
        <v>0</v>
      </c>
      <c r="K34" s="285">
        <f t="shared" ref="K34" ca="1" si="16">SUM(H34:J34)</f>
        <v>520200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>
        <f>IF(AND(C35=0,C40=0,C41=0),"BLANKS",1)</f>
        <v>1</v>
      </c>
      <c r="B35" s="405">
        <v>13</v>
      </c>
      <c r="C35" s="406" t="s">
        <v>237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396">
        <f>F20*1</f>
        <v>1</v>
      </c>
      <c r="G35" s="283">
        <f ca="1">IF(ISERROR(OFFSET('HARGA SATUAN'!$I$6,MATCH(RAB!C35,'HARGA SATUAN'!$C$7:$C$1492,0),0)),0,OFFSET('HARGA SATUAN'!$I$6,MATCH(RAB!C35,'HARGA SATUAN'!$C$7:$C$1492,0),0))</f>
        <v>57690</v>
      </c>
      <c r="H35" s="284">
        <f t="shared" ref="H35:H36" ca="1" si="17">IF(OR(D35="MDU",D35="MDU-KD"),(IF($O$3="RAB NON MDU","PLN KD",G35*F35)),0)</f>
        <v>0</v>
      </c>
      <c r="I35" s="284">
        <f t="shared" ref="I35:I36" ca="1" si="18">IF(D35="HDW",G35*F35,0)</f>
        <v>57690</v>
      </c>
      <c r="J35" s="284">
        <f t="shared" ref="J35:J36" ca="1" si="19">IF(D35="JASA",G35*F35,0)</f>
        <v>0</v>
      </c>
      <c r="K35" s="285">
        <f t="shared" ref="K35:K36" ca="1" si="20">SUM(H35:J35)</f>
        <v>57690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 t="e">
        <f>IF(AND(C36=0,#REF!=0,#REF!=0),"BLANKS",1)</f>
        <v>#REF!</v>
      </c>
      <c r="B36" s="405">
        <v>14</v>
      </c>
      <c r="C36" s="406" t="s">
        <v>224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396">
        <f>F20*2</f>
        <v>2</v>
      </c>
      <c r="G36" s="283">
        <f ca="1">IF(ISERROR(OFFSET('HARGA SATUAN'!$I$6,MATCH(RAB!C36,'HARGA SATUAN'!$C$7:$C$1492,0),0)),0,OFFSET('HARGA SATUAN'!$I$6,MATCH(RAB!C36,'HARGA SATUAN'!$C$7:$C$1492,0),0))</f>
        <v>67500</v>
      </c>
      <c r="H36" s="284">
        <f t="shared" ca="1" si="17"/>
        <v>0</v>
      </c>
      <c r="I36" s="284">
        <f t="shared" ca="1" si="18"/>
        <v>135000</v>
      </c>
      <c r="J36" s="284">
        <f t="shared" ca="1" si="19"/>
        <v>0</v>
      </c>
      <c r="K36" s="285">
        <f t="shared" ca="1" si="20"/>
        <v>135000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>
        <f t="shared" ref="A37:A39" si="21">IF(AND(C37=0,C38=0,C39=0),"BLANKS",1)</f>
        <v>1</v>
      </c>
      <c r="B37" s="405">
        <v>15</v>
      </c>
      <c r="C37" s="406" t="s">
        <v>257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396">
        <f>F20*2</f>
        <v>2</v>
      </c>
      <c r="G37" s="283">
        <f ca="1">IF(ISERROR(OFFSET('HARGA SATUAN'!$I$6,MATCH(RAB!C37,'HARGA SATUAN'!$C$7:$C$1492,0),0)),0,OFFSET('HARGA SATUAN'!$I$6,MATCH(RAB!C37,'HARGA SATUAN'!$C$7:$C$1492,0),0))</f>
        <v>129000</v>
      </c>
      <c r="H37" s="284">
        <f t="shared" ref="H37:H50" ca="1" si="22">IF(OR(D37="MDU",D37="MDU-KD"),(IF($O$3="RAB NON MDU","PLN KD",G37*F37)),0)</f>
        <v>0</v>
      </c>
      <c r="I37" s="284">
        <f t="shared" ref="I37:I50" ca="1" si="23">IF(D37="HDW",G37*F37,0)</f>
        <v>258000</v>
      </c>
      <c r="J37" s="284">
        <f t="shared" ref="J37:J50" ca="1" si="24">IF(D37="JASA",G37*F37,0)</f>
        <v>0</v>
      </c>
      <c r="K37" s="285">
        <f t="shared" ref="K37:K50" ca="1" si="25">SUM(H37:J37)</f>
        <v>258000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>
        <f t="shared" si="21"/>
        <v>1</v>
      </c>
      <c r="B38" s="405">
        <v>16</v>
      </c>
      <c r="C38" s="406" t="s">
        <v>597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396">
        <f>F20*4</f>
        <v>4</v>
      </c>
      <c r="G38" s="283">
        <f ca="1">IF(ISERROR(OFFSET('HARGA SATUAN'!$I$6,MATCH(RAB!C38,'HARGA SATUAN'!$C$7:$C$1492,0),0)),0,OFFSET('HARGA SATUAN'!$I$6,MATCH(RAB!C38,'HARGA SATUAN'!$C$7:$C$1492,0),0))</f>
        <v>250000</v>
      </c>
      <c r="H38" s="284">
        <f t="shared" ca="1" si="22"/>
        <v>0</v>
      </c>
      <c r="I38" s="284">
        <f t="shared" ca="1" si="23"/>
        <v>1000000</v>
      </c>
      <c r="J38" s="284">
        <f t="shared" ca="1" si="24"/>
        <v>0</v>
      </c>
      <c r="K38" s="285">
        <f t="shared" ca="1" si="25"/>
        <v>1000000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>
        <f t="shared" si="21"/>
        <v>1</v>
      </c>
      <c r="B39" s="405">
        <v>17</v>
      </c>
      <c r="C39" s="406" t="s">
        <v>773</v>
      </c>
      <c r="D39" s="281" t="str">
        <f ca="1">IF(ISERROR(OFFSET('HARGA SATUAN'!$D$6,MATCH(RAB!C39,'HARGA SATUAN'!$C$7:$C$1492,0),0)),"",OFFSET('HARGA SATUAN'!$D$6,MATCH(RAB!C39,'HARGA SATUAN'!$C$7:$C$1492,0),0))</f>
        <v>JASA</v>
      </c>
      <c r="E39" s="282" t="str">
        <f ca="1">IF(B39="+","Unit",IF(ISERROR(OFFSET('HARGA SATUAN'!$E$6,MATCH(RAB!C39,'HARGA SATUAN'!$C$7:$C$1492,0),0)),"",OFFSET('HARGA SATUAN'!$E$6,MATCH(RAB!C39,'HARGA SATUAN'!$C$7:$C$1492,0),0)))</f>
        <v>Unit</v>
      </c>
      <c r="F39" s="396">
        <f>F20*1</f>
        <v>1</v>
      </c>
      <c r="G39" s="283">
        <f ca="1">IF(ISERROR(OFFSET('HARGA SATUAN'!$I$6,MATCH(RAB!C39,'HARGA SATUAN'!$C$7:$C$1492,0),0)),0,OFFSET('HARGA SATUAN'!$I$6,MATCH(RAB!C39,'HARGA SATUAN'!$C$7:$C$1492,0),0))</f>
        <v>1182800</v>
      </c>
      <c r="H39" s="284">
        <f t="shared" ca="1" si="22"/>
        <v>0</v>
      </c>
      <c r="I39" s="284">
        <f t="shared" ca="1" si="23"/>
        <v>0</v>
      </c>
      <c r="J39" s="284">
        <f t="shared" ca="1" si="24"/>
        <v>1182800</v>
      </c>
      <c r="K39" s="285">
        <f t="shared" ca="1" si="25"/>
        <v>1182800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>
        <f>IF(AND(C40=0,C41=0,C59=0),"BLANKS",1)</f>
        <v>1</v>
      </c>
      <c r="B40" s="293"/>
      <c r="C40" s="294"/>
      <c r="D40" s="281" t="str">
        <f ca="1">IF(ISERROR(OFFSET('HARGA SATUAN'!$D$6,MATCH(RAB!C40,'HARGA SATUAN'!$C$7:$C$1492,0),0)),"",OFFSET('HARGA SATUAN'!$D$6,MATCH(RAB!C40,'HARGA SATUAN'!$C$7:$C$1492,0),0))</f>
        <v/>
      </c>
      <c r="E40" s="282" t="str">
        <f ca="1">IF(B40="+","Unit",IF(ISERROR(OFFSET('HARGA SATUAN'!$E$6,MATCH(RAB!C40,'HARGA SATUAN'!$C$7:$C$1492,0),0)),"",OFFSET('HARGA SATUAN'!$E$6,MATCH(RAB!C40,'HARGA SATUAN'!$C$7:$C$1492,0),0)))</f>
        <v/>
      </c>
      <c r="F40" s="396"/>
      <c r="G40" s="283">
        <f ca="1">IF(ISERROR(OFFSET('HARGA SATUAN'!$I$6,MATCH(RAB!C40,'HARGA SATUAN'!$C$7:$C$1492,0),0)),0,OFFSET('HARGA SATUAN'!$I$6,MATCH(RAB!C40,'HARGA SATUAN'!$C$7:$C$1492,0),0))</f>
        <v>0</v>
      </c>
      <c r="H40" s="284">
        <f t="shared" ca="1" si="22"/>
        <v>0</v>
      </c>
      <c r="I40" s="284">
        <f t="shared" ca="1" si="23"/>
        <v>0</v>
      </c>
      <c r="J40" s="284">
        <f t="shared" ca="1" si="24"/>
        <v>0</v>
      </c>
      <c r="K40" s="285">
        <f t="shared" ca="1" si="25"/>
        <v>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IF(AND(C41=0,C59=0,#REF!=0),"BLANKS",1)</f>
        <v>#REF!</v>
      </c>
      <c r="B41" s="293" t="s">
        <v>1005</v>
      </c>
      <c r="C41" s="402" t="s">
        <v>1630</v>
      </c>
      <c r="D41" s="281" t="str">
        <f ca="1">IF(ISERROR(OFFSET('HARGA SATUAN'!$D$6,MATCH(RAB!C41,'HARGA SATUAN'!$C$7:$C$1492,0),0)),"",OFFSET('HARGA SATUAN'!$D$6,MATCH(RAB!C41,'HARGA SATUAN'!$C$7:$C$1492,0),0))</f>
        <v/>
      </c>
      <c r="E41" s="282" t="str">
        <f ca="1">IF(B41="+","Unit",IF(ISERROR(OFFSET('HARGA SATUAN'!$E$6,MATCH(RAB!C41,'HARGA SATUAN'!$C$7:$C$1492,0),0)),"",OFFSET('HARGA SATUAN'!$E$6,MATCH(RAB!C41,'HARGA SATUAN'!$C$7:$C$1492,0),0)))</f>
        <v>Unit</v>
      </c>
      <c r="F41" s="396">
        <v>3</v>
      </c>
      <c r="G41" s="283">
        <f ca="1">IF(ISERROR(OFFSET('HARGA SATUAN'!$I$6,MATCH(RAB!C41,'HARGA SATUAN'!$C$7:$C$1492,0),0)),0,OFFSET('HARGA SATUAN'!$I$6,MATCH(RAB!C41,'HARGA SATUAN'!$C$7:$C$1492,0),0))</f>
        <v>0</v>
      </c>
      <c r="H41" s="284">
        <f t="shared" ca="1" si="22"/>
        <v>0</v>
      </c>
      <c r="I41" s="284">
        <f t="shared" ca="1" si="23"/>
        <v>0</v>
      </c>
      <c r="J41" s="284">
        <f t="shared" ca="1" si="24"/>
        <v>0</v>
      </c>
      <c r="K41" s="285">
        <f t="shared" ca="1" si="25"/>
        <v>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/>
      <c r="B42" s="293">
        <v>1</v>
      </c>
      <c r="C42" s="294" t="s">
        <v>585</v>
      </c>
      <c r="D42" s="281" t="str">
        <f ca="1">IF(ISERROR(OFFSET('HARGA SATUAN'!$D$6,MATCH(RAB!C42,'HARGA SATUAN'!$C$7:$C$1492,0),0)),"",OFFSET('HARGA SATUAN'!$D$6,MATCH(RAB!C42,'HARGA SATUAN'!$C$7:$C$1492,0),0))</f>
        <v>HDW</v>
      </c>
      <c r="E42" s="282" t="str">
        <f ca="1">IF(B42="+","Unit",IF(ISERROR(OFFSET('HARGA SATUAN'!$E$6,MATCH(RAB!C42,'HARGA SATUAN'!$C$7:$C$1492,0),0)),"",OFFSET('HARGA SATUAN'!$E$6,MATCH(RAB!C42,'HARGA SATUAN'!$C$7:$C$1492,0),0)))</f>
        <v>Bh</v>
      </c>
      <c r="F42" s="396">
        <f>F41*1</f>
        <v>3</v>
      </c>
      <c r="G42" s="283">
        <f ca="1">IF(ISERROR(OFFSET('HARGA SATUAN'!$I$6,MATCH(RAB!C42,'HARGA SATUAN'!$C$7:$C$1492,0),0)),0,OFFSET('HARGA SATUAN'!$I$6,MATCH(RAB!C42,'HARGA SATUAN'!$C$7:$C$1492,0),0))</f>
        <v>78500</v>
      </c>
      <c r="H42" s="284">
        <f t="shared" ca="1" si="22"/>
        <v>0</v>
      </c>
      <c r="I42" s="284">
        <f t="shared" ca="1" si="23"/>
        <v>235500</v>
      </c>
      <c r="J42" s="284">
        <f t="shared" ca="1" si="24"/>
        <v>0</v>
      </c>
      <c r="K42" s="285">
        <f t="shared" ca="1" si="25"/>
        <v>235500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>
        <f t="shared" ref="A43:A45" si="26">IF(AND(C43=0,C44=0,C45=0),"BLANKS",1)</f>
        <v>1</v>
      </c>
      <c r="B43" s="293">
        <v>2</v>
      </c>
      <c r="C43" s="294" t="s">
        <v>219</v>
      </c>
      <c r="D43" s="281" t="str">
        <f ca="1">IF(ISERROR(OFFSET('HARGA SATUAN'!$D$6,MATCH(RAB!C43,'HARGA SATUAN'!$C$7:$C$1492,0),0)),"",OFFSET('HARGA SATUAN'!$D$6,MATCH(RAB!C43,'HARGA SATUAN'!$C$7:$C$1492,0),0))</f>
        <v>HDW</v>
      </c>
      <c r="E43" s="282" t="str">
        <f ca="1">IF(B43="+","Unit",IF(ISERROR(OFFSET('HARGA SATUAN'!$E$6,MATCH(RAB!C43,'HARGA SATUAN'!$C$7:$C$1492,0),0)),"",OFFSET('HARGA SATUAN'!$E$6,MATCH(RAB!C43,'HARGA SATUAN'!$C$7:$C$1492,0),0)))</f>
        <v>Bh</v>
      </c>
      <c r="F43" s="396">
        <f>F41*1</f>
        <v>3</v>
      </c>
      <c r="G43" s="283">
        <f ca="1">IF(ISERROR(OFFSET('HARGA SATUAN'!$I$6,MATCH(RAB!C43,'HARGA SATUAN'!$C$7:$C$1492,0),0)),0,OFFSET('HARGA SATUAN'!$I$6,MATCH(RAB!C43,'HARGA SATUAN'!$C$7:$C$1492,0),0))</f>
        <v>4212</v>
      </c>
      <c r="H43" s="284">
        <f t="shared" ca="1" si="22"/>
        <v>0</v>
      </c>
      <c r="I43" s="284">
        <f t="shared" ca="1" si="23"/>
        <v>12636</v>
      </c>
      <c r="J43" s="284">
        <f t="shared" ca="1" si="24"/>
        <v>0</v>
      </c>
      <c r="K43" s="285">
        <f t="shared" ca="1" si="25"/>
        <v>12636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>
        <f t="shared" si="26"/>
        <v>1</v>
      </c>
      <c r="B44" s="293">
        <v>3</v>
      </c>
      <c r="C44" s="294" t="s">
        <v>256</v>
      </c>
      <c r="D44" s="281" t="str">
        <f ca="1">IF(ISERROR(OFFSET('HARGA SATUAN'!$D$6,MATCH(RAB!C44,'HARGA SATUAN'!$C$7:$C$1492,0),0)),"",OFFSET('HARGA SATUAN'!$D$6,MATCH(RAB!C44,'HARGA SATUAN'!$C$7:$C$1492,0),0))</f>
        <v>HDW</v>
      </c>
      <c r="E44" s="282" t="str">
        <f ca="1">IF(B44="+","Unit",IF(ISERROR(OFFSET('HARGA SATUAN'!$E$6,MATCH(RAB!C44,'HARGA SATUAN'!$C$7:$C$1492,0),0)),"",OFFSET('HARGA SATUAN'!$E$6,MATCH(RAB!C44,'HARGA SATUAN'!$C$7:$C$1492,0),0)))</f>
        <v>Mtr</v>
      </c>
      <c r="F44" s="396">
        <f>F41*1</f>
        <v>3</v>
      </c>
      <c r="G44" s="283">
        <f ca="1">IF(ISERROR(OFFSET('HARGA SATUAN'!$I$6,MATCH(RAB!C44,'HARGA SATUAN'!$C$7:$C$1492,0),0)),0,OFFSET('HARGA SATUAN'!$I$6,MATCH(RAB!C44,'HARGA SATUAN'!$C$7:$C$1492,0),0))</f>
        <v>23310</v>
      </c>
      <c r="H44" s="284">
        <f t="shared" ca="1" si="22"/>
        <v>0</v>
      </c>
      <c r="I44" s="284">
        <f t="shared" ca="1" si="23"/>
        <v>69930</v>
      </c>
      <c r="J44" s="284">
        <f t="shared" ca="1" si="24"/>
        <v>0</v>
      </c>
      <c r="K44" s="285">
        <f t="shared" ca="1" si="25"/>
        <v>69930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>
        <f t="shared" si="26"/>
        <v>1</v>
      </c>
      <c r="B45" s="293">
        <v>4</v>
      </c>
      <c r="C45" s="294" t="s">
        <v>25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396">
        <f>F41*1</f>
        <v>3</v>
      </c>
      <c r="G45" s="283">
        <f ca="1">IF(ISERROR(OFFSET('HARGA SATUAN'!$I$6,MATCH(RAB!C45,'HARGA SATUAN'!$C$7:$C$1492,0),0)),0,OFFSET('HARGA SATUAN'!$I$6,MATCH(RAB!C45,'HARGA SATUAN'!$C$7:$C$1492,0),0))</f>
        <v>2300</v>
      </c>
      <c r="H45" s="284">
        <f t="shared" ca="1" si="22"/>
        <v>0</v>
      </c>
      <c r="I45" s="284">
        <f t="shared" ca="1" si="23"/>
        <v>6900</v>
      </c>
      <c r="J45" s="284">
        <f t="shared" ca="1" si="24"/>
        <v>0</v>
      </c>
      <c r="K45" s="285">
        <f t="shared" ca="1" si="25"/>
        <v>6900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IF(AND(C46=0,C47=0,#REF!=0),"BLANKS",1)</f>
        <v>#REF!</v>
      </c>
      <c r="B46" s="293">
        <v>5</v>
      </c>
      <c r="C46" s="294" t="s">
        <v>620</v>
      </c>
      <c r="D46" s="281" t="str">
        <f ca="1">IF(ISERROR(OFFSET('HARGA SATUAN'!$D$6,MATCH(RAB!C46,'HARGA SATUAN'!$C$7:$C$1492,0),0)),"",OFFSET('HARGA SATUAN'!$D$6,MATCH(RAB!C46,'HARGA SATUAN'!$C$7:$C$1492,0),0))</f>
        <v>JASA</v>
      </c>
      <c r="E46" s="282" t="str">
        <f ca="1">IF(B46="+","Unit",IF(ISERROR(OFFSET('HARGA SATUAN'!$E$6,MATCH(RAB!C46,'HARGA SATUAN'!$C$7:$C$1492,0),0)),"",OFFSET('HARGA SATUAN'!$E$6,MATCH(RAB!C46,'HARGA SATUAN'!$C$7:$C$1492,0),0)))</f>
        <v>Unit</v>
      </c>
      <c r="F46" s="396">
        <f>F41*1</f>
        <v>3</v>
      </c>
      <c r="G46" s="283">
        <f ca="1">IF(ISERROR(OFFSET('HARGA SATUAN'!$I$6,MATCH(RAB!C46,'HARGA SATUAN'!$C$7:$C$1492,0),0)),0,OFFSET('HARGA SATUAN'!$I$6,MATCH(RAB!C46,'HARGA SATUAN'!$C$7:$C$1492,0),0))</f>
        <v>35700</v>
      </c>
      <c r="H46" s="284">
        <f t="shared" ca="1" si="22"/>
        <v>0</v>
      </c>
      <c r="I46" s="284">
        <f t="shared" ca="1" si="23"/>
        <v>0</v>
      </c>
      <c r="J46" s="284">
        <f t="shared" ca="1" si="24"/>
        <v>107100</v>
      </c>
      <c r="K46" s="285">
        <f t="shared" ca="1" si="25"/>
        <v>107100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 t="e">
        <f>IF(AND(C47=0,#REF!=0,C59=0),"BLANKS",1)</f>
        <v>#REF!</v>
      </c>
      <c r="B47" s="293"/>
      <c r="C47" s="294"/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396"/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ca="1" si="22"/>
        <v>0</v>
      </c>
      <c r="I47" s="284">
        <f t="shared" ca="1" si="23"/>
        <v>0</v>
      </c>
      <c r="J47" s="284">
        <f t="shared" ca="1" si="24"/>
        <v>0</v>
      </c>
      <c r="K47" s="285">
        <f t="shared" ca="1" si="25"/>
        <v>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 t="e">
        <f>IF(AND(C48=0,C49=0,#REF!=0),"BLANKS",1)</f>
        <v>#REF!</v>
      </c>
      <c r="B48" s="504" t="s">
        <v>1005</v>
      </c>
      <c r="C48" s="505" t="s">
        <v>1514</v>
      </c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>Unit</v>
      </c>
      <c r="F48" s="386">
        <v>1</v>
      </c>
      <c r="G48" s="283">
        <f ca="1">IF(ISERROR(OFFSET('HARGA SATUAN'!$I$6,MATCH(RAB!C48,'HARGA SATUAN'!$C$7:$C$1492,0),0)),0,OFFSET('HARGA SATUAN'!$I$6,MATCH(RAB!C48,'HARGA SATUAN'!$C$7:$C$1492,0),0))</f>
        <v>0</v>
      </c>
      <c r="H48" s="284">
        <f t="shared" ca="1" si="22"/>
        <v>0</v>
      </c>
      <c r="I48" s="284">
        <f t="shared" ca="1" si="23"/>
        <v>0</v>
      </c>
      <c r="J48" s="284">
        <f t="shared" ca="1" si="24"/>
        <v>0</v>
      </c>
      <c r="K48" s="285">
        <f t="shared" ca="1" si="25"/>
        <v>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 t="e">
        <f>IF(AND(C49=0,#REF!=0,#REF!=0),"BLANKS",1)</f>
        <v>#REF!</v>
      </c>
      <c r="B49" s="504">
        <v>1</v>
      </c>
      <c r="C49" s="506" t="s">
        <v>19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386">
        <f>F48*1</f>
        <v>1</v>
      </c>
      <c r="G49" s="283">
        <f ca="1">IF(ISERROR(OFFSET('HARGA SATUAN'!$I$6,MATCH(RAB!C49,'HARGA SATUAN'!$C$7:$C$1492,0),0)),0,OFFSET('HARGA SATUAN'!$I$6,MATCH(RAB!C49,'HARGA SATUAN'!$C$7:$C$1492,0),0))</f>
        <v>185200</v>
      </c>
      <c r="H49" s="284">
        <f t="shared" ca="1" si="22"/>
        <v>0</v>
      </c>
      <c r="I49" s="284">
        <f t="shared" ca="1" si="23"/>
        <v>185200</v>
      </c>
      <c r="J49" s="284">
        <f t="shared" ca="1" si="24"/>
        <v>0</v>
      </c>
      <c r="K49" s="285">
        <f t="shared" ca="1" si="25"/>
        <v>185200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 t="b">
        <f ca="1">F50=G51</f>
        <v>0</v>
      </c>
      <c r="B50" s="405">
        <v>2</v>
      </c>
      <c r="C50" s="406" t="s">
        <v>20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386">
        <f>F48*1</f>
        <v>1</v>
      </c>
      <c r="G50" s="283">
        <f ca="1">IF(ISERROR(OFFSET('HARGA SATUAN'!$I$6,MATCH(RAB!C50,'HARGA SATUAN'!$C$7:$C$1492,0),0)),0,OFFSET('HARGA SATUAN'!$I$6,MATCH(RAB!C50,'HARGA SATUAN'!$C$7:$C$1492,0),0))</f>
        <v>47459</v>
      </c>
      <c r="H50" s="284">
        <f t="shared" ca="1" si="22"/>
        <v>0</v>
      </c>
      <c r="I50" s="284">
        <f t="shared" ca="1" si="23"/>
        <v>47459</v>
      </c>
      <c r="J50" s="284">
        <f t="shared" ca="1" si="24"/>
        <v>0</v>
      </c>
      <c r="K50" s="285">
        <f t="shared" ca="1" si="25"/>
        <v>47459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>
        <f t="shared" ref="A51:A53" si="27">IF(AND(C51=0,C52=0,C53=0),"BLANKS",1)</f>
        <v>1</v>
      </c>
      <c r="B51" s="405">
        <v>3</v>
      </c>
      <c r="C51" s="406" t="s">
        <v>21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386">
        <f>F48*1</f>
        <v>1</v>
      </c>
      <c r="G51" s="283">
        <f ca="1">IF(ISERROR(OFFSET('HARGA SATUAN'!$I$6,MATCH(RAB!C51,'HARGA SATUAN'!$C$7:$C$1492,0),0)),0,OFFSET('HARGA SATUAN'!$I$6,MATCH(RAB!C51,'HARGA SATUAN'!$C$7:$C$1492,0),0))</f>
        <v>4880</v>
      </c>
      <c r="H51" s="284">
        <f t="shared" ca="1" si="7"/>
        <v>0</v>
      </c>
      <c r="I51" s="284">
        <f t="shared" ca="1" si="8"/>
        <v>4880</v>
      </c>
      <c r="J51" s="284">
        <f t="shared" ca="1" si="9"/>
        <v>0</v>
      </c>
      <c r="K51" s="285">
        <f t="shared" ca="1" si="10"/>
        <v>4880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>
        <f t="shared" si="27"/>
        <v>1</v>
      </c>
      <c r="B52" s="405">
        <v>4</v>
      </c>
      <c r="C52" s="406" t="s">
        <v>22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Mtr</v>
      </c>
      <c r="F52" s="386">
        <f>F48*10</f>
        <v>10</v>
      </c>
      <c r="G52" s="283">
        <f ca="1">IF(ISERROR(OFFSET('HARGA SATUAN'!$I$6,MATCH(RAB!C52,'HARGA SATUAN'!$C$7:$C$1492,0),0)),0,OFFSET('HARGA SATUAN'!$I$6,MATCH(RAB!C52,'HARGA SATUAN'!$C$7:$C$1492,0),0))</f>
        <v>30000</v>
      </c>
      <c r="H52" s="284">
        <f t="shared" ca="1" si="7"/>
        <v>0</v>
      </c>
      <c r="I52" s="284">
        <f t="shared" ca="1" si="8"/>
        <v>300000</v>
      </c>
      <c r="J52" s="284">
        <f t="shared" ca="1" si="9"/>
        <v>0</v>
      </c>
      <c r="K52" s="285">
        <f t="shared" ca="1" si="10"/>
        <v>300000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>
        <f t="shared" si="27"/>
        <v>1</v>
      </c>
      <c r="B53" s="405">
        <v>5</v>
      </c>
      <c r="C53" s="406" t="s">
        <v>23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386">
        <f>F48*2</f>
        <v>2</v>
      </c>
      <c r="G53" s="283">
        <f ca="1">IF(ISERROR(OFFSET('HARGA SATUAN'!$I$6,MATCH(RAB!C53,'HARGA SATUAN'!$C$7:$C$1492,0),0)),0,OFFSET('HARGA SATUAN'!$I$6,MATCH(RAB!C53,'HARGA SATUAN'!$C$7:$C$1492,0),0))</f>
        <v>9500</v>
      </c>
      <c r="H53" s="284">
        <f t="shared" ca="1" si="7"/>
        <v>0</v>
      </c>
      <c r="I53" s="284">
        <f t="shared" ca="1" si="8"/>
        <v>19000</v>
      </c>
      <c r="J53" s="284">
        <f t="shared" ca="1" si="9"/>
        <v>0</v>
      </c>
      <c r="K53" s="285">
        <f t="shared" ca="1" si="10"/>
        <v>19000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 t="e">
        <f>IF(AND(C54=0,C55=0,#REF!=0),"BLANKS",1)</f>
        <v>#REF!</v>
      </c>
      <c r="B54" s="405">
        <v>6</v>
      </c>
      <c r="C54" s="406" t="s">
        <v>24</v>
      </c>
      <c r="D54" s="281" t="str">
        <f ca="1">IF(ISERROR(OFFSET('HARGA SATUAN'!$D$6,MATCH(RAB!C54,'HARGA SATUAN'!$C$7:$C$1492,0),0)),"",OFFSET('HARGA SATUAN'!$D$6,MATCH(RAB!C54,'HARGA SATUAN'!$C$7:$C$1492,0),0))</f>
        <v>HDW</v>
      </c>
      <c r="E54" s="282" t="str">
        <f ca="1">IF(B54="+","Unit",IF(ISERROR(OFFSET('HARGA SATUAN'!$E$6,MATCH(RAB!C54,'HARGA SATUAN'!$C$7:$C$1492,0),0)),"",OFFSET('HARGA SATUAN'!$E$6,MATCH(RAB!C54,'HARGA SATUAN'!$C$7:$C$1492,0),0)))</f>
        <v>Bh</v>
      </c>
      <c r="F54" s="386">
        <f>F48*5.5</f>
        <v>5.5</v>
      </c>
      <c r="G54" s="283">
        <f ca="1">IF(ISERROR(OFFSET('HARGA SATUAN'!$I$6,MATCH(RAB!C54,'HARGA SATUAN'!$C$7:$C$1492,0),0)),0,OFFSET('HARGA SATUAN'!$I$6,MATCH(RAB!C54,'HARGA SATUAN'!$C$7:$C$1492,0),0))</f>
        <v>6100</v>
      </c>
      <c r="H54" s="284">
        <f t="shared" ca="1" si="7"/>
        <v>0</v>
      </c>
      <c r="I54" s="284">
        <f t="shared" ca="1" si="8"/>
        <v>33550</v>
      </c>
      <c r="J54" s="284">
        <f t="shared" ca="1" si="9"/>
        <v>0</v>
      </c>
      <c r="K54" s="285">
        <f t="shared" ca="1" si="10"/>
        <v>33550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IF(AND(C55=0,#REF!=0,#REF!=0),"BLANKS",1)</f>
        <v>#REF!</v>
      </c>
      <c r="B55" s="405">
        <v>7</v>
      </c>
      <c r="C55" s="406" t="s">
        <v>25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386">
        <f>F48*6</f>
        <v>6</v>
      </c>
      <c r="G55" s="283">
        <f ca="1">IF(ISERROR(OFFSET('HARGA SATUAN'!$I$6,MATCH(RAB!C55,'HARGA SATUAN'!$C$7:$C$1492,0),0)),0,OFFSET('HARGA SATUAN'!$I$6,MATCH(RAB!C55,'HARGA SATUAN'!$C$7:$C$1492,0),0))</f>
        <v>2300</v>
      </c>
      <c r="H55" s="284">
        <f t="shared" ca="1" si="7"/>
        <v>0</v>
      </c>
      <c r="I55" s="284">
        <f t="shared" ca="1" si="8"/>
        <v>13800</v>
      </c>
      <c r="J55" s="284">
        <f t="shared" ca="1" si="9"/>
        <v>0</v>
      </c>
      <c r="K55" s="285">
        <f t="shared" ca="1" si="10"/>
        <v>13800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/>
      <c r="B56" s="405">
        <v>8</v>
      </c>
      <c r="C56" s="406" t="s">
        <v>1515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Mtr</v>
      </c>
      <c r="F56" s="386">
        <f>F48*4.8</f>
        <v>4.8</v>
      </c>
      <c r="G56" s="283">
        <f ca="1">IF(ISERROR(OFFSET('HARGA SATUAN'!$I$6,MATCH(RAB!C56,'HARGA SATUAN'!$C$7:$C$1492,0),0)),0,OFFSET('HARGA SATUAN'!$I$6,MATCH(RAB!C56,'HARGA SATUAN'!$C$7:$C$1492,0),0))</f>
        <v>23310</v>
      </c>
      <c r="H56" s="284">
        <f t="shared" ca="1" si="7"/>
        <v>0</v>
      </c>
      <c r="I56" s="284">
        <f t="shared" ca="1" si="8"/>
        <v>111888</v>
      </c>
      <c r="J56" s="284">
        <f t="shared" ca="1" si="9"/>
        <v>0</v>
      </c>
      <c r="K56" s="285">
        <f t="shared" ca="1" si="10"/>
        <v>111888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>
        <f t="shared" ref="A57:A59" si="28">IF(AND(C57=0,C58=0,C59=0),"BLANKS",1)</f>
        <v>1</v>
      </c>
      <c r="B57" s="405">
        <v>9</v>
      </c>
      <c r="C57" s="406" t="s">
        <v>726</v>
      </c>
      <c r="D57" s="281" t="str">
        <f ca="1">IF(ISERROR(OFFSET('HARGA SATUAN'!$D$6,MATCH(RAB!C57,'HARGA SATUAN'!$C$7:$C$1492,0),0)),"",OFFSET('HARGA SATUAN'!$D$6,MATCH(RAB!C57,'HARGA SATUAN'!$C$7:$C$1492,0),0))</f>
        <v>JASA</v>
      </c>
      <c r="E57" s="282" t="str">
        <f ca="1">IF(B57="+","Unit",IF(ISERROR(OFFSET('HARGA SATUAN'!$E$6,MATCH(RAB!C57,'HARGA SATUAN'!$C$7:$C$1492,0),0)),"",OFFSET('HARGA SATUAN'!$E$6,MATCH(RAB!C57,'HARGA SATUAN'!$C$7:$C$1492,0),0)))</f>
        <v>Unit</v>
      </c>
      <c r="F57" s="386">
        <f>F48*1</f>
        <v>1</v>
      </c>
      <c r="G57" s="283">
        <f ca="1">IF(ISERROR(OFFSET('HARGA SATUAN'!$I$6,MATCH(RAB!C57,'HARGA SATUAN'!$C$7:$C$1492,0),0)),0,OFFSET('HARGA SATUAN'!$I$6,MATCH(RAB!C57,'HARGA SATUAN'!$C$7:$C$1492,0),0))</f>
        <v>65400</v>
      </c>
      <c r="H57" s="284">
        <f t="shared" ca="1" si="7"/>
        <v>0</v>
      </c>
      <c r="I57" s="284">
        <f t="shared" ca="1" si="8"/>
        <v>0</v>
      </c>
      <c r="J57" s="284">
        <f t="shared" ca="1" si="9"/>
        <v>65400</v>
      </c>
      <c r="K57" s="285">
        <f t="shared" ca="1" si="10"/>
        <v>65400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>
        <f t="shared" si="28"/>
        <v>1</v>
      </c>
      <c r="B58" s="405"/>
      <c r="C58" s="406"/>
      <c r="D58" s="281" t="str">
        <f ca="1">IF(ISERROR(OFFSET('HARGA SATUAN'!$D$6,MATCH(RAB!C58,'HARGA SATUAN'!$C$7:$C$1492,0),0)),"",OFFSET('HARGA SATUAN'!$D$6,MATCH(RAB!C58,'HARGA SATUAN'!$C$7:$C$1492,0),0))</f>
        <v/>
      </c>
      <c r="E58" s="282" t="str">
        <f ca="1">IF(B58="+","Unit",IF(ISERROR(OFFSET('HARGA SATUAN'!$E$6,MATCH(RAB!C58,'HARGA SATUAN'!$C$7:$C$1492,0),0)),"",OFFSET('HARGA SATUAN'!$E$6,MATCH(RAB!C58,'HARGA SATUAN'!$C$7:$C$1492,0),0)))</f>
        <v/>
      </c>
      <c r="F58" s="396"/>
      <c r="G58" s="283">
        <f ca="1">IF(ISERROR(OFFSET('HARGA SATUAN'!$I$6,MATCH(RAB!C58,'HARGA SATUAN'!$C$7:$C$1492,0),0)),0,OFFSET('HARGA SATUAN'!$I$6,MATCH(RAB!C58,'HARGA SATUAN'!$C$7:$C$1492,0),0))</f>
        <v>0</v>
      </c>
      <c r="H58" s="284">
        <f t="shared" ca="1" si="7"/>
        <v>0</v>
      </c>
      <c r="I58" s="284">
        <f t="shared" ca="1" si="8"/>
        <v>0</v>
      </c>
      <c r="J58" s="284">
        <f t="shared" ca="1" si="9"/>
        <v>0</v>
      </c>
      <c r="K58" s="285">
        <f t="shared" ca="1" si="10"/>
        <v>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>
        <f t="shared" si="28"/>
        <v>1</v>
      </c>
      <c r="B59" s="405" t="s">
        <v>1005</v>
      </c>
      <c r="C59" s="406" t="s">
        <v>1632</v>
      </c>
      <c r="D59" s="281" t="str">
        <f ca="1">IF(ISERROR(OFFSET('HARGA SATUAN'!$D$6,MATCH(RAB!C59,'HARGA SATUAN'!$C$7:$C$1492,0),0)),"",OFFSET('HARGA SATUAN'!$D$6,MATCH(RAB!C59,'HARGA SATUAN'!$C$7:$C$1492,0),0))</f>
        <v/>
      </c>
      <c r="E59" s="282" t="str">
        <f ca="1">IF(B59="+","Unit",IF(ISERROR(OFFSET('HARGA SATUAN'!$E$6,MATCH(RAB!C59,'HARGA SATUAN'!$C$7:$C$1492,0),0)),"",OFFSET('HARGA SATUAN'!$E$6,MATCH(RAB!C59,'HARGA SATUAN'!$C$7:$C$1492,0),0)))</f>
        <v>Unit</v>
      </c>
      <c r="F59" s="386">
        <v>1</v>
      </c>
      <c r="G59" s="283">
        <f ca="1">IF(ISERROR(OFFSET('HARGA SATUAN'!$I$6,MATCH(RAB!C59,'HARGA SATUAN'!$C$7:$C$1492,0),0)),0,OFFSET('HARGA SATUAN'!$I$6,MATCH(RAB!C59,'HARGA SATUAN'!$C$7:$C$1492,0),0))</f>
        <v>0</v>
      </c>
      <c r="H59" s="284">
        <f t="shared" ca="1" si="7"/>
        <v>0</v>
      </c>
      <c r="I59" s="284">
        <f t="shared" ca="1" si="8"/>
        <v>0</v>
      </c>
      <c r="J59" s="284">
        <f t="shared" ca="1" si="9"/>
        <v>0</v>
      </c>
      <c r="K59" s="285">
        <f t="shared" ca="1" si="10"/>
        <v>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 t="e">
        <f>IF(AND(C60=0,C61=0,#REF!=0),"BLANKS",1)</f>
        <v>#REF!</v>
      </c>
      <c r="B60" s="405">
        <v>1</v>
      </c>
      <c r="C60" s="406" t="s">
        <v>219</v>
      </c>
      <c r="D60" s="281" t="str">
        <f ca="1">IF(ISERROR(OFFSET('HARGA SATUAN'!$D$6,MATCH(RAB!C60,'HARGA SATUAN'!$C$7:$C$1492,0),0)),"",OFFSET('HARGA SATUAN'!$D$6,MATCH(RAB!C60,'HARGA SATUAN'!$C$7:$C$1492,0),0))</f>
        <v>HDW</v>
      </c>
      <c r="E60" s="282" t="str">
        <f ca="1">IF(B60="+","Unit",IF(ISERROR(OFFSET('HARGA SATUAN'!$E$6,MATCH(RAB!C60,'HARGA SATUAN'!$C$7:$C$1492,0),0)),"",OFFSET('HARGA SATUAN'!$E$6,MATCH(RAB!C60,'HARGA SATUAN'!$C$7:$C$1492,0),0)))</f>
        <v>Bh</v>
      </c>
      <c r="F60" s="386">
        <f>F59*1</f>
        <v>1</v>
      </c>
      <c r="G60" s="283">
        <f ca="1">IF(ISERROR(OFFSET('HARGA SATUAN'!$I$6,MATCH(RAB!C60,'HARGA SATUAN'!$C$7:$C$1492,0),0)),0,OFFSET('HARGA SATUAN'!$I$6,MATCH(RAB!C60,'HARGA SATUAN'!$C$7:$C$1492,0),0))</f>
        <v>4212</v>
      </c>
      <c r="H60" s="284">
        <f t="shared" ca="1" si="7"/>
        <v>0</v>
      </c>
      <c r="I60" s="284">
        <f t="shared" ca="1" si="8"/>
        <v>4212</v>
      </c>
      <c r="J60" s="284">
        <f t="shared" ca="1" si="9"/>
        <v>0</v>
      </c>
      <c r="K60" s="285">
        <f t="shared" ca="1" si="10"/>
        <v>4212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 t="e">
        <f>IF(AND(C61=0,#REF!=0,#REF!=0),"BLANKS",1)</f>
        <v>#REF!</v>
      </c>
      <c r="B61" s="405">
        <v>2</v>
      </c>
      <c r="C61" s="406" t="s">
        <v>256</v>
      </c>
      <c r="D61" s="281" t="str">
        <f ca="1">IF(ISERROR(OFFSET('HARGA SATUAN'!$D$6,MATCH(RAB!C61,'HARGA SATUAN'!$C$7:$C$1492,0),0)),"",OFFSET('HARGA SATUAN'!$D$6,MATCH(RAB!C61,'HARGA SATUAN'!$C$7:$C$1492,0),0))</f>
        <v>HDW</v>
      </c>
      <c r="E61" s="282" t="str">
        <f ca="1">IF(B61="+","Unit",IF(ISERROR(OFFSET('HARGA SATUAN'!$E$6,MATCH(RAB!C61,'HARGA SATUAN'!$C$7:$C$1492,0),0)),"",OFFSET('HARGA SATUAN'!$E$6,MATCH(RAB!C61,'HARGA SATUAN'!$C$7:$C$1492,0),0)))</f>
        <v>Mtr</v>
      </c>
      <c r="F61" s="386">
        <f>F59*1</f>
        <v>1</v>
      </c>
      <c r="G61" s="283">
        <f ca="1">IF(ISERROR(OFFSET('HARGA SATUAN'!$I$6,MATCH(RAB!C61,'HARGA SATUAN'!$C$7:$C$1492,0),0)),0,OFFSET('HARGA SATUAN'!$I$6,MATCH(RAB!C61,'HARGA SATUAN'!$C$7:$C$1492,0),0))</f>
        <v>23310</v>
      </c>
      <c r="H61" s="284">
        <f t="shared" ca="1" si="7"/>
        <v>0</v>
      </c>
      <c r="I61" s="284">
        <f t="shared" ca="1" si="8"/>
        <v>23310</v>
      </c>
      <c r="J61" s="284">
        <f t="shared" ca="1" si="9"/>
        <v>0</v>
      </c>
      <c r="K61" s="285">
        <f t="shared" ca="1" si="10"/>
        <v>23310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>
        <f t="shared" ref="A62" si="29">IF(AND(C62=0,C63=0,C64=0),"BLANKS",1)</f>
        <v>1</v>
      </c>
      <c r="B62" s="405">
        <v>3</v>
      </c>
      <c r="C62" s="406" t="s">
        <v>25</v>
      </c>
      <c r="D62" s="281" t="str">
        <f ca="1">IF(ISERROR(OFFSET('HARGA SATUAN'!$D$6,MATCH(RAB!C62,'HARGA SATUAN'!$C$7:$C$1492,0),0)),"",OFFSET('HARGA SATUAN'!$D$6,MATCH(RAB!C62,'HARGA SATUAN'!$C$7:$C$1492,0),0))</f>
        <v>HDW</v>
      </c>
      <c r="E62" s="282" t="str">
        <f ca="1">IF(B62="+","Unit",IF(ISERROR(OFFSET('HARGA SATUAN'!$E$6,MATCH(RAB!C62,'HARGA SATUAN'!$C$7:$C$1492,0),0)),"",OFFSET('HARGA SATUAN'!$E$6,MATCH(RAB!C62,'HARGA SATUAN'!$C$7:$C$1492,0),0)))</f>
        <v>Bh</v>
      </c>
      <c r="F62" s="386">
        <f>F59*1</f>
        <v>1</v>
      </c>
      <c r="G62" s="283">
        <f ca="1">IF(ISERROR(OFFSET('HARGA SATUAN'!$I$6,MATCH(RAB!C62,'HARGA SATUAN'!$C$7:$C$1492,0),0)),0,OFFSET('HARGA SATUAN'!$I$6,MATCH(RAB!C62,'HARGA SATUAN'!$C$7:$C$1492,0),0))</f>
        <v>2300</v>
      </c>
      <c r="H62" s="284">
        <f t="shared" ca="1" si="7"/>
        <v>0</v>
      </c>
      <c r="I62" s="284">
        <f t="shared" ca="1" si="8"/>
        <v>2300</v>
      </c>
      <c r="J62" s="284">
        <f t="shared" ca="1" si="9"/>
        <v>0</v>
      </c>
      <c r="K62" s="285">
        <f t="shared" ca="1" si="10"/>
        <v>2300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 t="e">
        <f>IF(AND(C63=0,C64=0,#REF!=0),"BLANKS",1)</f>
        <v>#REF!</v>
      </c>
      <c r="B63" s="405">
        <v>4</v>
      </c>
      <c r="C63" s="406" t="s">
        <v>599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Bh</v>
      </c>
      <c r="F63" s="386">
        <f>F59*1</f>
        <v>1</v>
      </c>
      <c r="G63" s="283">
        <f ca="1">IF(ISERROR(OFFSET('HARGA SATUAN'!$I$6,MATCH(RAB!C63,'HARGA SATUAN'!$C$7:$C$1492,0),0)),0,OFFSET('HARGA SATUAN'!$I$6,MATCH(RAB!C63,'HARGA SATUAN'!$C$7:$C$1492,0),0))</f>
        <v>71000</v>
      </c>
      <c r="H63" s="284">
        <f t="shared" ca="1" si="7"/>
        <v>0</v>
      </c>
      <c r="I63" s="284">
        <f t="shared" ca="1" si="8"/>
        <v>71000</v>
      </c>
      <c r="J63" s="284">
        <f t="shared" ca="1" si="9"/>
        <v>0</v>
      </c>
      <c r="K63" s="285">
        <f t="shared" ca="1" si="10"/>
        <v>71000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 t="e">
        <f>IF(AND(C64=0,#REF!=0,#REF!=0),"BLANKS",1)</f>
        <v>#REF!</v>
      </c>
      <c r="B64" s="405">
        <v>5</v>
      </c>
      <c r="C64" s="406" t="s">
        <v>619</v>
      </c>
      <c r="D64" s="281" t="str">
        <f ca="1">IF(ISERROR(OFFSET('HARGA SATUAN'!$D$6,MATCH(RAB!C64,'HARGA SATUAN'!$C$7:$C$1492,0),0)),"",OFFSET('HARGA SATUAN'!$D$6,MATCH(RAB!C64,'HARGA SATUAN'!$C$7:$C$1492,0),0))</f>
        <v>JASA</v>
      </c>
      <c r="E64" s="282" t="str">
        <f ca="1">IF(B64="+","Unit",IF(ISERROR(OFFSET('HARGA SATUAN'!$E$6,MATCH(RAB!C64,'HARGA SATUAN'!$C$7:$C$1492,0),0)),"",OFFSET('HARGA SATUAN'!$E$6,MATCH(RAB!C64,'HARGA SATUAN'!$C$7:$C$1492,0),0)))</f>
        <v>Unit</v>
      </c>
      <c r="F64" s="386">
        <f>F59*1</f>
        <v>1</v>
      </c>
      <c r="G64" s="283">
        <f ca="1">IF(ISERROR(OFFSET('HARGA SATUAN'!$I$6,MATCH(RAB!C64,'HARGA SATUAN'!$C$7:$C$1492,0),0)),0,OFFSET('HARGA SATUAN'!$I$6,MATCH(RAB!C64,'HARGA SATUAN'!$C$7:$C$1492,0),0))</f>
        <v>29400</v>
      </c>
      <c r="H64" s="284">
        <f t="shared" ca="1" si="7"/>
        <v>0</v>
      </c>
      <c r="I64" s="284">
        <f t="shared" ca="1" si="8"/>
        <v>0</v>
      </c>
      <c r="J64" s="284">
        <f t="shared" ca="1" si="9"/>
        <v>29400</v>
      </c>
      <c r="K64" s="285">
        <f t="shared" ca="1" si="10"/>
        <v>29400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 ht="28.5">
      <c r="A65" s="259"/>
      <c r="B65" s="401" t="s">
        <v>514</v>
      </c>
      <c r="C65" s="402" t="s">
        <v>1579</v>
      </c>
      <c r="D65" s="281" t="str">
        <f ca="1">IF(ISERROR(OFFSET('HARGA SATUAN'!$D$6,MATCH(RAB!C65,'HARGA SATUAN'!$C$7:$C$1492,0),0)),"",OFFSET('HARGA SATUAN'!$D$6,MATCH(RAB!C65,'HARGA SATUAN'!$C$7:$C$1492,0),0))</f>
        <v/>
      </c>
      <c r="E65" s="282" t="str">
        <f ca="1">IF(B65="+","Unit",IF(ISERROR(OFFSET('HARGA SATUAN'!$E$6,MATCH(RAB!C65,'HARGA SATUAN'!$C$7:$C$1492,0),0)),"",OFFSET('HARGA SATUAN'!$E$6,MATCH(RAB!C65,'HARGA SATUAN'!$C$7:$C$1492,0),0)))</f>
        <v/>
      </c>
      <c r="F65" s="396"/>
      <c r="G65" s="283">
        <f ca="1">IF(ISERROR(OFFSET('HARGA SATUAN'!$I$6,MATCH(RAB!C65,'HARGA SATUAN'!$C$7:$C$1492,0),0)),0,OFFSET('HARGA SATUAN'!$I$6,MATCH(RAB!C65,'HARGA SATUAN'!$C$7:$C$1492,0),0))</f>
        <v>0</v>
      </c>
      <c r="H65" s="284">
        <f t="shared" ca="1" si="7"/>
        <v>0</v>
      </c>
      <c r="I65" s="284">
        <f t="shared" ca="1" si="8"/>
        <v>0</v>
      </c>
      <c r="J65" s="284">
        <f t="shared" ca="1" si="9"/>
        <v>0</v>
      </c>
      <c r="K65" s="285">
        <f t="shared" ca="1" si="10"/>
        <v>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 t="e">
        <f>IF(AND(C66=0,C67=0,#REF!=0),"BLANKS",1)</f>
        <v>#REF!</v>
      </c>
      <c r="B66" s="293"/>
      <c r="C66" s="294"/>
      <c r="D66" s="281" t="str">
        <f ca="1">IF(ISERROR(OFFSET('HARGA SATUAN'!$D$6,MATCH(RAB!C66,'HARGA SATUAN'!$C$7:$C$1492,0),0)),"",OFFSET('HARGA SATUAN'!$D$6,MATCH(RAB!C66,'HARGA SATUAN'!$C$7:$C$1492,0),0))</f>
        <v/>
      </c>
      <c r="E66" s="282" t="str">
        <f ca="1">IF(B66="+","Unit",IF(ISERROR(OFFSET('HARGA SATUAN'!$E$6,MATCH(RAB!C66,'HARGA SATUAN'!$C$7:$C$1492,0),0)),"",OFFSET('HARGA SATUAN'!$E$6,MATCH(RAB!C66,'HARGA SATUAN'!$C$7:$C$1492,0),0)))</f>
        <v/>
      </c>
      <c r="F66" s="396"/>
      <c r="G66" s="283">
        <f ca="1">IF(ISERROR(OFFSET('HARGA SATUAN'!$I$6,MATCH(RAB!C66,'HARGA SATUAN'!$C$7:$C$1492,0),0)),0,OFFSET('HARGA SATUAN'!$I$6,MATCH(RAB!C66,'HARGA SATUAN'!$C$7:$C$1492,0),0))</f>
        <v>0</v>
      </c>
      <c r="H66" s="284">
        <f t="shared" ca="1" si="7"/>
        <v>0</v>
      </c>
      <c r="I66" s="284">
        <f t="shared" ca="1" si="8"/>
        <v>0</v>
      </c>
      <c r="J66" s="284">
        <f t="shared" ca="1" si="9"/>
        <v>0</v>
      </c>
      <c r="K66" s="285">
        <f t="shared" ca="1" si="10"/>
        <v>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 t="e">
        <f>IF(AND(C67=0,#REF!=0,#REF!=0),"BLANKS",1)</f>
        <v>#REF!</v>
      </c>
      <c r="B67" s="293">
        <v>1</v>
      </c>
      <c r="C67" s="109" t="s">
        <v>1428</v>
      </c>
      <c r="D67" s="281" t="str">
        <f ca="1">IF(ISERROR(OFFSET('HARGA SATUAN'!$D$6,MATCH(RAB!C67,'HARGA SATUAN'!$C$7:$C$1492,0),0)),"",OFFSET('HARGA SATUAN'!$D$6,MATCH(RAB!C67,'HARGA SATUAN'!$C$7:$C$1492,0),0))</f>
        <v>MDU-KD</v>
      </c>
      <c r="E67" s="282" t="str">
        <f ca="1">IF(B67="+","Unit",IF(ISERROR(OFFSET('HARGA SATUAN'!$E$6,MATCH(RAB!C67,'HARGA SATUAN'!$C$7:$C$1492,0),0)),"",OFFSET('HARGA SATUAN'!$E$6,MATCH(RAB!C67,'HARGA SATUAN'!$C$7:$C$1492,0),0)))</f>
        <v>Mtr</v>
      </c>
      <c r="F67" s="396">
        <v>150</v>
      </c>
      <c r="G67" s="283">
        <f ca="1">IF(ISERROR(OFFSET('HARGA SATUAN'!$I$6,MATCH(RAB!C67,'HARGA SATUAN'!$C$7:$C$1492,0),0)),0,OFFSET('HARGA SATUAN'!$I$6,MATCH(RAB!C67,'HARGA SATUAN'!$C$7:$C$1492,0),0))</f>
        <v>54500</v>
      </c>
      <c r="H67" s="284">
        <f t="shared" ca="1" si="7"/>
        <v>8175000</v>
      </c>
      <c r="I67" s="284">
        <f t="shared" ca="1" si="8"/>
        <v>0</v>
      </c>
      <c r="J67" s="284">
        <f t="shared" ca="1" si="9"/>
        <v>0</v>
      </c>
      <c r="K67" s="285">
        <f t="shared" ca="1" si="10"/>
        <v>8175000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 ht="30">
      <c r="A68" s="259" t="s">
        <v>1413</v>
      </c>
      <c r="B68" s="293">
        <v>2</v>
      </c>
      <c r="C68" s="109" t="s">
        <v>336</v>
      </c>
      <c r="D68" s="281" t="str">
        <f ca="1">IF(ISERROR(OFFSET('HARGA SATUAN'!$D$6,MATCH(RAB!C68,'HARGA SATUAN'!$C$7:$C$1492,0),0)),"",OFFSET('HARGA SATUAN'!$D$6,MATCH(RAB!C68,'HARGA SATUAN'!$C$7:$C$1492,0),0))</f>
        <v>JASA</v>
      </c>
      <c r="E68" s="282" t="str">
        <f ca="1">IF(B68="+","Unit",IF(ISERROR(OFFSET('HARGA SATUAN'!$E$6,MATCH(RAB!C68,'HARGA SATUAN'!$C$7:$C$1492,0),0)),"",OFFSET('HARGA SATUAN'!$E$6,MATCH(RAB!C68,'HARGA SATUAN'!$C$7:$C$1492,0),0)))</f>
        <v>Per 50 m</v>
      </c>
      <c r="F68" s="396">
        <f>F67/50</f>
        <v>3</v>
      </c>
      <c r="G68" s="283">
        <f ca="1">IF(ISERROR(OFFSET('HARGA SATUAN'!$I$6,MATCH(RAB!C68,'HARGA SATUAN'!$C$7:$C$1492,0),0)),0,OFFSET('HARGA SATUAN'!$I$6,MATCH(RAB!C68,'HARGA SATUAN'!$C$7:$C$1492,0),0))</f>
        <v>223500</v>
      </c>
      <c r="H68" s="284">
        <f t="shared" ref="H68:H74" ca="1" si="30">IF(OR(D68="MDU",D68="MDU-KD"),(IF($O$3="RAB NON MDU","PLN KD",G68*F68)),0)</f>
        <v>0</v>
      </c>
      <c r="I68" s="284">
        <f t="shared" ref="I68:I74" ca="1" si="31">IF(D68="HDW",G68*F68,0)</f>
        <v>0</v>
      </c>
      <c r="J68" s="284">
        <f t="shared" ref="J68:J74" ca="1" si="32">IF(D68="JASA",G68*F68,0)</f>
        <v>670500</v>
      </c>
      <c r="K68" s="285">
        <f t="shared" ref="K68:K74" ca="1" si="33">SUM(H68:J68)</f>
        <v>670500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 t="e">
        <f>IF(AND(C69=0,#REF!=0,#REF!=0),"BLANKS",1)</f>
        <v>#REF!</v>
      </c>
      <c r="B69" s="401"/>
      <c r="C69" s="402"/>
      <c r="D69" s="281" t="str">
        <f ca="1">IF(ISERROR(OFFSET('HARGA SATUAN'!$D$6,MATCH(RAB!C69,'HARGA SATUAN'!$C$7:$C$1492,0),0)),"",OFFSET('HARGA SATUAN'!$D$6,MATCH(RAB!C69,'HARGA SATUAN'!$C$7:$C$1492,0),0))</f>
        <v/>
      </c>
      <c r="E69" s="282" t="str">
        <f ca="1">IF(B69="+","Unit",IF(ISERROR(OFFSET('HARGA SATUAN'!$E$6,MATCH(RAB!C69,'HARGA SATUAN'!$C$7:$C$1492,0),0)),"",OFFSET('HARGA SATUAN'!$E$6,MATCH(RAB!C69,'HARGA SATUAN'!$C$7:$C$1492,0),0)))</f>
        <v/>
      </c>
      <c r="F69" s="396"/>
      <c r="G69" s="283">
        <f ca="1">IF(ISERROR(OFFSET('HARGA SATUAN'!$I$6,MATCH(RAB!C69,'HARGA SATUAN'!$C$7:$C$1492,0),0)),0,OFFSET('HARGA SATUAN'!$I$6,MATCH(RAB!C69,'HARGA SATUAN'!$C$7:$C$1492,0),0))</f>
        <v>0</v>
      </c>
      <c r="H69" s="284">
        <f t="shared" ca="1" si="30"/>
        <v>0</v>
      </c>
      <c r="I69" s="284">
        <f t="shared" ca="1" si="31"/>
        <v>0</v>
      </c>
      <c r="J69" s="284">
        <f t="shared" ca="1" si="32"/>
        <v>0</v>
      </c>
      <c r="K69" s="285">
        <f t="shared" ca="1" si="33"/>
        <v>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 t="s">
        <v>1413</v>
      </c>
      <c r="B70" s="401" t="s">
        <v>516</v>
      </c>
      <c r="C70" s="402" t="s">
        <v>1580</v>
      </c>
      <c r="D70" s="281" t="str">
        <f ca="1">IF(ISERROR(OFFSET('HARGA SATUAN'!$D$6,MATCH(RAB!C70,'HARGA SATUAN'!$C$7:$C$1492,0),0)),"",OFFSET('HARGA SATUAN'!$D$6,MATCH(RAB!C70,'HARGA SATUAN'!$C$7:$C$1492,0),0))</f>
        <v/>
      </c>
      <c r="E70" s="282" t="str">
        <f ca="1">IF(B70="+","Unit",IF(ISERROR(OFFSET('HARGA SATUAN'!$E$6,MATCH(RAB!C70,'HARGA SATUAN'!$C$7:$C$1492,0),0)),"",OFFSET('HARGA SATUAN'!$E$6,MATCH(RAB!C70,'HARGA SATUAN'!$C$7:$C$1492,0),0)))</f>
        <v/>
      </c>
      <c r="F70" s="396"/>
      <c r="G70" s="283">
        <f ca="1">IF(ISERROR(OFFSET('HARGA SATUAN'!$I$6,MATCH(RAB!C70,'HARGA SATUAN'!$C$7:$C$1492,0),0)),0,OFFSET('HARGA SATUAN'!$I$6,MATCH(RAB!C70,'HARGA SATUAN'!$C$7:$C$1492,0),0))</f>
        <v>0</v>
      </c>
      <c r="H70" s="284">
        <f t="shared" ca="1" si="30"/>
        <v>0</v>
      </c>
      <c r="I70" s="284">
        <f t="shared" ca="1" si="31"/>
        <v>0</v>
      </c>
      <c r="J70" s="284">
        <f t="shared" ca="1" si="32"/>
        <v>0</v>
      </c>
      <c r="K70" s="285">
        <f t="shared" ca="1" si="33"/>
        <v>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e">
        <f>IF(AND(C71=0,#REF!=0,#REF!=0),"BLANKS",1)</f>
        <v>#REF!</v>
      </c>
      <c r="B71" s="403" t="s">
        <v>1005</v>
      </c>
      <c r="C71" s="404" t="s">
        <v>1627</v>
      </c>
      <c r="D71" s="281" t="str">
        <f ca="1">IF(ISERROR(OFFSET('HARGA SATUAN'!$D$6,MATCH(RAB!C71,'HARGA SATUAN'!$C$7:$C$1492,0),0)),"",OFFSET('HARGA SATUAN'!$D$6,MATCH(RAB!C71,'HARGA SATUAN'!$C$7:$C$1492,0),0))</f>
        <v/>
      </c>
      <c r="E71" s="282" t="str">
        <f ca="1">IF(B71="+","Unit",IF(ISERROR(OFFSET('HARGA SATUAN'!$E$6,MATCH(RAB!C71,'HARGA SATUAN'!$C$7:$C$1492,0),0)),"",OFFSET('HARGA SATUAN'!$E$6,MATCH(RAB!C71,'HARGA SATUAN'!$C$7:$C$1492,0),0)))</f>
        <v>Unit</v>
      </c>
      <c r="F71" s="400">
        <v>1</v>
      </c>
      <c r="G71" s="283">
        <f ca="1">IF(ISERROR(OFFSET('HARGA SATUAN'!$I$6,MATCH(RAB!C71,'HARGA SATUAN'!$C$7:$C$1492,0),0)),0,OFFSET('HARGA SATUAN'!$I$6,MATCH(RAB!C71,'HARGA SATUAN'!$C$7:$C$1492,0),0))</f>
        <v>0</v>
      </c>
      <c r="H71" s="284">
        <f t="shared" ca="1" si="30"/>
        <v>0</v>
      </c>
      <c r="I71" s="284">
        <f t="shared" ca="1" si="31"/>
        <v>0</v>
      </c>
      <c r="J71" s="284">
        <f t="shared" ca="1" si="32"/>
        <v>0</v>
      </c>
      <c r="K71" s="285">
        <f t="shared" ca="1" si="33"/>
        <v>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 ht="30">
      <c r="A72" s="259"/>
      <c r="B72" s="405">
        <v>1</v>
      </c>
      <c r="C72" s="109" t="s">
        <v>1167</v>
      </c>
      <c r="D72" s="281" t="str">
        <f ca="1">IF(ISERROR(OFFSET('HARGA SATUAN'!$D$6,MATCH(RAB!C72,'HARGA SATUAN'!$C$7:$C$1492,0),0)),"",OFFSET('HARGA SATUAN'!$D$6,MATCH(RAB!C72,'HARGA SATUAN'!$C$7:$C$1492,0),0))</f>
        <v>MDU-KD</v>
      </c>
      <c r="E72" s="282" t="str">
        <f ca="1">IF(B72="+","Unit",IF(ISERROR(OFFSET('HARGA SATUAN'!$E$6,MATCH(RAB!C72,'HARGA SATUAN'!$C$7:$C$1492,0),0)),"",OFFSET('HARGA SATUAN'!$E$6,MATCH(RAB!C72,'HARGA SATUAN'!$C$7:$C$1492,0),0)))</f>
        <v>Bh</v>
      </c>
      <c r="F72" s="400">
        <f>F71*1</f>
        <v>1</v>
      </c>
      <c r="G72" s="283">
        <f ca="1">IF(ISERROR(OFFSET('HARGA SATUAN'!$I$6,MATCH(RAB!C72,'HARGA SATUAN'!$C$7:$C$1492,0),0)),0,OFFSET('HARGA SATUAN'!$I$6,MATCH(RAB!C72,'HARGA SATUAN'!$C$7:$C$1492,0),0))</f>
        <v>1427400</v>
      </c>
      <c r="H72" s="284">
        <f t="shared" ca="1" si="30"/>
        <v>1427400</v>
      </c>
      <c r="I72" s="284">
        <f t="shared" ca="1" si="31"/>
        <v>0</v>
      </c>
      <c r="J72" s="284">
        <f t="shared" ca="1" si="32"/>
        <v>0</v>
      </c>
      <c r="K72" s="285">
        <f t="shared" ca="1" si="33"/>
        <v>1427400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e">
        <f>IF(AND(C73=0,C74=0,#REF!=0),"BLANKS",1)</f>
        <v>#REF!</v>
      </c>
      <c r="B73" s="405">
        <v>2</v>
      </c>
      <c r="C73" s="407" t="s">
        <v>502</v>
      </c>
      <c r="D73" s="281" t="str">
        <f ca="1">IF(ISERROR(OFFSET('HARGA SATUAN'!$D$6,MATCH(RAB!C73,'HARGA SATUAN'!$C$7:$C$1492,0),0)),"",OFFSET('HARGA SATUAN'!$D$6,MATCH(RAB!C73,'HARGA SATUAN'!$C$7:$C$1492,0),0))</f>
        <v>MDU-KD</v>
      </c>
      <c r="E73" s="282" t="str">
        <f ca="1">IF(B73="+","Unit",IF(ISERROR(OFFSET('HARGA SATUAN'!$E$6,MATCH(RAB!C73,'HARGA SATUAN'!$C$7:$C$1492,0),0)),"",OFFSET('HARGA SATUAN'!$E$6,MATCH(RAB!C73,'HARGA SATUAN'!$C$7:$C$1492,0),0)))</f>
        <v>Unit</v>
      </c>
      <c r="F73" s="400">
        <f>F71*1</f>
        <v>1</v>
      </c>
      <c r="G73" s="283">
        <f ca="1">IF(ISERROR(OFFSET('HARGA SATUAN'!$I$6,MATCH(RAB!C73,'HARGA SATUAN'!$C$7:$C$1492,0),0)),0,OFFSET('HARGA SATUAN'!$I$6,MATCH(RAB!C73,'HARGA SATUAN'!$C$7:$C$1492,0),0))</f>
        <v>3564900</v>
      </c>
      <c r="H73" s="284">
        <f t="shared" ca="1" si="30"/>
        <v>3564900</v>
      </c>
      <c r="I73" s="284">
        <f t="shared" ca="1" si="31"/>
        <v>0</v>
      </c>
      <c r="J73" s="284">
        <f t="shared" ca="1" si="32"/>
        <v>0</v>
      </c>
      <c r="K73" s="285">
        <f t="shared" ca="1" si="33"/>
        <v>3564900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 t="e">
        <f>IF(AND(C74=0,#REF!=0,#REF!=0),"BLANKS",1)</f>
        <v>#REF!</v>
      </c>
      <c r="B74" s="405">
        <v>3</v>
      </c>
      <c r="C74" s="407" t="s">
        <v>1112</v>
      </c>
      <c r="D74" s="281" t="str">
        <f ca="1">IF(ISERROR(OFFSET('HARGA SATUAN'!$D$6,MATCH(RAB!C74,'HARGA SATUAN'!$C$7:$C$1492,0),0)),"",OFFSET('HARGA SATUAN'!$D$6,MATCH(RAB!C74,'HARGA SATUAN'!$C$7:$C$1492,0),0))</f>
        <v>HDW</v>
      </c>
      <c r="E74" s="282" t="str">
        <f ca="1">IF(B74="+","Unit",IF(ISERROR(OFFSET('HARGA SATUAN'!$E$6,MATCH(RAB!C74,'HARGA SATUAN'!$C$7:$C$1492,0),0)),"",OFFSET('HARGA SATUAN'!$E$6,MATCH(RAB!C74,'HARGA SATUAN'!$C$7:$C$1492,0),0)))</f>
        <v>Unit</v>
      </c>
      <c r="F74" s="400">
        <f>F71*1</f>
        <v>1</v>
      </c>
      <c r="G74" s="283">
        <f ca="1">IF(ISERROR(OFFSET('HARGA SATUAN'!$I$6,MATCH(RAB!C74,'HARGA SATUAN'!$C$7:$C$1492,0),0)),0,OFFSET('HARGA SATUAN'!$I$6,MATCH(RAB!C74,'HARGA SATUAN'!$C$7:$C$1492,0),0))</f>
        <v>1113900</v>
      </c>
      <c r="H74" s="284">
        <f t="shared" ca="1" si="30"/>
        <v>0</v>
      </c>
      <c r="I74" s="284">
        <f t="shared" ca="1" si="31"/>
        <v>1113900</v>
      </c>
      <c r="J74" s="284">
        <f t="shared" ca="1" si="32"/>
        <v>0</v>
      </c>
      <c r="K74" s="285">
        <f t="shared" ca="1" si="33"/>
        <v>1113900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/>
      <c r="B75" s="405">
        <v>4</v>
      </c>
      <c r="C75" s="407" t="s">
        <v>67</v>
      </c>
      <c r="D75" s="281"/>
      <c r="E75" s="282"/>
      <c r="F75" s="400">
        <f>F71*35</f>
        <v>35</v>
      </c>
      <c r="G75" s="283"/>
      <c r="H75" s="284"/>
      <c r="I75" s="284"/>
      <c r="J75" s="284"/>
      <c r="K75" s="285"/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 t="e">
        <f>IF(AND(C76=0,#REF!=0,#REF!=0),"BLANKS",1)</f>
        <v>#REF!</v>
      </c>
      <c r="B76" s="405">
        <v>5</v>
      </c>
      <c r="C76" s="407" t="s">
        <v>789</v>
      </c>
      <c r="D76" s="281" t="str">
        <f ca="1">IF(ISERROR(OFFSET('HARGA SATUAN'!$D$6,MATCH(RAB!C76,'HARGA SATUAN'!$C$7:$C$1492,0),0)),"",OFFSET('HARGA SATUAN'!$D$6,MATCH(RAB!C76,'HARGA SATUAN'!$C$7:$C$1492,0),0))</f>
        <v>JASA</v>
      </c>
      <c r="E76" s="282" t="str">
        <f ca="1">IF(B76="+","Unit",IF(ISERROR(OFFSET('HARGA SATUAN'!$E$6,MATCH(RAB!C76,'HARGA SATUAN'!$C$7:$C$1492,0),0)),"",OFFSET('HARGA SATUAN'!$E$6,MATCH(RAB!C76,'HARGA SATUAN'!$C$7:$C$1492,0),0)))</f>
        <v>Unit</v>
      </c>
      <c r="F76" s="400">
        <f>F71*1</f>
        <v>1</v>
      </c>
      <c r="G76" s="283">
        <f ca="1">IF(ISERROR(OFFSET('HARGA SATUAN'!$I$6,MATCH(RAB!C76,'HARGA SATUAN'!$C$7:$C$1492,0),0)),0,OFFSET('HARGA SATUAN'!$I$6,MATCH(RAB!C76,'HARGA SATUAN'!$C$7:$C$1492,0),0))</f>
        <v>106400</v>
      </c>
      <c r="H76" s="284">
        <f t="shared" ref="H76:H77" ca="1" si="34">IF(OR(D76="MDU",D76="MDU-KD"),(IF($O$3="RAB NON MDU","PLN KD",G76*F76)),0)</f>
        <v>0</v>
      </c>
      <c r="I76" s="284">
        <f t="shared" ref="I76:I77" ca="1" si="35">IF(D76="HDW",G76*F76,0)</f>
        <v>0</v>
      </c>
      <c r="J76" s="284">
        <f t="shared" ref="J76:J77" ca="1" si="36">IF(D76="JASA",G76*F76,0)</f>
        <v>106400</v>
      </c>
      <c r="K76" s="285">
        <f t="shared" ref="K76:K77" ca="1" si="37">SUM(H76:J76)</f>
        <v>106400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 t="s">
        <v>1413</v>
      </c>
      <c r="B77" s="293"/>
      <c r="C77" s="402"/>
      <c r="D77" s="281" t="str">
        <f ca="1">IF(ISERROR(OFFSET('HARGA SATUAN'!$D$6,MATCH(RAB!C77,'HARGA SATUAN'!$C$7:$C$1492,0),0)),"",OFFSET('HARGA SATUAN'!$D$6,MATCH(RAB!C77,'HARGA SATUAN'!$C$7:$C$1492,0),0))</f>
        <v/>
      </c>
      <c r="E77" s="282" t="str">
        <f ca="1">IF(B77="+","Unit",IF(ISERROR(OFFSET('HARGA SATUAN'!$E$6,MATCH(RAB!C77,'HARGA SATUAN'!$C$7:$C$1492,0),0)),"",OFFSET('HARGA SATUAN'!$E$6,MATCH(RAB!C77,'HARGA SATUAN'!$C$7:$C$1492,0),0)))</f>
        <v/>
      </c>
      <c r="F77" s="396"/>
      <c r="G77" s="283">
        <f ca="1">IF(ISERROR(OFFSET('HARGA SATUAN'!$I$6,MATCH(RAB!C77,'HARGA SATUAN'!$C$7:$C$1492,0),0)),0,OFFSET('HARGA SATUAN'!$I$6,MATCH(RAB!C77,'HARGA SATUAN'!$C$7:$C$1492,0),0))</f>
        <v>0</v>
      </c>
      <c r="H77" s="284">
        <f t="shared" ca="1" si="34"/>
        <v>0</v>
      </c>
      <c r="I77" s="284">
        <f t="shared" ca="1" si="35"/>
        <v>0</v>
      </c>
      <c r="J77" s="284">
        <f t="shared" ca="1" si="36"/>
        <v>0</v>
      </c>
      <c r="K77" s="285">
        <f t="shared" ca="1" si="37"/>
        <v>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>
      <c r="B78" s="295"/>
      <c r="C78" s="292"/>
      <c r="D78" s="281" t="str">
        <f ca="1">IF(ISERROR(OFFSET('HARGA SATUAN'!$D$6,MATCH(RAB!C78,'HARGA SATUAN'!$C$7:$C$1492,0),0)),"",OFFSET('HARGA SATUAN'!$D$6,MATCH(RAB!C78,'HARGA SATUAN'!$C$7:$C$1492,0),0))</f>
        <v/>
      </c>
      <c r="E78" s="282" t="str">
        <f ca="1">IF(B78="+","Unit",IF(ISERROR(OFFSET('HARGA SATUAN'!$E$6,MATCH(RAB!C78,'HARGA SATUAN'!$C$7:$C$1492,0),0)),"",OFFSET('HARGA SATUAN'!$E$6,MATCH(RAB!C78,'HARGA SATUAN'!$C$7:$C$1492,0),0)))</f>
        <v/>
      </c>
      <c r="F78" s="289"/>
      <c r="G78" s="283">
        <f ca="1">IF(ISERROR(OFFSET('HARGA SATUAN'!$I$6,MATCH(RAB!C78,'HARGA SATUAN'!$C$7:$C$1492,0),0)),0,OFFSET('HARGA SATUAN'!$I$6,MATCH(RAB!C78,'HARGA SATUAN'!$C$7:$C$1492,0),0))</f>
        <v>0</v>
      </c>
      <c r="H78" s="284">
        <f t="shared" ref="H78" ca="1" si="38">IF(OR(D78="MDU",D78="MDU-KD"),(IF($O$3="RAB NON MDU","PLN KD",G78*F78)),0)</f>
        <v>0</v>
      </c>
      <c r="I78" s="284">
        <f t="shared" ref="I78" ca="1" si="39">IF(D78="HDW",G78*F78,0)</f>
        <v>0</v>
      </c>
      <c r="J78" s="284">
        <f t="shared" ref="J78" ca="1" si="40">IF(D78="JASA",G78*F78,0)</f>
        <v>0</v>
      </c>
      <c r="K78" s="285">
        <f t="shared" ref="K78" ca="1" si="41">SUM(H78:J78)</f>
        <v>0</v>
      </c>
    </row>
    <row r="79" spans="1:22">
      <c r="B79" s="296"/>
      <c r="C79" s="297" t="s">
        <v>465</v>
      </c>
      <c r="D79" s="281" t="str">
        <f ca="1">IF(ISERROR(OFFSET('HARGA SATUAN'!$D$6,MATCH(RAB!C79,'HARGA SATUAN'!$C$7:$C$1492,0),0)),"",OFFSET('HARGA SATUAN'!$D$6,MATCH(RAB!C79,'HARGA SATUAN'!$C$7:$C$1492,0),0))</f>
        <v/>
      </c>
      <c r="E79" s="282" t="str">
        <f ca="1">IF(B79="+","Unit",IF(ISERROR(OFFSET('HARGA SATUAN'!$E$6,MATCH(RAB!C79,'HARGA SATUAN'!$C$7:$C$1492,0),0)),"",OFFSET('HARGA SATUAN'!$E$6,MATCH(RAB!C79,'HARGA SATUAN'!$C$7:$C$1492,0),0)))</f>
        <v/>
      </c>
      <c r="F79" s="298"/>
      <c r="G79" s="283">
        <f ca="1">IF(ISERROR(OFFSET('HARGA SATUAN'!$I$6,MATCH(RAB!C79,'HARGA SATUAN'!$C$7:$C$1492,0),0)),0,OFFSET('HARGA SATUAN'!$I$6,MATCH(RAB!C79,'HARGA SATUAN'!$C$7:$C$1492,0),0))</f>
        <v>0</v>
      </c>
      <c r="H79" s="284">
        <f t="shared" ref="H79" ca="1" si="42">IF(OR(D79="MDU",D79="MDU-KD"),(IF($O$3="RAB NON MDU","PLN KD",G79*F79)),0)</f>
        <v>0</v>
      </c>
      <c r="I79" s="284">
        <f ca="1">IF(D79="HDW",G79*F79,0)</f>
        <v>0</v>
      </c>
      <c r="J79" s="284">
        <f ca="1">IF(D79="JASA",G79*F79,0)</f>
        <v>0</v>
      </c>
      <c r="K79" s="285">
        <f ca="1">SUM(H79:J79)</f>
        <v>0</v>
      </c>
    </row>
    <row r="80" spans="1:22">
      <c r="B80" s="299">
        <v>1</v>
      </c>
      <c r="C80" s="300" t="s">
        <v>1061</v>
      </c>
      <c r="D80" s="301" t="str">
        <f ca="1">IF(ISERROR(OFFSET('HARGA SATUAN'!$D$6,MATCH(RAB!C80,'HARGA SATUAN'!$C$7:$C$1492,0),0)),"",OFFSET('HARGA SATUAN'!$D$6,MATCH(RAB!C80,'HARGA SATUAN'!$C$7:$C$1492,0),0))</f>
        <v>JASA</v>
      </c>
      <c r="E80" s="302" t="str">
        <f ca="1">IF(ISERROR(OFFSET('HARGA SATUAN'!$E$6,MATCH(RAB!C80,'HARGA SATUAN'!$C$7:$C$1492,0),0)),"",OFFSET('HARGA SATUAN'!$E$6,MATCH(RAB!C80,'HARGA SATUAN'!$C$7:$C$1492,0),0))</f>
        <v>Lot</v>
      </c>
      <c r="F80" s="303">
        <v>1</v>
      </c>
      <c r="G80" s="304">
        <f ca="1">IF(ISERROR(OFFSET('HARGA SATUAN'!$I$6,MATCH(RAB!C80,'HARGA SATUAN'!$C$7:$C$1492,0),0)),0,OFFSET('HARGA SATUAN'!$I$6,MATCH(RAB!C80,'HARGA SATUAN'!$C$7:$C$1492,0),0))</f>
        <v>2.5000000000000001E-2</v>
      </c>
      <c r="H80" s="305"/>
      <c r="I80" s="305"/>
      <c r="J80" s="305">
        <f ca="1">SUM(K15:K78)*G80</f>
        <v>721458.52500000002</v>
      </c>
      <c r="K80" s="306">
        <f ca="1">SUM(H80:J80)</f>
        <v>721458.52500000002</v>
      </c>
    </row>
    <row r="81" spans="2:13">
      <c r="B81" s="307"/>
      <c r="C81" s="308"/>
      <c r="D81" s="281" t="str">
        <f ca="1">IF(ISERROR(OFFSET('HARGA SATUAN'!$D$6,MATCH(RAB!C81,'HARGA SATUAN'!$C$7:$C$1492,0),0)),"",OFFSET('HARGA SATUAN'!$D$6,MATCH(RAB!C81,'HARGA SATUAN'!$C$7:$C$1492,0),0))</f>
        <v/>
      </c>
      <c r="E81" s="282" t="str">
        <f ca="1">IF(ISERROR(OFFSET('HARGA SATUAN'!$E$6,MATCH(RAB!C81,'HARGA SATUAN'!$C$7:$C$1492,0),0)),"",OFFSET('HARGA SATUAN'!$E$6,MATCH(RAB!C81,'HARGA SATUAN'!$C$7:$C$1492,0),0))</f>
        <v/>
      </c>
      <c r="F81" s="298"/>
      <c r="G81" s="283" t="str">
        <f ca="1">IF(ISERROR(OFFSET('HARGA SATUAN'!$I$6,MATCH(RAB!C81,'HARGA SATUAN'!$C$7:$C$1492,0),0)),"",OFFSET('HARGA SATUAN'!$I$6,MATCH(RAB!C81,'HARGA SATUAN'!$C$7:$C$1492,0),0))</f>
        <v/>
      </c>
      <c r="H81" s="284">
        <f ca="1">IF(OR(D81="MDU",D81="MDU-KD"),IF(G81="PLN",0,G81*F81),0)</f>
        <v>0</v>
      </c>
      <c r="I81" s="284">
        <f ca="1">IF(D81="HDW",IF(G81="PLN",0,G81*F81),0)</f>
        <v>0</v>
      </c>
      <c r="J81" s="284">
        <f ca="1">IF(D81="JASA",IF(G81="PLN",0,G81*F81),0)</f>
        <v>0</v>
      </c>
      <c r="K81" s="285">
        <f ca="1">SUM(H81:J81)</f>
        <v>0</v>
      </c>
    </row>
    <row r="82" spans="2:13" ht="15.75" thickBot="1">
      <c r="B82" s="309"/>
      <c r="C82" s="310"/>
      <c r="D82" s="311"/>
      <c r="E82" s="312"/>
      <c r="F82" s="312"/>
      <c r="G82" s="312"/>
      <c r="H82" s="313"/>
      <c r="I82" s="313"/>
      <c r="J82" s="313"/>
      <c r="K82" s="314"/>
    </row>
    <row r="83" spans="2:13">
      <c r="B83" s="315"/>
      <c r="C83" s="622" t="s">
        <v>980</v>
      </c>
      <c r="D83" s="622"/>
      <c r="E83" s="622"/>
      <c r="F83" s="622"/>
      <c r="G83" s="316" t="s">
        <v>9</v>
      </c>
      <c r="H83" s="317">
        <f ca="1">SUM(H14:H81)</f>
        <v>18017550</v>
      </c>
      <c r="I83" s="317">
        <f ca="1">SUM(I14:I81)</f>
        <v>8679191</v>
      </c>
      <c r="J83" s="317">
        <f ca="1">SUM(J14:J81)</f>
        <v>2883058.5249999999</v>
      </c>
      <c r="K83" s="317">
        <f ca="1">SUM(K14:K81)</f>
        <v>29579799.524999999</v>
      </c>
    </row>
    <row r="84" spans="2:13">
      <c r="B84" s="318"/>
      <c r="C84" s="611" t="s">
        <v>1426</v>
      </c>
      <c r="D84" s="611"/>
      <c r="E84" s="611"/>
      <c r="F84" s="611"/>
      <c r="G84" s="319" t="s">
        <v>9</v>
      </c>
      <c r="H84" s="320">
        <f ca="1">H83*0.11</f>
        <v>1981930.5</v>
      </c>
      <c r="I84" s="320">
        <f ca="1">I83*0.11</f>
        <v>954711.01</v>
      </c>
      <c r="J84" s="320">
        <f ca="1">J83*0.11</f>
        <v>317136.43774999998</v>
      </c>
      <c r="K84" s="320">
        <f ca="1">K83*0.11</f>
        <v>3253777.9477499998</v>
      </c>
    </row>
    <row r="85" spans="2:13" ht="15.75" thickBot="1">
      <c r="B85" s="318"/>
      <c r="C85" s="610" t="s">
        <v>453</v>
      </c>
      <c r="D85" s="610"/>
      <c r="E85" s="610"/>
      <c r="F85" s="610"/>
      <c r="G85" s="321" t="s">
        <v>9</v>
      </c>
      <c r="H85" s="322">
        <f ca="1">SUM(H83:H84)</f>
        <v>19999480.5</v>
      </c>
      <c r="I85" s="322">
        <f ca="1">SUM(I83:I84)</f>
        <v>9633902.0099999998</v>
      </c>
      <c r="J85" s="321">
        <f ca="1">SUM(J83:J84)</f>
        <v>3200194.9627499999</v>
      </c>
      <c r="K85" s="321">
        <f ca="1">SUM(K83:K84)</f>
        <v>32833577.472749997</v>
      </c>
      <c r="M85" s="387"/>
    </row>
    <row r="86" spans="2:13">
      <c r="B86" s="612" t="str">
        <f ca="1">"Terbilang : "&amp;PROPER(IF(K85=0,"nol",IF(K85&lt;0,"minus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IF(--MID(TEXT(ABS(K85),"000000000000000"),1,3)=0,"",MID(TEXT(ABS(K85),"000000000000000"),1,1)&amp;" ratus "&amp;MID(TEXT(ABS(K85),"000000000000000"),2,1)&amp;" puluh "&amp;MID(TEXT(ABS(K85),"000000000000000"),3,1)&amp;" trilyun ")&amp; IF(--MID(TEXT(ABS(K85),"000000000000000"),4,3)=0,"",MID(TEXT(ABS(K85),"000000000000000"),4,1)&amp;" ratus "&amp;MID(TEXT(ABS(K85),"000000000000000"),5,1)&amp;" puluh "&amp;MID(TEXT(ABS(K85),"000000000000000"),6,1)&amp;" milyar ")&amp; IF(--MID(TEXT(ABS(K85),"000000000000000"),7,3)=0,"",MID(TEXT(ABS(K85),"000000000000000"),7,1)&amp;" ratus "&amp;MID(TEXT(ABS(K85),"000000000000000"),8,1)&amp;" puluh "&amp;MID(TEXT(ABS(K85),"000000000000000"),9,1)&amp;" juta ")&amp; IF(--MID(TEXT(ABS(K85),"000000000000000"),10,3)=0,"",IF(--MID(TEXT(ABS(K85),"000000000000000"),10,3)=1,"*",MID(TEXT(ABS(K85),"000000000000000"),10,1)&amp;" ratus "&amp;MID(TEXT(ABS(K85),"000000000000000"),11,1)&amp;" puluh ")&amp;MID(TEXT(ABS(K85),"000000000000000"),12,1)&amp;" ribu ")&amp; IF(--MID(TEXT(ABS(K85),"000000000000000"),13,3)=0,"",MID(TEXT(ABS(K85),"000000000000000"),13,1)&amp;" ratus "&amp;MID(TEXT(ABS(K85),"000000000000000"),14,1)&amp;" puluh "&amp;MID(TEXT(ABS(K85),"000000000000000"),15,1)),1,"satu"),2,"dua"),3,"tiga"),4,"empat"),5,"lima"),6,"enam"),7,"tujuh"),8,"delapan"),9,"sembilan"),"0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Dua Juta Delapan Ratus Tiga Puluh Tiga Ribu Lima Ratus Tujuh Puluh Tujuh Rupiah</v>
      </c>
      <c r="C86" s="613"/>
      <c r="D86" s="613"/>
      <c r="E86" s="613"/>
      <c r="F86" s="613"/>
      <c r="G86" s="613"/>
      <c r="H86" s="613"/>
      <c r="I86" s="613"/>
      <c r="J86" s="613"/>
      <c r="K86" s="614"/>
    </row>
    <row r="87" spans="2:13">
      <c r="B87" s="615"/>
      <c r="C87" s="616"/>
      <c r="D87" s="616"/>
      <c r="E87" s="616"/>
      <c r="F87" s="616"/>
      <c r="G87" s="616"/>
      <c r="H87" s="616"/>
      <c r="I87" s="616"/>
      <c r="J87" s="616"/>
      <c r="K87" s="617"/>
    </row>
    <row r="88" spans="2:13" ht="15.75" thickBot="1">
      <c r="B88" s="323" t="str">
        <f>"Harga yang dipakai adalah "&amp;'HARGA SATUAN'!I5&amp;""</f>
        <v>Harga yang dipakai adalah RAB HSS 2023</v>
      </c>
      <c r="C88" s="324"/>
      <c r="D88" s="325"/>
      <c r="E88" s="325"/>
      <c r="F88" s="325"/>
      <c r="G88" s="326"/>
      <c r="H88" s="326"/>
      <c r="I88" s="326"/>
      <c r="J88" s="326"/>
      <c r="K88" s="327"/>
    </row>
    <row r="89" spans="2:13">
      <c r="C89" s="328"/>
      <c r="E89" s="330"/>
      <c r="F89" s="330"/>
      <c r="G89" s="330"/>
    </row>
    <row r="90" spans="2:13">
      <c r="C90" s="260"/>
      <c r="E90" s="330"/>
      <c r="F90" s="330"/>
      <c r="G90" s="330"/>
      <c r="H90" s="618"/>
      <c r="I90" s="618"/>
      <c r="J90" s="619"/>
      <c r="K90" s="619"/>
    </row>
    <row r="91" spans="2:13">
      <c r="C91" s="260"/>
      <c r="E91" s="330"/>
      <c r="F91" s="330"/>
      <c r="G91" s="330"/>
      <c r="H91" s="331"/>
      <c r="I91" s="609" t="s">
        <v>1639</v>
      </c>
      <c r="J91" s="609"/>
      <c r="K91" s="609"/>
    </row>
    <row r="92" spans="2:13">
      <c r="C92" s="260"/>
      <c r="E92" s="330"/>
      <c r="F92" s="330"/>
      <c r="G92" s="330"/>
      <c r="H92" s="331"/>
      <c r="I92" s="609" t="s">
        <v>1640</v>
      </c>
      <c r="J92" s="609"/>
      <c r="K92" s="609"/>
    </row>
    <row r="93" spans="2:13">
      <c r="C93" s="260"/>
      <c r="E93" s="330"/>
      <c r="F93" s="330"/>
      <c r="G93" s="330"/>
      <c r="H93" s="332"/>
      <c r="I93" s="333"/>
      <c r="J93" s="333"/>
      <c r="K93" s="333"/>
    </row>
    <row r="94" spans="2:13">
      <c r="C94" s="260"/>
      <c r="E94" s="330"/>
      <c r="F94" s="330"/>
      <c r="G94" s="330"/>
      <c r="H94" s="332"/>
      <c r="I94" s="332"/>
      <c r="J94" s="332"/>
      <c r="K94" s="332"/>
    </row>
    <row r="95" spans="2:13">
      <c r="C95" s="260"/>
      <c r="E95" s="330"/>
      <c r="F95" s="330"/>
      <c r="G95" s="330"/>
      <c r="H95" s="332"/>
      <c r="I95" s="332"/>
      <c r="J95" s="332"/>
      <c r="K95" s="332"/>
    </row>
    <row r="96" spans="2:13">
      <c r="C96" s="260"/>
      <c r="E96" s="330"/>
      <c r="F96" s="330"/>
      <c r="G96" s="330"/>
      <c r="H96" s="332"/>
      <c r="I96" s="332"/>
      <c r="J96" s="332"/>
      <c r="K96" s="332"/>
    </row>
    <row r="97" spans="3:11">
      <c r="C97" s="260"/>
      <c r="E97" s="330"/>
      <c r="F97" s="330"/>
      <c r="G97" s="330"/>
      <c r="H97" s="334"/>
      <c r="I97" s="609" t="s">
        <v>1641</v>
      </c>
      <c r="J97" s="609"/>
      <c r="K97" s="609"/>
    </row>
    <row r="98" spans="3:11">
      <c r="C98" s="328"/>
      <c r="E98" s="330"/>
      <c r="F98" s="330"/>
      <c r="G98" s="330"/>
      <c r="H98" s="332"/>
      <c r="I98" s="332"/>
      <c r="J98" s="332"/>
      <c r="K98" s="332"/>
    </row>
    <row r="99" spans="3:11">
      <c r="C99" s="328"/>
      <c r="E99" s="330"/>
      <c r="F99" s="330"/>
      <c r="G99" s="330"/>
      <c r="H99" s="332"/>
      <c r="I99" s="332"/>
      <c r="J99" s="332"/>
      <c r="K99" s="332"/>
    </row>
    <row r="100" spans="3:11">
      <c r="C100" s="328"/>
      <c r="E100" s="330"/>
      <c r="F100" s="330"/>
      <c r="G100" s="330"/>
      <c r="H100" s="332"/>
      <c r="I100" s="332"/>
      <c r="J100" s="332"/>
      <c r="K100" s="332"/>
    </row>
  </sheetData>
  <sheetProtection sort="0" autoFilter="0"/>
  <protectedRanges>
    <protectedRange sqref="B78" name="Range1_1"/>
    <protectedRange sqref="F78" name="Range1_1_3"/>
    <protectedRange sqref="F15" name="Range1_1_2_2"/>
    <protectedRange sqref="B65:C66 B38:C47 B75 B35:B36 B22:C34 B18:B20 B59:C59 B69:C74 B67:B68 B53:C53 B76:C77" name="Range1_1_6"/>
    <protectedRange sqref="B15 C35:C36 B21:C21 C18:C20 B37:C37" name="Range1_6_1"/>
    <protectedRange sqref="C75" name="Range1_1_2_10"/>
    <protectedRange sqref="C68" name="Range1"/>
    <protectedRange sqref="C67" name="Range1_2"/>
    <protectedRange sqref="B16:B17" name="Range1_1_1_1"/>
    <protectedRange sqref="C16:C17" name="Range1_6_1_1"/>
    <protectedRange sqref="B48:C52" name="Range1_1_3_3"/>
    <protectedRange sqref="B57:C58 B54:B55" name="Range1_1_4_1"/>
    <protectedRange sqref="B56:C56 C54:C55" name="Range1_6_2"/>
    <protectedRange sqref="B60:C64" name="Range1_1_5_1"/>
  </protectedRanges>
  <mergeCells count="22">
    <mergeCell ref="O3:P4"/>
    <mergeCell ref="B4:K4"/>
    <mergeCell ref="C83:F83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  <mergeCell ref="I92:K92"/>
    <mergeCell ref="I97:K97"/>
    <mergeCell ref="C85:F85"/>
    <mergeCell ref="I91:K91"/>
    <mergeCell ref="C84:F84"/>
    <mergeCell ref="B86:K87"/>
    <mergeCell ref="H90:K90"/>
  </mergeCells>
  <phoneticPr fontId="117" type="noConversion"/>
  <conditionalFormatting sqref="C15">
    <cfRule type="cellIs" dxfId="9" priority="11" operator="equal">
      <formula>0</formula>
    </cfRule>
  </conditionalFormatting>
  <conditionalFormatting sqref="C25">
    <cfRule type="cellIs" dxfId="8" priority="9" operator="equal">
      <formula>0</formula>
    </cfRule>
  </conditionalFormatting>
  <conditionalFormatting sqref="C67:C68">
    <cfRule type="cellIs" dxfId="7" priority="10" operator="equal">
      <formula>0</formula>
    </cfRule>
  </conditionalFormatting>
  <conditionalFormatting sqref="C72">
    <cfRule type="cellIs" dxfId="6" priority="8" operator="equal">
      <formula>0</formula>
    </cfRule>
  </conditionalFormatting>
  <conditionalFormatting sqref="C78">
    <cfRule type="cellIs" dxfId="5" priority="170" operator="equal">
      <formula>0</formula>
    </cfRule>
  </conditionalFormatting>
  <conditionalFormatting sqref="E1:E3 H12:I12 O13 H78:K82 G79:H79 E81:H81 E82:F82 E5:E77 S14:V77 F16:K77">
    <cfRule type="cellIs" dxfId="4" priority="973" stopIfTrue="1" operator="equal">
      <formula>0</formula>
    </cfRule>
  </conditionalFormatting>
  <conditionalFormatting sqref="E78:G80">
    <cfRule type="cellIs" dxfId="3" priority="169" stopIfTrue="1" operator="equal">
      <formula>0</formula>
    </cfRule>
  </conditionalFormatting>
  <conditionalFormatting sqref="F14:K15">
    <cfRule type="cellIs" dxfId="2" priority="195" stopIfTrue="1" operator="equal">
      <formula>0</formula>
    </cfRule>
  </conditionalFormatting>
  <conditionalFormatting sqref="G1:G13">
    <cfRule type="cellIs" dxfId="1" priority="12" stopIfTrue="1" operator="equal">
      <formula>0</formula>
    </cfRule>
  </conditionalFormatting>
  <conditionalFormatting sqref="G81:G65547 E86:E65547">
    <cfRule type="cellIs" dxfId="0" priority="10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22:C24 F77 F18:F70 H14:K82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C1:AD55"/>
  <sheetViews>
    <sheetView showGridLines="0" view="pageBreakPreview" topLeftCell="A22" zoomScale="90" zoomScaleNormal="100" zoomScaleSheetLayoutView="90" workbookViewId="0">
      <selection activeCell="T46" sqref="T46"/>
    </sheetView>
  </sheetViews>
  <sheetFormatPr defaultColWidth="9.140625" defaultRowHeight="12"/>
  <cols>
    <col min="1" max="2" width="1.42578125" style="482" customWidth="1"/>
    <col min="3" max="3" width="7.42578125" style="482" customWidth="1"/>
    <col min="4" max="23" width="5.7109375" style="482" customWidth="1"/>
    <col min="24" max="24" width="6.28515625" style="482" customWidth="1"/>
    <col min="25" max="26" width="5.7109375" style="482" customWidth="1"/>
    <col min="27" max="27" width="6.42578125" style="482" customWidth="1"/>
    <col min="28" max="118" width="5.7109375" style="482" customWidth="1"/>
    <col min="119" max="16384" width="9.140625" style="482"/>
  </cols>
  <sheetData>
    <row r="1" spans="3:30" ht="12.75" thickBot="1"/>
    <row r="2" spans="3:30" ht="12.75" customHeight="1">
      <c r="C2" s="408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698" t="s">
        <v>1409</v>
      </c>
      <c r="X2" s="699"/>
      <c r="Y2" s="699"/>
      <c r="Z2" s="699"/>
      <c r="AA2" s="699"/>
      <c r="AB2" s="699"/>
      <c r="AC2" s="699"/>
      <c r="AD2" s="700"/>
    </row>
    <row r="3" spans="3:30">
      <c r="C3" s="410"/>
      <c r="D3" s="501" t="s">
        <v>1628</v>
      </c>
      <c r="E3" s="501"/>
      <c r="F3" s="502"/>
      <c r="G3" s="501"/>
      <c r="H3" s="501"/>
      <c r="I3" s="501"/>
      <c r="J3" s="501"/>
      <c r="K3" s="502"/>
      <c r="L3" s="502"/>
      <c r="W3" s="701"/>
      <c r="X3" s="702"/>
      <c r="Y3" s="702"/>
      <c r="Z3" s="702"/>
      <c r="AA3" s="702"/>
      <c r="AB3" s="702"/>
      <c r="AC3" s="702"/>
      <c r="AD3" s="703"/>
    </row>
    <row r="4" spans="3:30">
      <c r="C4" s="410"/>
      <c r="D4" s="693"/>
      <c r="E4" s="693"/>
      <c r="F4" s="444" t="s">
        <v>1582</v>
      </c>
      <c r="G4" s="694" t="s">
        <v>1583</v>
      </c>
      <c r="H4" s="695"/>
      <c r="I4" s="694" t="s">
        <v>1584</v>
      </c>
      <c r="J4" s="695"/>
      <c r="K4" s="696" t="s">
        <v>1585</v>
      </c>
      <c r="L4" s="697"/>
      <c r="W4" s="395" t="s">
        <v>1586</v>
      </c>
      <c r="AD4" s="411"/>
    </row>
    <row r="5" spans="3:30">
      <c r="C5" s="410"/>
      <c r="D5" s="693" t="s">
        <v>1587</v>
      </c>
      <c r="E5" s="693"/>
      <c r="F5" s="444"/>
      <c r="G5" s="694"/>
      <c r="H5" s="695"/>
      <c r="I5" s="694"/>
      <c r="J5" s="695"/>
      <c r="K5" s="696"/>
      <c r="L5" s="697"/>
      <c r="W5" s="443" t="s">
        <v>1588</v>
      </c>
      <c r="X5" s="643" t="s">
        <v>1589</v>
      </c>
      <c r="Y5" s="643"/>
      <c r="Z5" s="643"/>
      <c r="AA5" s="643" t="s">
        <v>1590</v>
      </c>
      <c r="AB5" s="643"/>
      <c r="AC5" s="643" t="s">
        <v>1591</v>
      </c>
      <c r="AD5" s="644"/>
    </row>
    <row r="6" spans="3:30">
      <c r="C6" s="410"/>
      <c r="D6" s="693" t="s">
        <v>1592</v>
      </c>
      <c r="E6" s="693"/>
      <c r="F6" s="444"/>
      <c r="G6" s="694"/>
      <c r="H6" s="695"/>
      <c r="I6" s="694"/>
      <c r="J6" s="695"/>
      <c r="K6" s="696"/>
      <c r="L6" s="697"/>
      <c r="W6" s="443">
        <v>1</v>
      </c>
      <c r="X6" s="643" t="s">
        <v>1593</v>
      </c>
      <c r="Y6" s="643"/>
      <c r="Z6" s="643"/>
      <c r="AA6" s="643"/>
      <c r="AB6" s="643"/>
      <c r="AC6" s="643"/>
      <c r="AD6" s="644"/>
    </row>
    <row r="7" spans="3:30">
      <c r="C7" s="410"/>
      <c r="W7" s="443">
        <v>2</v>
      </c>
      <c r="X7" s="643" t="s">
        <v>1594</v>
      </c>
      <c r="Y7" s="643"/>
      <c r="Z7" s="643"/>
      <c r="AA7" s="643"/>
      <c r="AB7" s="643"/>
      <c r="AC7" s="643"/>
      <c r="AD7" s="644"/>
    </row>
    <row r="8" spans="3:30">
      <c r="C8" s="410"/>
      <c r="W8" s="443">
        <v>3</v>
      </c>
      <c r="X8" s="643" t="s">
        <v>1595</v>
      </c>
      <c r="Y8" s="643"/>
      <c r="Z8" s="643"/>
      <c r="AA8" s="643"/>
      <c r="AB8" s="643"/>
      <c r="AC8" s="643"/>
      <c r="AD8" s="644"/>
    </row>
    <row r="9" spans="3:30">
      <c r="C9" s="410"/>
      <c r="W9" s="443">
        <v>4</v>
      </c>
      <c r="X9" s="643" t="s">
        <v>1596</v>
      </c>
      <c r="Y9" s="643"/>
      <c r="Z9" s="643"/>
      <c r="AA9" s="643"/>
      <c r="AB9" s="643"/>
      <c r="AC9" s="643"/>
      <c r="AD9" s="644"/>
    </row>
    <row r="10" spans="3:30">
      <c r="C10" s="410"/>
      <c r="W10" s="443">
        <v>5</v>
      </c>
      <c r="X10" s="643" t="s">
        <v>1597</v>
      </c>
      <c r="Y10" s="643"/>
      <c r="Z10" s="643"/>
      <c r="AA10" s="643"/>
      <c r="AB10" s="643"/>
      <c r="AC10" s="643"/>
      <c r="AD10" s="644"/>
    </row>
    <row r="11" spans="3:30">
      <c r="C11" s="410"/>
      <c r="W11" s="443">
        <v>6</v>
      </c>
      <c r="X11" s="643" t="s">
        <v>1598</v>
      </c>
      <c r="Y11" s="643"/>
      <c r="Z11" s="643"/>
      <c r="AA11" s="643"/>
      <c r="AB11" s="643"/>
      <c r="AC11" s="643"/>
      <c r="AD11" s="644"/>
    </row>
    <row r="12" spans="3:30">
      <c r="C12" s="410"/>
      <c r="W12" s="443">
        <v>7</v>
      </c>
      <c r="X12" s="643" t="s">
        <v>1599</v>
      </c>
      <c r="Y12" s="643"/>
      <c r="Z12" s="643"/>
      <c r="AA12" s="643"/>
      <c r="AB12" s="643"/>
      <c r="AC12" s="643"/>
      <c r="AD12" s="644"/>
    </row>
    <row r="13" spans="3:30" ht="12.75" customHeight="1">
      <c r="C13" s="410"/>
      <c r="W13" s="443">
        <v>8</v>
      </c>
      <c r="X13" s="643" t="s">
        <v>1600</v>
      </c>
      <c r="Y13" s="643"/>
      <c r="Z13" s="643"/>
      <c r="AA13" s="643"/>
      <c r="AB13" s="643"/>
      <c r="AC13" s="643"/>
      <c r="AD13" s="644"/>
    </row>
    <row r="14" spans="3:30">
      <c r="C14" s="410"/>
      <c r="W14" s="443">
        <v>9</v>
      </c>
      <c r="X14" s="643" t="s">
        <v>1601</v>
      </c>
      <c r="Y14" s="643"/>
      <c r="Z14" s="643"/>
      <c r="AA14" s="643"/>
      <c r="AB14" s="643"/>
      <c r="AC14" s="643"/>
      <c r="AD14" s="644"/>
    </row>
    <row r="15" spans="3:30">
      <c r="C15" s="410"/>
      <c r="W15" s="443">
        <v>10</v>
      </c>
      <c r="X15" s="643" t="s">
        <v>1602</v>
      </c>
      <c r="Y15" s="643"/>
      <c r="Z15" s="643"/>
      <c r="AA15" s="643"/>
      <c r="AB15" s="643"/>
      <c r="AC15" s="643"/>
      <c r="AD15" s="644"/>
    </row>
    <row r="16" spans="3:30">
      <c r="C16" s="410"/>
      <c r="W16" s="443">
        <v>11</v>
      </c>
      <c r="X16" s="643" t="s">
        <v>1603</v>
      </c>
      <c r="Y16" s="643"/>
      <c r="Z16" s="643"/>
      <c r="AA16" s="643"/>
      <c r="AB16" s="643"/>
      <c r="AC16" s="643"/>
      <c r="AD16" s="644"/>
    </row>
    <row r="17" spans="3:30">
      <c r="C17" s="410"/>
      <c r="S17" s="412"/>
      <c r="W17" s="443">
        <v>12</v>
      </c>
      <c r="X17" s="643" t="s">
        <v>1604</v>
      </c>
      <c r="Y17" s="643"/>
      <c r="Z17" s="643"/>
      <c r="AA17" s="643"/>
      <c r="AB17" s="643"/>
      <c r="AC17" s="643"/>
      <c r="AD17" s="644"/>
    </row>
    <row r="18" spans="3:30">
      <c r="C18" s="413"/>
      <c r="D18" s="414"/>
      <c r="E18" s="414"/>
      <c r="W18" s="443">
        <v>13</v>
      </c>
      <c r="X18" s="643"/>
      <c r="Y18" s="643"/>
      <c r="Z18" s="643"/>
      <c r="AA18" s="643"/>
      <c r="AB18" s="643"/>
      <c r="AC18" s="643"/>
      <c r="AD18" s="644"/>
    </row>
    <row r="19" spans="3:30">
      <c r="C19" s="410"/>
      <c r="W19" s="442"/>
      <c r="X19" s="682"/>
      <c r="Y19" s="682"/>
      <c r="Z19" s="682"/>
      <c r="AA19" s="682"/>
      <c r="AB19" s="682"/>
      <c r="AC19" s="682"/>
      <c r="AD19" s="683"/>
    </row>
    <row r="20" spans="3:30">
      <c r="C20" s="410"/>
      <c r="W20" s="684" t="s">
        <v>1605</v>
      </c>
      <c r="X20" s="685"/>
      <c r="Y20" s="685"/>
      <c r="Z20" s="685"/>
      <c r="AA20" s="685"/>
      <c r="AB20" s="685"/>
      <c r="AC20" s="685"/>
      <c r="AD20" s="686"/>
    </row>
    <row r="21" spans="3:30">
      <c r="C21" s="410"/>
      <c r="W21" s="687" t="s">
        <v>1606</v>
      </c>
      <c r="X21" s="688"/>
      <c r="Y21" s="688"/>
      <c r="Z21" s="689"/>
      <c r="AA21" s="690" t="s">
        <v>1607</v>
      </c>
      <c r="AB21" s="691"/>
      <c r="AC21" s="691"/>
      <c r="AD21" s="692"/>
    </row>
    <row r="22" spans="3:30">
      <c r="C22" s="410"/>
      <c r="W22" s="663" t="s">
        <v>1631</v>
      </c>
      <c r="X22" s="664"/>
      <c r="Y22" s="394" t="s">
        <v>1028</v>
      </c>
      <c r="Z22" s="415">
        <v>1</v>
      </c>
      <c r="AA22" s="441"/>
      <c r="AB22" s="441"/>
      <c r="AC22" s="440"/>
      <c r="AD22" s="439"/>
    </row>
    <row r="23" spans="3:30">
      <c r="C23" s="410"/>
      <c r="W23" s="659" t="s">
        <v>1630</v>
      </c>
      <c r="X23" s="660"/>
      <c r="Y23" s="394" t="s">
        <v>1028</v>
      </c>
      <c r="Z23" s="415">
        <v>3</v>
      </c>
      <c r="AA23" s="676"/>
      <c r="AB23" s="677"/>
      <c r="AC23" s="440"/>
      <c r="AD23" s="439"/>
    </row>
    <row r="24" spans="3:30">
      <c r="C24" s="410"/>
      <c r="W24" s="659" t="s">
        <v>1629</v>
      </c>
      <c r="X24" s="660"/>
      <c r="Y24" s="394" t="s">
        <v>1028</v>
      </c>
      <c r="Z24" s="415">
        <v>1</v>
      </c>
      <c r="AA24" s="680"/>
      <c r="AB24" s="681"/>
      <c r="AC24" s="440"/>
      <c r="AD24" s="439"/>
    </row>
    <row r="25" spans="3:30">
      <c r="C25" s="410"/>
      <c r="W25" s="674" t="s">
        <v>1514</v>
      </c>
      <c r="X25" s="675"/>
      <c r="Y25" s="416" t="s">
        <v>1028</v>
      </c>
      <c r="Z25" s="417">
        <v>2</v>
      </c>
      <c r="AA25" s="676"/>
      <c r="AB25" s="677"/>
      <c r="AC25" s="440"/>
      <c r="AD25" s="439"/>
    </row>
    <row r="26" spans="3:30">
      <c r="C26" s="410"/>
      <c r="W26" s="674" t="s">
        <v>1632</v>
      </c>
      <c r="X26" s="675"/>
      <c r="Y26" s="394" t="s">
        <v>1028</v>
      </c>
      <c r="Z26" s="415">
        <v>1</v>
      </c>
      <c r="AA26" s="676"/>
      <c r="AB26" s="677"/>
      <c r="AC26" s="440"/>
      <c r="AD26" s="439"/>
    </row>
    <row r="27" spans="3:30">
      <c r="C27" s="410"/>
      <c r="W27" s="663"/>
      <c r="X27" s="664"/>
      <c r="Y27" s="394"/>
      <c r="Z27" s="415"/>
      <c r="AA27" s="665"/>
      <c r="AB27" s="666"/>
      <c r="AC27" s="440"/>
      <c r="AD27" s="439"/>
    </row>
    <row r="28" spans="3:30">
      <c r="C28" s="410"/>
      <c r="W28" s="678"/>
      <c r="X28" s="679"/>
      <c r="Y28" s="394"/>
      <c r="Z28" s="415"/>
      <c r="AA28" s="665"/>
      <c r="AB28" s="666"/>
      <c r="AC28" s="440"/>
      <c r="AD28" s="439"/>
    </row>
    <row r="29" spans="3:30">
      <c r="C29" s="410"/>
      <c r="W29" s="672"/>
      <c r="X29" s="673"/>
      <c r="Y29" s="394"/>
      <c r="Z29" s="415"/>
      <c r="AA29" s="665"/>
      <c r="AB29" s="666"/>
      <c r="AC29" s="440"/>
      <c r="AD29" s="439"/>
    </row>
    <row r="30" spans="3:30" ht="11.25" customHeight="1">
      <c r="C30" s="410"/>
      <c r="W30" s="672"/>
      <c r="X30" s="673"/>
      <c r="Y30" s="394"/>
      <c r="Z30" s="415"/>
      <c r="AA30" s="665"/>
      <c r="AB30" s="666"/>
      <c r="AC30" s="440"/>
      <c r="AD30" s="439"/>
    </row>
    <row r="31" spans="3:30">
      <c r="C31" s="410"/>
      <c r="U31" s="418"/>
      <c r="W31" s="672"/>
      <c r="X31" s="673"/>
      <c r="Y31" s="394"/>
      <c r="Z31" s="415"/>
      <c r="AA31" s="665"/>
      <c r="AB31" s="666"/>
      <c r="AC31" s="440"/>
      <c r="AD31" s="439"/>
    </row>
    <row r="32" spans="3:30">
      <c r="C32" s="410"/>
      <c r="U32" s="418"/>
      <c r="W32" s="672"/>
      <c r="X32" s="673"/>
      <c r="Y32" s="394"/>
      <c r="Z32" s="415"/>
      <c r="AA32" s="665"/>
      <c r="AB32" s="666"/>
      <c r="AC32" s="440"/>
      <c r="AD32" s="439"/>
    </row>
    <row r="33" spans="3:30">
      <c r="C33" s="410"/>
      <c r="W33" s="674"/>
      <c r="X33" s="675"/>
      <c r="Y33" s="416"/>
      <c r="Z33" s="417"/>
      <c r="AA33" s="665"/>
      <c r="AB33" s="666"/>
      <c r="AC33" s="440"/>
      <c r="AD33" s="439"/>
    </row>
    <row r="34" spans="3:30">
      <c r="C34" s="410"/>
      <c r="W34" s="663"/>
      <c r="X34" s="664"/>
      <c r="Y34" s="394"/>
      <c r="Z34" s="415"/>
      <c r="AA34" s="665"/>
      <c r="AB34" s="666"/>
      <c r="AC34" s="440"/>
      <c r="AD34" s="439"/>
    </row>
    <row r="35" spans="3:30">
      <c r="C35" s="410"/>
      <c r="W35" s="663"/>
      <c r="X35" s="664"/>
      <c r="Y35" s="394"/>
      <c r="Z35" s="415"/>
      <c r="AA35" s="665"/>
      <c r="AB35" s="666"/>
      <c r="AC35" s="440"/>
      <c r="AD35" s="439"/>
    </row>
    <row r="36" spans="3:30">
      <c r="C36" s="410"/>
      <c r="W36" s="667"/>
      <c r="X36" s="668"/>
      <c r="Y36" s="394"/>
      <c r="Z36" s="417"/>
      <c r="AA36" s="669"/>
      <c r="AB36" s="666"/>
      <c r="AC36" s="440"/>
      <c r="AD36" s="439"/>
    </row>
    <row r="37" spans="3:30" ht="12.75" customHeight="1">
      <c r="C37" s="410"/>
      <c r="W37" s="655"/>
      <c r="X37" s="656"/>
      <c r="Y37" s="394"/>
      <c r="Z37" s="417"/>
      <c r="AA37" s="670"/>
      <c r="AB37" s="671"/>
      <c r="AC37" s="438"/>
      <c r="AD37" s="437"/>
    </row>
    <row r="38" spans="3:30" ht="12.75" customHeight="1">
      <c r="C38" s="410"/>
      <c r="W38" s="655"/>
      <c r="X38" s="656"/>
      <c r="Y38" s="416"/>
      <c r="Z38" s="417"/>
      <c r="AA38" s="436"/>
      <c r="AB38" s="435"/>
      <c r="AC38" s="438"/>
      <c r="AD38" s="437"/>
    </row>
    <row r="39" spans="3:30" ht="12" customHeight="1">
      <c r="C39" s="410"/>
      <c r="W39" s="655"/>
      <c r="X39" s="656"/>
      <c r="Y39" s="416"/>
      <c r="Z39" s="419"/>
      <c r="AA39" s="657"/>
      <c r="AB39" s="658"/>
      <c r="AC39" s="438"/>
      <c r="AD39" s="437"/>
    </row>
    <row r="40" spans="3:30" ht="12" customHeight="1">
      <c r="C40" s="410"/>
      <c r="W40" s="659"/>
      <c r="X40" s="660"/>
      <c r="Y40" s="416"/>
      <c r="Z40" s="419"/>
      <c r="AA40" s="434"/>
      <c r="AB40" s="433"/>
      <c r="AC40" s="438"/>
      <c r="AD40" s="437"/>
    </row>
    <row r="41" spans="3:30" ht="12" customHeight="1">
      <c r="C41" s="410"/>
      <c r="W41" s="661"/>
      <c r="X41" s="662"/>
      <c r="Y41" s="420"/>
      <c r="Z41" s="421"/>
      <c r="AA41" s="657"/>
      <c r="AB41" s="658"/>
      <c r="AC41" s="438"/>
      <c r="AD41" s="437"/>
    </row>
    <row r="42" spans="3:30" ht="12" customHeight="1">
      <c r="C42" s="410"/>
      <c r="W42" s="652" t="s">
        <v>1633</v>
      </c>
      <c r="X42" s="653"/>
      <c r="Y42" s="653"/>
      <c r="Z42" s="653"/>
      <c r="AA42" s="653"/>
      <c r="AB42" s="653"/>
      <c r="AC42" s="653"/>
      <c r="AD42" s="654"/>
    </row>
    <row r="43" spans="3:30" ht="12" customHeight="1">
      <c r="C43" s="410"/>
      <c r="V43" s="422"/>
      <c r="W43" s="423"/>
      <c r="X43" s="424"/>
      <c r="Y43" s="424"/>
      <c r="Z43" s="424"/>
      <c r="AA43" s="424"/>
      <c r="AB43" s="424"/>
      <c r="AC43" s="424"/>
      <c r="AD43" s="425"/>
    </row>
    <row r="44" spans="3:30">
      <c r="C44" s="426"/>
      <c r="D44" s="427"/>
      <c r="E44" s="427"/>
      <c r="F44" s="427"/>
      <c r="G44" s="427"/>
      <c r="H44" s="427"/>
      <c r="I44" s="427"/>
      <c r="J44" s="427"/>
      <c r="K44" s="427"/>
      <c r="L44" s="427"/>
      <c r="M44" s="427"/>
      <c r="N44" s="427"/>
      <c r="O44" s="427"/>
      <c r="P44" s="427"/>
      <c r="Q44" s="427"/>
      <c r="R44" s="427"/>
      <c r="S44" s="427"/>
      <c r="T44" s="427"/>
      <c r="U44" s="427"/>
      <c r="V44" s="422"/>
      <c r="W44" s="641" t="s">
        <v>1608</v>
      </c>
      <c r="X44" s="642"/>
      <c r="Y44" s="643"/>
      <c r="Z44" s="643"/>
      <c r="AA44" s="643"/>
      <c r="AB44" s="643"/>
      <c r="AC44" s="643"/>
      <c r="AD44" s="644"/>
    </row>
    <row r="45" spans="3:30">
      <c r="C45" s="426"/>
      <c r="D45" s="427"/>
      <c r="E45" s="427"/>
      <c r="F45" s="427"/>
      <c r="G45" s="427"/>
      <c r="H45" s="427"/>
      <c r="I45" s="427"/>
      <c r="J45" s="427"/>
      <c r="K45" s="427"/>
      <c r="L45" s="427"/>
      <c r="M45" s="427"/>
      <c r="N45" s="427"/>
      <c r="O45" s="427"/>
      <c r="P45" s="427"/>
      <c r="Q45" s="427"/>
      <c r="R45" s="427"/>
      <c r="S45" s="427"/>
      <c r="T45" s="427"/>
      <c r="U45" s="427"/>
      <c r="V45" s="422"/>
      <c r="W45" s="641" t="s">
        <v>1609</v>
      </c>
      <c r="X45" s="642"/>
      <c r="Y45" s="643">
        <v>1</v>
      </c>
      <c r="Z45" s="643"/>
      <c r="AA45" s="643"/>
      <c r="AB45" s="643" t="s">
        <v>1610</v>
      </c>
      <c r="AC45" s="643"/>
      <c r="AD45" s="398" t="s">
        <v>1611</v>
      </c>
    </row>
    <row r="46" spans="3:30">
      <c r="C46" s="426"/>
      <c r="D46" s="427"/>
      <c r="E46" s="427"/>
      <c r="F46" s="427"/>
      <c r="G46" s="427"/>
      <c r="H46" s="427"/>
      <c r="I46" s="427"/>
      <c r="J46" s="427"/>
      <c r="K46" s="427"/>
      <c r="L46" s="427"/>
      <c r="M46" s="427"/>
      <c r="N46" s="427"/>
      <c r="O46" s="427"/>
      <c r="P46" s="427"/>
      <c r="Q46" s="427"/>
      <c r="R46" s="427"/>
      <c r="S46" s="427"/>
      <c r="T46" s="427"/>
      <c r="U46" s="427"/>
      <c r="V46" s="422"/>
      <c r="W46" s="641" t="s">
        <v>1612</v>
      </c>
      <c r="X46" s="642"/>
      <c r="Y46" s="645"/>
      <c r="Z46" s="645"/>
      <c r="AA46" s="645"/>
      <c r="AB46" s="643" t="s">
        <v>1613</v>
      </c>
      <c r="AC46" s="643"/>
      <c r="AD46" s="397"/>
    </row>
    <row r="47" spans="3:30">
      <c r="C47" s="426"/>
      <c r="D47" s="427"/>
      <c r="E47" s="427"/>
      <c r="F47" s="427"/>
      <c r="G47" s="427"/>
      <c r="H47" s="427"/>
      <c r="I47" s="427"/>
      <c r="J47" s="427"/>
      <c r="K47" s="427"/>
      <c r="L47" s="427"/>
      <c r="M47" s="427"/>
      <c r="N47" s="427"/>
      <c r="O47" s="427"/>
      <c r="P47" s="427"/>
      <c r="Q47" s="427"/>
      <c r="R47" s="427"/>
      <c r="S47" s="427"/>
      <c r="T47" s="427"/>
      <c r="U47" s="427"/>
      <c r="V47" s="422"/>
      <c r="W47" s="646" t="s">
        <v>1614</v>
      </c>
      <c r="X47" s="646"/>
      <c r="Y47" s="646"/>
      <c r="Z47" s="646"/>
      <c r="AA47" s="646"/>
      <c r="AB47" s="646"/>
      <c r="AC47" s="646"/>
      <c r="AD47" s="647"/>
    </row>
    <row r="48" spans="3:30" ht="12.75" customHeight="1">
      <c r="C48" s="426"/>
      <c r="D48" s="427"/>
      <c r="E48" s="427"/>
      <c r="F48" s="427"/>
      <c r="G48" s="427"/>
      <c r="H48" s="427"/>
      <c r="I48" s="427"/>
      <c r="J48" s="427"/>
      <c r="K48" s="427"/>
      <c r="L48" s="427"/>
      <c r="M48" s="427"/>
      <c r="N48" s="427"/>
      <c r="O48" s="427"/>
      <c r="P48" s="427"/>
      <c r="Q48" s="427"/>
      <c r="R48" s="427"/>
      <c r="S48" s="427"/>
      <c r="T48" s="427"/>
      <c r="U48" s="427"/>
      <c r="V48" s="422"/>
      <c r="W48" s="648" t="s">
        <v>1634</v>
      </c>
      <c r="X48" s="648"/>
      <c r="Y48" s="648"/>
      <c r="Z48" s="648"/>
      <c r="AA48" s="648"/>
      <c r="AB48" s="648"/>
      <c r="AC48" s="648"/>
      <c r="AD48" s="649"/>
    </row>
    <row r="49" spans="3:30">
      <c r="C49" s="426"/>
      <c r="D49" s="427"/>
      <c r="E49" s="427"/>
      <c r="F49" s="427"/>
      <c r="G49" s="427"/>
      <c r="H49" s="427"/>
      <c r="I49" s="427"/>
      <c r="J49" s="427"/>
      <c r="K49" s="427"/>
      <c r="L49" s="427"/>
      <c r="M49" s="427"/>
      <c r="N49" s="427"/>
      <c r="O49" s="427"/>
      <c r="P49" s="427"/>
      <c r="Q49" s="427"/>
      <c r="R49" s="427"/>
      <c r="S49" s="427"/>
      <c r="T49" s="427"/>
      <c r="U49" s="427"/>
      <c r="V49" s="428"/>
      <c r="W49" s="648"/>
      <c r="X49" s="648"/>
      <c r="Y49" s="648"/>
      <c r="Z49" s="648"/>
      <c r="AA49" s="648"/>
      <c r="AB49" s="648"/>
      <c r="AC49" s="648"/>
      <c r="AD49" s="649"/>
    </row>
    <row r="50" spans="3:30">
      <c r="C50" s="426"/>
      <c r="D50" s="427"/>
      <c r="E50" s="427"/>
      <c r="F50" s="427"/>
      <c r="G50" s="427"/>
      <c r="H50" s="427"/>
      <c r="I50" s="427"/>
      <c r="J50" s="427"/>
      <c r="K50" s="427"/>
      <c r="L50" s="427"/>
      <c r="M50" s="427"/>
      <c r="N50" s="427"/>
      <c r="O50" s="427"/>
      <c r="P50" s="427"/>
      <c r="Q50" s="427"/>
      <c r="R50" s="427"/>
      <c r="S50" s="427"/>
      <c r="T50" s="427"/>
      <c r="U50" s="427"/>
      <c r="V50" s="428"/>
      <c r="W50" s="648"/>
      <c r="X50" s="648"/>
      <c r="Y50" s="648"/>
      <c r="Z50" s="648"/>
      <c r="AA50" s="648"/>
      <c r="AB50" s="648"/>
      <c r="AC50" s="648"/>
      <c r="AD50" s="649"/>
    </row>
    <row r="51" spans="3:30" ht="19.5" customHeight="1">
      <c r="C51" s="426"/>
      <c r="D51" s="427"/>
      <c r="E51" s="427"/>
      <c r="F51" s="427"/>
      <c r="G51" s="427"/>
      <c r="H51" s="427"/>
      <c r="I51" s="427"/>
      <c r="J51" s="427"/>
      <c r="K51" s="427"/>
      <c r="L51" s="427"/>
      <c r="M51" s="427"/>
      <c r="N51" s="427"/>
      <c r="O51" s="427"/>
      <c r="P51" s="427"/>
      <c r="Q51" s="427"/>
      <c r="R51" s="427"/>
      <c r="S51" s="427"/>
      <c r="T51" s="427"/>
      <c r="U51" s="427"/>
      <c r="V51" s="428"/>
      <c r="W51" s="650"/>
      <c r="X51" s="650"/>
      <c r="Y51" s="650"/>
      <c r="Z51" s="650"/>
      <c r="AA51" s="650"/>
      <c r="AB51" s="650"/>
      <c r="AC51" s="650"/>
      <c r="AD51" s="651"/>
    </row>
    <row r="52" spans="3:30">
      <c r="C52" s="426"/>
      <c r="D52" s="427"/>
      <c r="E52" s="427"/>
      <c r="F52" s="427"/>
      <c r="G52" s="427"/>
      <c r="H52" s="427"/>
      <c r="I52" s="427"/>
      <c r="J52" s="427"/>
      <c r="K52" s="427"/>
      <c r="L52" s="427"/>
      <c r="M52" s="427"/>
      <c r="N52" s="427"/>
      <c r="O52" s="427"/>
      <c r="P52" s="427"/>
      <c r="Q52" s="427"/>
      <c r="R52" s="427"/>
      <c r="S52" s="427"/>
      <c r="T52" s="427"/>
      <c r="U52" s="427"/>
      <c r="V52" s="422"/>
      <c r="W52" s="641" t="s">
        <v>1615</v>
      </c>
      <c r="X52" s="642"/>
      <c r="Y52" s="643" t="s">
        <v>1616</v>
      </c>
      <c r="Z52" s="643"/>
      <c r="AA52" s="643"/>
      <c r="AB52" s="643"/>
      <c r="AC52" s="643"/>
      <c r="AD52" s="644"/>
    </row>
    <row r="53" spans="3:30">
      <c r="C53" s="426"/>
      <c r="D53" s="427"/>
      <c r="E53" s="427"/>
      <c r="F53" s="427"/>
      <c r="G53" s="427"/>
      <c r="H53" s="427"/>
      <c r="I53" s="427"/>
      <c r="J53" s="427"/>
      <c r="K53" s="427"/>
      <c r="L53" s="427"/>
      <c r="M53" s="427"/>
      <c r="N53" s="427"/>
      <c r="O53" s="427"/>
      <c r="P53" s="427"/>
      <c r="Q53" s="427"/>
      <c r="R53" s="427"/>
      <c r="S53" s="427"/>
      <c r="T53" s="427"/>
      <c r="V53" s="422"/>
      <c r="W53" s="641" t="s">
        <v>1617</v>
      </c>
      <c r="X53" s="642"/>
      <c r="Y53" s="643" t="s">
        <v>1618</v>
      </c>
      <c r="Z53" s="643"/>
      <c r="AA53" s="643"/>
      <c r="AB53" s="643"/>
      <c r="AC53" s="643"/>
      <c r="AD53" s="644"/>
    </row>
    <row r="54" spans="3:30">
      <c r="C54" s="426"/>
      <c r="D54" s="427"/>
      <c r="E54" s="427"/>
      <c r="F54" s="427"/>
      <c r="G54" s="427"/>
      <c r="H54" s="427"/>
      <c r="I54" s="427"/>
      <c r="J54" s="427"/>
      <c r="K54" s="427"/>
      <c r="L54" s="427"/>
      <c r="M54" s="427"/>
      <c r="N54" s="427"/>
      <c r="O54" s="427"/>
      <c r="P54" s="427"/>
      <c r="Q54" s="427"/>
      <c r="R54" s="427"/>
      <c r="S54" s="427"/>
      <c r="T54" s="427"/>
      <c r="V54" s="422"/>
      <c r="W54" s="641" t="s">
        <v>1619</v>
      </c>
      <c r="X54" s="642"/>
      <c r="Y54" s="643" t="s">
        <v>1620</v>
      </c>
      <c r="Z54" s="643"/>
      <c r="AA54" s="643"/>
      <c r="AB54" s="643"/>
      <c r="AC54" s="643"/>
      <c r="AD54" s="644"/>
    </row>
    <row r="55" spans="3:30" ht="12.75" thickBot="1">
      <c r="C55" s="429"/>
      <c r="D55" s="430"/>
      <c r="E55" s="430"/>
      <c r="F55" s="430"/>
      <c r="G55" s="430"/>
      <c r="H55" s="430"/>
      <c r="I55" s="430"/>
      <c r="J55" s="430"/>
      <c r="K55" s="430"/>
      <c r="L55" s="430"/>
      <c r="M55" s="430"/>
      <c r="N55" s="430"/>
      <c r="O55" s="430"/>
      <c r="P55" s="430"/>
      <c r="Q55" s="430"/>
      <c r="R55" s="430"/>
      <c r="S55" s="430"/>
      <c r="T55" s="430"/>
      <c r="U55" s="431"/>
      <c r="V55" s="432"/>
      <c r="W55" s="637" t="s">
        <v>1621</v>
      </c>
      <c r="X55" s="638"/>
      <c r="Y55" s="639" t="s">
        <v>1622</v>
      </c>
      <c r="Z55" s="639"/>
      <c r="AA55" s="639"/>
      <c r="AB55" s="639"/>
      <c r="AC55" s="639"/>
      <c r="AD55" s="640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55" zoomScaleNormal="40" zoomScaleSheetLayoutView="55" workbookViewId="0">
      <selection activeCell="C8" sqref="C8"/>
    </sheetView>
  </sheetViews>
  <sheetFormatPr defaultColWidth="9.140625" defaultRowHeight="12.75"/>
  <cols>
    <col min="1" max="1" width="1.7109375" style="487" customWidth="1"/>
    <col min="2" max="2" width="10.7109375" style="487" customWidth="1"/>
    <col min="3" max="3" width="2.42578125" style="487" customWidth="1"/>
    <col min="4" max="20" width="9.140625" style="487"/>
    <col min="21" max="21" width="14.42578125" style="487" customWidth="1"/>
    <col min="22" max="22" width="3.140625" style="487" customWidth="1"/>
    <col min="23" max="26" width="9.140625" style="487"/>
    <col min="27" max="27" width="2.85546875" style="487" customWidth="1"/>
    <col min="28" max="30" width="4.7109375" style="487" customWidth="1"/>
    <col min="31" max="31" width="1.7109375" style="487" customWidth="1"/>
    <col min="32" max="16384" width="9.140625" style="487"/>
  </cols>
  <sheetData>
    <row r="1" spans="1:29">
      <c r="A1" s="446"/>
      <c r="B1" s="447"/>
      <c r="C1" s="447"/>
      <c r="D1" s="447"/>
      <c r="E1" s="447"/>
      <c r="F1" s="447"/>
      <c r="G1" s="447"/>
      <c r="H1" s="447"/>
      <c r="I1" s="447"/>
      <c r="J1" s="447"/>
      <c r="K1" s="447"/>
      <c r="L1" s="447"/>
      <c r="M1" s="447"/>
      <c r="N1" s="447"/>
      <c r="O1" s="447"/>
      <c r="P1" s="447"/>
      <c r="Q1" s="447"/>
      <c r="R1" s="447"/>
      <c r="S1" s="447"/>
      <c r="T1" s="447"/>
      <c r="U1" s="447"/>
      <c r="V1" s="447"/>
      <c r="W1" s="448"/>
    </row>
    <row r="2" spans="1:29">
      <c r="A2" s="449"/>
      <c r="W2" s="450"/>
    </row>
    <row r="3" spans="1:29" ht="12.75" customHeight="1">
      <c r="A3" s="449"/>
      <c r="C3" s="704" t="s">
        <v>1623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450"/>
      <c r="X3" s="498"/>
      <c r="Y3" s="498"/>
      <c r="Z3" s="498"/>
      <c r="AA3" s="498"/>
      <c r="AB3" s="498"/>
      <c r="AC3" s="488"/>
    </row>
    <row r="4" spans="1:29" ht="18.75" customHeight="1">
      <c r="A4" s="449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450"/>
      <c r="X4" s="498"/>
      <c r="Y4" s="498"/>
      <c r="Z4" s="498"/>
      <c r="AA4" s="498"/>
      <c r="AB4" s="498"/>
      <c r="AC4" s="488"/>
    </row>
    <row r="5" spans="1:29" ht="12.75" customHeight="1">
      <c r="A5" s="449"/>
      <c r="C5" s="489"/>
      <c r="W5" s="450"/>
    </row>
    <row r="6" spans="1:29" ht="12.75" customHeight="1">
      <c r="A6" s="449"/>
      <c r="C6" s="705" t="s">
        <v>1635</v>
      </c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450"/>
      <c r="Y6" s="490"/>
      <c r="Z6" s="490"/>
      <c r="AA6" s="490"/>
      <c r="AB6" s="491"/>
      <c r="AC6" s="491"/>
    </row>
    <row r="7" spans="1:29" ht="18" customHeight="1">
      <c r="A7" s="449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450"/>
      <c r="Y7" s="490"/>
      <c r="Z7" s="490"/>
      <c r="AA7" s="490"/>
      <c r="AB7" s="491"/>
      <c r="AC7" s="491"/>
    </row>
    <row r="8" spans="1:29">
      <c r="A8" s="449"/>
      <c r="W8" s="450"/>
    </row>
    <row r="9" spans="1:29">
      <c r="A9" s="449"/>
      <c r="W9" s="450"/>
    </row>
    <row r="10" spans="1:29">
      <c r="A10" s="449"/>
      <c r="W10" s="450"/>
    </row>
    <row r="11" spans="1:29">
      <c r="A11" s="449"/>
      <c r="W11" s="450"/>
    </row>
    <row r="12" spans="1:29">
      <c r="A12" s="449"/>
      <c r="D12" s="492"/>
      <c r="W12" s="450"/>
    </row>
    <row r="13" spans="1:29">
      <c r="A13" s="449"/>
      <c r="W13" s="450"/>
    </row>
    <row r="14" spans="1:29">
      <c r="A14" s="449"/>
      <c r="W14" s="450"/>
    </row>
    <row r="15" spans="1:29">
      <c r="A15" s="449"/>
      <c r="W15" s="450"/>
    </row>
    <row r="16" spans="1:29">
      <c r="A16" s="449"/>
      <c r="W16" s="450"/>
    </row>
    <row r="17" spans="1:23">
      <c r="A17" s="449"/>
      <c r="W17" s="450"/>
    </row>
    <row r="18" spans="1:23">
      <c r="A18" s="449"/>
      <c r="W18" s="450"/>
    </row>
    <row r="19" spans="1:23">
      <c r="A19" s="449"/>
      <c r="W19" s="450"/>
    </row>
    <row r="20" spans="1:23">
      <c r="A20" s="449"/>
      <c r="W20" s="450"/>
    </row>
    <row r="21" spans="1:23">
      <c r="A21" s="449"/>
      <c r="W21" s="450"/>
    </row>
    <row r="22" spans="1:23">
      <c r="A22" s="449"/>
      <c r="W22" s="450"/>
    </row>
    <row r="23" spans="1:23">
      <c r="A23" s="449"/>
      <c r="W23" s="450"/>
    </row>
    <row r="24" spans="1:23">
      <c r="A24" s="449"/>
      <c r="W24" s="450"/>
    </row>
    <row r="25" spans="1:23">
      <c r="A25" s="449"/>
      <c r="W25" s="450"/>
    </row>
    <row r="26" spans="1:23">
      <c r="A26" s="449"/>
      <c r="W26" s="450"/>
    </row>
    <row r="27" spans="1:23">
      <c r="A27" s="449"/>
      <c r="W27" s="450"/>
    </row>
    <row r="28" spans="1:23">
      <c r="A28" s="449"/>
      <c r="W28" s="450"/>
    </row>
    <row r="29" spans="1:23">
      <c r="A29" s="449"/>
      <c r="W29" s="450"/>
    </row>
    <row r="30" spans="1:23">
      <c r="A30" s="449"/>
      <c r="W30" s="450"/>
    </row>
    <row r="31" spans="1:23">
      <c r="A31" s="449"/>
      <c r="W31" s="450"/>
    </row>
    <row r="32" spans="1:23">
      <c r="A32" s="449"/>
      <c r="W32" s="450"/>
    </row>
    <row r="33" spans="1:23">
      <c r="A33" s="449"/>
      <c r="W33" s="450"/>
    </row>
    <row r="34" spans="1:23">
      <c r="A34" s="449"/>
      <c r="W34" s="450"/>
    </row>
    <row r="35" spans="1:23">
      <c r="A35" s="449"/>
      <c r="W35" s="450"/>
    </row>
    <row r="36" spans="1:23">
      <c r="A36" s="449"/>
      <c r="W36" s="450"/>
    </row>
    <row r="37" spans="1:23">
      <c r="A37" s="449"/>
      <c r="W37" s="450"/>
    </row>
    <row r="38" spans="1:23">
      <c r="A38" s="449"/>
      <c r="W38" s="450"/>
    </row>
    <row r="39" spans="1:23">
      <c r="A39" s="449"/>
      <c r="W39" s="450"/>
    </row>
    <row r="40" spans="1:23">
      <c r="A40" s="449"/>
      <c r="W40" s="450"/>
    </row>
    <row r="41" spans="1:23">
      <c r="A41" s="449"/>
      <c r="W41" s="450"/>
    </row>
    <row r="42" spans="1:23">
      <c r="A42" s="449"/>
      <c r="W42" s="450"/>
    </row>
    <row r="43" spans="1:23">
      <c r="A43" s="449"/>
      <c r="W43" s="450"/>
    </row>
    <row r="44" spans="1:23">
      <c r="A44" s="449"/>
      <c r="W44" s="450"/>
    </row>
    <row r="45" spans="1:23">
      <c r="A45" s="449"/>
      <c r="W45" s="450"/>
    </row>
    <row r="46" spans="1:23">
      <c r="A46" s="449"/>
      <c r="W46" s="450"/>
    </row>
    <row r="47" spans="1:23">
      <c r="A47" s="449"/>
      <c r="W47" s="450"/>
    </row>
    <row r="48" spans="1:23">
      <c r="A48" s="449"/>
      <c r="W48" s="450"/>
    </row>
    <row r="49" spans="1:30">
      <c r="A49" s="449"/>
      <c r="W49" s="450"/>
    </row>
    <row r="50" spans="1:30">
      <c r="A50" s="449"/>
      <c r="W50" s="450"/>
    </row>
    <row r="51" spans="1:30">
      <c r="A51" s="449"/>
      <c r="W51" s="450"/>
    </row>
    <row r="52" spans="1:30">
      <c r="A52" s="449"/>
      <c r="W52" s="450"/>
    </row>
    <row r="53" spans="1:30">
      <c r="A53" s="449"/>
      <c r="W53" s="450"/>
    </row>
    <row r="54" spans="1:30">
      <c r="A54" s="449"/>
      <c r="R54" s="493"/>
      <c r="S54" s="493"/>
      <c r="T54" s="493"/>
      <c r="U54" s="494"/>
      <c r="V54" s="494"/>
      <c r="W54" s="451"/>
      <c r="X54" s="494"/>
      <c r="Y54" s="494"/>
      <c r="Z54" s="494"/>
      <c r="AA54" s="494"/>
      <c r="AB54" s="494"/>
      <c r="AC54" s="494"/>
      <c r="AD54" s="494"/>
    </row>
    <row r="55" spans="1:30" ht="13.5" thickBot="1">
      <c r="A55" s="452"/>
      <c r="B55" s="453"/>
      <c r="C55" s="453"/>
      <c r="D55" s="453"/>
      <c r="E55" s="453"/>
      <c r="F55" s="453"/>
      <c r="G55" s="453"/>
      <c r="H55" s="453"/>
      <c r="I55" s="453"/>
      <c r="J55" s="453"/>
      <c r="K55" s="453"/>
      <c r="L55" s="453"/>
      <c r="M55" s="453"/>
      <c r="N55" s="453"/>
      <c r="O55" s="453"/>
      <c r="P55" s="453"/>
      <c r="Q55" s="453"/>
      <c r="R55" s="499"/>
      <c r="S55" s="500"/>
      <c r="T55" s="500"/>
      <c r="U55" s="454"/>
      <c r="V55" s="455"/>
      <c r="W55" s="456"/>
      <c r="X55" s="494"/>
      <c r="Y55" s="494"/>
      <c r="Z55" s="494"/>
      <c r="AA55" s="495"/>
      <c r="AB55" s="495"/>
      <c r="AC55" s="495"/>
      <c r="AD55" s="495"/>
    </row>
    <row r="56" spans="1:30">
      <c r="U56" s="494"/>
      <c r="V56" s="495"/>
      <c r="W56" s="494"/>
      <c r="X56" s="494"/>
      <c r="Y56" s="494"/>
      <c r="Z56" s="494"/>
      <c r="AA56" s="495"/>
      <c r="AB56" s="494"/>
      <c r="AC56" s="494"/>
      <c r="AD56" s="494"/>
    </row>
    <row r="57" spans="1:30">
      <c r="U57" s="494"/>
      <c r="V57" s="495"/>
      <c r="W57" s="494"/>
      <c r="X57" s="494"/>
      <c r="Y57" s="494"/>
      <c r="Z57" s="494"/>
      <c r="AA57" s="494"/>
      <c r="AB57" s="494"/>
      <c r="AC57" s="494"/>
      <c r="AD57" s="494"/>
    </row>
    <row r="58" spans="1:30">
      <c r="U58" s="494"/>
      <c r="V58" s="495"/>
      <c r="W58" s="494"/>
      <c r="X58" s="494"/>
      <c r="Y58" s="494"/>
      <c r="Z58" s="494"/>
      <c r="AA58" s="494"/>
      <c r="AB58" s="494"/>
      <c r="AC58" s="494"/>
      <c r="AD58" s="494"/>
    </row>
    <row r="59" spans="1:30">
      <c r="U59" s="494"/>
      <c r="V59" s="495"/>
      <c r="W59" s="494"/>
      <c r="X59" s="494"/>
      <c r="Y59" s="494"/>
      <c r="Z59" s="494"/>
      <c r="AA59" s="494"/>
      <c r="AB59" s="494"/>
      <c r="AC59" s="494"/>
      <c r="AD59" s="494"/>
    </row>
    <row r="60" spans="1:30">
      <c r="U60" s="494"/>
      <c r="V60" s="495"/>
      <c r="W60" s="494"/>
      <c r="X60" s="494"/>
      <c r="Y60" s="494"/>
      <c r="Z60" s="494"/>
      <c r="AA60" s="495"/>
      <c r="AB60" s="494"/>
      <c r="AC60" s="494"/>
      <c r="AD60" s="494"/>
    </row>
    <row r="61" spans="1:30">
      <c r="U61" s="494"/>
      <c r="V61" s="495"/>
      <c r="W61" s="494"/>
      <c r="X61" s="494"/>
      <c r="Y61" s="494"/>
      <c r="Z61" s="494"/>
      <c r="AA61" s="494"/>
      <c r="AB61" s="494"/>
      <c r="AC61" s="494"/>
      <c r="AD61" s="494"/>
    </row>
    <row r="62" spans="1:30">
      <c r="U62" s="494"/>
      <c r="V62" s="495"/>
      <c r="W62" s="494"/>
      <c r="X62" s="494"/>
      <c r="Y62" s="494"/>
      <c r="Z62" s="494"/>
      <c r="AA62" s="494"/>
      <c r="AB62" s="494"/>
      <c r="AC62" s="494"/>
      <c r="AD62" s="494"/>
    </row>
    <row r="63" spans="1:30">
      <c r="U63" s="494"/>
      <c r="V63" s="495"/>
      <c r="W63" s="494"/>
      <c r="X63" s="494"/>
      <c r="Y63" s="494"/>
      <c r="Z63" s="494"/>
      <c r="AA63" s="494"/>
      <c r="AB63" s="494"/>
      <c r="AC63" s="494"/>
      <c r="AD63" s="494"/>
    </row>
    <row r="64" spans="1:30">
      <c r="U64" s="494"/>
      <c r="V64" s="495"/>
      <c r="W64" s="494"/>
      <c r="X64" s="494"/>
      <c r="Y64" s="494"/>
      <c r="Z64" s="494"/>
      <c r="AA64" s="494"/>
      <c r="AB64" s="494"/>
      <c r="AC64" s="494"/>
      <c r="AD64" s="494"/>
    </row>
    <row r="65" spans="5:30">
      <c r="U65" s="494"/>
      <c r="V65" s="495"/>
      <c r="W65" s="494"/>
      <c r="X65" s="494"/>
      <c r="Y65" s="494"/>
      <c r="Z65" s="494"/>
      <c r="AA65" s="494"/>
      <c r="AB65" s="494"/>
      <c r="AC65" s="494"/>
      <c r="AD65" s="494"/>
    </row>
    <row r="66" spans="5:30" ht="6" customHeight="1"/>
    <row r="73" spans="5:30">
      <c r="M73" s="496"/>
    </row>
    <row r="74" spans="5:30" ht="15" customHeight="1">
      <c r="E74" s="497"/>
      <c r="M74" s="496"/>
    </row>
    <row r="75" spans="5:30" ht="15" customHeight="1">
      <c r="E75" s="497"/>
      <c r="M75" s="496"/>
    </row>
    <row r="76" spans="5:30" ht="15" customHeight="1">
      <c r="E76" s="497"/>
      <c r="M76" s="496"/>
    </row>
    <row r="77" spans="5:30" ht="15" customHeight="1">
      <c r="E77" s="497"/>
      <c r="M77" s="496"/>
    </row>
    <row r="78" spans="5:30" ht="15" customHeight="1">
      <c r="E78" s="497"/>
      <c r="M78" s="496"/>
    </row>
    <row r="79" spans="5:30" ht="15" customHeight="1">
      <c r="E79" s="497"/>
      <c r="M79" s="496"/>
    </row>
    <row r="80" spans="5:30" ht="15" customHeight="1">
      <c r="E80" s="497"/>
      <c r="M80" s="496"/>
    </row>
    <row r="81" spans="5:13" ht="15" customHeight="1">
      <c r="E81" s="497"/>
      <c r="M81" s="496"/>
    </row>
    <row r="82" spans="5:13" ht="15" customHeight="1">
      <c r="E82" s="497"/>
      <c r="M82" s="496"/>
    </row>
    <row r="83" spans="5:13" ht="15" customHeight="1">
      <c r="E83" s="497"/>
      <c r="M83" s="496"/>
    </row>
    <row r="84" spans="5:13" ht="15" customHeight="1">
      <c r="E84" s="497"/>
      <c r="M84" s="496"/>
    </row>
    <row r="85" spans="5:13" ht="15" customHeight="1">
      <c r="E85" s="497"/>
      <c r="M85" s="496"/>
    </row>
    <row r="86" spans="5:13" ht="15" customHeight="1">
      <c r="E86" s="497"/>
      <c r="M86" s="496"/>
    </row>
    <row r="87" spans="5:13" ht="15" customHeight="1">
      <c r="E87" s="497"/>
      <c r="M87" s="496"/>
    </row>
    <row r="88" spans="5:13" ht="15" customHeight="1">
      <c r="E88" s="497"/>
      <c r="M88" s="496"/>
    </row>
    <row r="89" spans="5:13" ht="15" customHeight="1">
      <c r="E89" s="497"/>
      <c r="M89" s="496"/>
    </row>
    <row r="90" spans="5:13" ht="15" customHeight="1">
      <c r="E90" s="497"/>
      <c r="M90" s="496"/>
    </row>
    <row r="91" spans="5:13" ht="15" customHeight="1">
      <c r="E91" s="497"/>
      <c r="M91" s="496"/>
    </row>
    <row r="92" spans="5:13" ht="15" customHeight="1">
      <c r="E92" s="497"/>
      <c r="M92" s="496"/>
    </row>
    <row r="93" spans="5:13" ht="15" customHeight="1">
      <c r="E93" s="497"/>
      <c r="M93" s="496"/>
    </row>
    <row r="94" spans="5:13" ht="15" customHeight="1">
      <c r="E94" s="497"/>
      <c r="M94" s="496"/>
    </row>
    <row r="95" spans="5:13" ht="15" customHeight="1">
      <c r="E95" s="497"/>
      <c r="M95" s="496"/>
    </row>
    <row r="96" spans="5:13" ht="15" customHeight="1">
      <c r="E96" s="497"/>
    </row>
    <row r="97" spans="5:5" ht="15" customHeight="1">
      <c r="E97" s="497"/>
    </row>
    <row r="98" spans="5:5" ht="15" customHeight="1">
      <c r="E98" s="497"/>
    </row>
    <row r="99" spans="5:5" ht="15" customHeight="1">
      <c r="E99" s="497"/>
    </row>
    <row r="100" spans="5:5" ht="15" customHeight="1">
      <c r="E100" s="497"/>
    </row>
    <row r="101" spans="5:5" ht="15" customHeight="1">
      <c r="E101" s="497"/>
    </row>
    <row r="102" spans="5:5" ht="15" customHeight="1">
      <c r="E102" s="497"/>
    </row>
    <row r="103" spans="5:5" ht="15" customHeight="1">
      <c r="E103" s="497"/>
    </row>
    <row r="104" spans="5:5" ht="15" customHeight="1">
      <c r="E104" s="497"/>
    </row>
    <row r="105" spans="5:5" ht="15" customHeight="1">
      <c r="E105" s="497"/>
    </row>
    <row r="106" spans="5:5" ht="15" customHeight="1">
      <c r="E106" s="497"/>
    </row>
    <row r="107" spans="5:5" ht="15" customHeight="1">
      <c r="E107" s="497"/>
    </row>
    <row r="108" spans="5:5" ht="15" customHeight="1">
      <c r="E108" s="497"/>
    </row>
    <row r="109" spans="5:5" ht="15" customHeight="1">
      <c r="E109" s="497"/>
    </row>
    <row r="110" spans="5:5" ht="15" customHeight="1">
      <c r="E110" s="497"/>
    </row>
    <row r="111" spans="5:5" ht="15" customHeight="1">
      <c r="E111" s="497"/>
    </row>
    <row r="112" spans="5:5" ht="15" customHeight="1">
      <c r="E112" s="497"/>
    </row>
    <row r="113" spans="5:5" ht="15" customHeight="1">
      <c r="E113" s="497"/>
    </row>
    <row r="114" spans="5:5" ht="15" customHeight="1">
      <c r="E114" s="497"/>
    </row>
    <row r="115" spans="5:5" ht="15" customHeight="1">
      <c r="E115" s="497"/>
    </row>
    <row r="116" spans="5:5" ht="15" customHeight="1">
      <c r="E116" s="497"/>
    </row>
    <row r="117" spans="5:5" ht="15" customHeight="1">
      <c r="E117" s="497"/>
    </row>
    <row r="118" spans="5:5" ht="15" customHeight="1">
      <c r="E118" s="497"/>
    </row>
    <row r="119" spans="5:5" ht="15" customHeight="1">
      <c r="E119" s="497"/>
    </row>
    <row r="120" spans="5:5">
      <c r="E120" s="497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zoomScale="55" zoomScaleNormal="55" zoomScaleSheetLayoutView="55" workbookViewId="0">
      <selection activeCell="AC42" sqref="AC42"/>
    </sheetView>
  </sheetViews>
  <sheetFormatPr defaultColWidth="9.140625" defaultRowHeight="12.75"/>
  <cols>
    <col min="1" max="1" width="1.7109375" style="458" customWidth="1"/>
    <col min="2" max="2" width="1.42578125" style="458" customWidth="1"/>
    <col min="3" max="3" width="10.7109375" style="458" customWidth="1"/>
    <col min="4" max="4" width="2.42578125" style="458" customWidth="1"/>
    <col min="5" max="21" width="9.140625" style="458"/>
    <col min="22" max="22" width="14.42578125" style="458" customWidth="1"/>
    <col min="23" max="23" width="3.140625" style="458" customWidth="1"/>
    <col min="24" max="27" width="9.140625" style="458"/>
    <col min="28" max="28" width="2.85546875" style="458" customWidth="1"/>
    <col min="29" max="31" width="4.7109375" style="458" customWidth="1"/>
    <col min="32" max="32" width="1.7109375" style="458" customWidth="1"/>
    <col min="33" max="16384" width="9.140625" style="458"/>
  </cols>
  <sheetData>
    <row r="1" spans="2:32" ht="13.5" thickBot="1"/>
    <row r="2" spans="2:32" ht="6" customHeight="1" thickBot="1">
      <c r="B2" s="459"/>
      <c r="C2" s="460"/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0"/>
      <c r="T2" s="460"/>
      <c r="U2" s="460"/>
      <c r="V2" s="460"/>
      <c r="W2" s="460"/>
      <c r="X2" s="460"/>
      <c r="Y2" s="460"/>
      <c r="Z2" s="460"/>
      <c r="AA2" s="460"/>
      <c r="AB2" s="460"/>
      <c r="AC2" s="460"/>
      <c r="AD2" s="460"/>
      <c r="AE2" s="460"/>
      <c r="AF2" s="461"/>
    </row>
    <row r="3" spans="2:32" ht="13.5" thickBot="1">
      <c r="B3" s="462"/>
      <c r="C3" s="459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460"/>
      <c r="Z3" s="460"/>
      <c r="AA3" s="460"/>
      <c r="AB3" s="460"/>
      <c r="AC3" s="460"/>
      <c r="AD3" s="460"/>
      <c r="AE3" s="461"/>
      <c r="AF3" s="463"/>
    </row>
    <row r="4" spans="2:32" ht="12.75" customHeight="1">
      <c r="B4" s="462"/>
      <c r="C4" s="462"/>
      <c r="D4" s="706" t="s">
        <v>1624</v>
      </c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7"/>
      <c r="AC4" s="708"/>
      <c r="AD4" s="464"/>
      <c r="AE4" s="463"/>
      <c r="AF4" s="463"/>
    </row>
    <row r="5" spans="2:32" ht="13.5" customHeight="1">
      <c r="B5" s="462"/>
      <c r="C5" s="462"/>
      <c r="D5" s="709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4"/>
      <c r="P5" s="704"/>
      <c r="Q5" s="704"/>
      <c r="R5" s="704"/>
      <c r="S5" s="704"/>
      <c r="T5" s="704"/>
      <c r="U5" s="704"/>
      <c r="V5" s="704"/>
      <c r="W5" s="704"/>
      <c r="X5" s="704"/>
      <c r="Y5" s="704"/>
      <c r="Z5" s="704"/>
      <c r="AA5" s="704"/>
      <c r="AB5" s="704"/>
      <c r="AC5" s="710"/>
      <c r="AD5" s="464"/>
      <c r="AE5" s="463"/>
      <c r="AF5" s="463"/>
    </row>
    <row r="6" spans="2:32" ht="12.75" customHeight="1">
      <c r="B6" s="462"/>
      <c r="C6" s="462"/>
      <c r="D6" s="709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10"/>
      <c r="AE6" s="463"/>
      <c r="AF6" s="463"/>
    </row>
    <row r="7" spans="2:32" ht="12.75" customHeight="1" thickBot="1">
      <c r="B7" s="462"/>
      <c r="C7" s="462"/>
      <c r="D7" s="711"/>
      <c r="E7" s="712"/>
      <c r="F7" s="712"/>
      <c r="G7" s="712"/>
      <c r="H7" s="712"/>
      <c r="I7" s="712"/>
      <c r="J7" s="712"/>
      <c r="K7" s="712"/>
      <c r="L7" s="712"/>
      <c r="M7" s="712"/>
      <c r="N7" s="712"/>
      <c r="O7" s="712"/>
      <c r="P7" s="712"/>
      <c r="Q7" s="712"/>
      <c r="R7" s="712"/>
      <c r="S7" s="712"/>
      <c r="T7" s="712"/>
      <c r="U7" s="712"/>
      <c r="V7" s="712"/>
      <c r="W7" s="712"/>
      <c r="X7" s="712"/>
      <c r="Y7" s="712"/>
      <c r="Z7" s="712"/>
      <c r="AA7" s="712"/>
      <c r="AB7" s="712"/>
      <c r="AC7" s="713"/>
      <c r="AD7" s="466"/>
      <c r="AE7" s="463"/>
      <c r="AF7" s="463"/>
    </row>
    <row r="8" spans="2:32" ht="12.75" customHeight="1">
      <c r="B8" s="462"/>
      <c r="C8" s="462"/>
      <c r="Z8" s="465"/>
      <c r="AA8" s="465"/>
      <c r="AB8" s="465"/>
      <c r="AC8" s="466"/>
      <c r="AD8" s="466"/>
      <c r="AE8" s="463"/>
      <c r="AF8" s="463"/>
    </row>
    <row r="9" spans="2:32" ht="12.75" customHeight="1">
      <c r="B9" s="462"/>
      <c r="C9" s="462"/>
      <c r="AE9" s="463"/>
      <c r="AF9" s="463"/>
    </row>
    <row r="10" spans="2:32" ht="12.75" customHeight="1">
      <c r="B10" s="462"/>
      <c r="C10" s="462"/>
      <c r="AE10" s="463"/>
      <c r="AF10" s="463"/>
    </row>
    <row r="11" spans="2:32">
      <c r="B11" s="462"/>
      <c r="C11" s="462"/>
      <c r="AE11" s="463"/>
      <c r="AF11" s="463"/>
    </row>
    <row r="12" spans="2:32">
      <c r="B12" s="462"/>
      <c r="C12" s="462"/>
      <c r="AE12" s="463"/>
      <c r="AF12" s="463"/>
    </row>
    <row r="13" spans="2:32">
      <c r="B13" s="462"/>
      <c r="C13" s="462"/>
      <c r="AE13" s="463"/>
      <c r="AF13" s="463"/>
    </row>
    <row r="14" spans="2:32">
      <c r="B14" s="462"/>
      <c r="C14" s="462"/>
      <c r="AE14" s="463"/>
      <c r="AF14" s="463"/>
    </row>
    <row r="15" spans="2:32">
      <c r="B15" s="462"/>
      <c r="C15" s="462"/>
      <c r="E15" s="467"/>
      <c r="AE15" s="463"/>
      <c r="AF15" s="463"/>
    </row>
    <row r="16" spans="2:32">
      <c r="B16" s="462"/>
      <c r="C16" s="462"/>
      <c r="AE16" s="463"/>
      <c r="AF16" s="463"/>
    </row>
    <row r="17" spans="2:32">
      <c r="B17" s="462"/>
      <c r="C17" s="462"/>
      <c r="AE17" s="463"/>
      <c r="AF17" s="463"/>
    </row>
    <row r="18" spans="2:32">
      <c r="B18" s="462"/>
      <c r="C18" s="462"/>
      <c r="AE18" s="463"/>
      <c r="AF18" s="463"/>
    </row>
    <row r="19" spans="2:32">
      <c r="B19" s="462"/>
      <c r="C19" s="462"/>
      <c r="AE19" s="463"/>
      <c r="AF19" s="463"/>
    </row>
    <row r="20" spans="2:32">
      <c r="B20" s="462"/>
      <c r="C20" s="462"/>
      <c r="AE20" s="463"/>
      <c r="AF20" s="463"/>
    </row>
    <row r="21" spans="2:32">
      <c r="B21" s="462"/>
      <c r="C21" s="462"/>
      <c r="AE21" s="463"/>
      <c r="AF21" s="463"/>
    </row>
    <row r="22" spans="2:32">
      <c r="B22" s="462"/>
      <c r="C22" s="462"/>
      <c r="AE22" s="463"/>
      <c r="AF22" s="463"/>
    </row>
    <row r="23" spans="2:32">
      <c r="B23" s="462"/>
      <c r="C23" s="462"/>
      <c r="AE23" s="463"/>
      <c r="AF23" s="463"/>
    </row>
    <row r="24" spans="2:32">
      <c r="B24" s="462"/>
      <c r="C24" s="462"/>
      <c r="AE24" s="463"/>
      <c r="AF24" s="463"/>
    </row>
    <row r="25" spans="2:32">
      <c r="B25" s="462"/>
      <c r="C25" s="462"/>
      <c r="AE25" s="463"/>
      <c r="AF25" s="463"/>
    </row>
    <row r="26" spans="2:32">
      <c r="B26" s="462"/>
      <c r="C26" s="462"/>
      <c r="AE26" s="463"/>
      <c r="AF26" s="463"/>
    </row>
    <row r="27" spans="2:32">
      <c r="B27" s="462"/>
      <c r="C27" s="462"/>
      <c r="AE27" s="463"/>
      <c r="AF27" s="463"/>
    </row>
    <row r="28" spans="2:32">
      <c r="B28" s="462"/>
      <c r="C28" s="462"/>
      <c r="AE28" s="463"/>
      <c r="AF28" s="463"/>
    </row>
    <row r="29" spans="2:32">
      <c r="B29" s="462"/>
      <c r="C29" s="462"/>
      <c r="AE29" s="463"/>
      <c r="AF29" s="463"/>
    </row>
    <row r="30" spans="2:32">
      <c r="B30" s="462"/>
      <c r="C30" s="462"/>
      <c r="AE30" s="463"/>
      <c r="AF30" s="463"/>
    </row>
    <row r="31" spans="2:32">
      <c r="B31" s="462"/>
      <c r="C31" s="462"/>
      <c r="AE31" s="463"/>
      <c r="AF31" s="463"/>
    </row>
    <row r="32" spans="2:32">
      <c r="B32" s="462"/>
      <c r="C32" s="462"/>
      <c r="AE32" s="463"/>
      <c r="AF32" s="463"/>
    </row>
    <row r="33" spans="2:32">
      <c r="B33" s="462"/>
      <c r="C33" s="462"/>
      <c r="AE33" s="463"/>
      <c r="AF33" s="463"/>
    </row>
    <row r="34" spans="2:32">
      <c r="B34" s="462"/>
      <c r="C34" s="462"/>
      <c r="AE34" s="463"/>
      <c r="AF34" s="463"/>
    </row>
    <row r="35" spans="2:32">
      <c r="B35" s="462"/>
      <c r="C35" s="462"/>
      <c r="AE35" s="463"/>
      <c r="AF35" s="463"/>
    </row>
    <row r="36" spans="2:32">
      <c r="B36" s="462"/>
      <c r="C36" s="462"/>
      <c r="AE36" s="463"/>
      <c r="AF36" s="463"/>
    </row>
    <row r="37" spans="2:32">
      <c r="B37" s="462"/>
      <c r="C37" s="462"/>
      <c r="AE37" s="463"/>
      <c r="AF37" s="463"/>
    </row>
    <row r="38" spans="2:32">
      <c r="B38" s="462"/>
      <c r="C38" s="462"/>
      <c r="AE38" s="463"/>
      <c r="AF38" s="463"/>
    </row>
    <row r="39" spans="2:32">
      <c r="B39" s="462"/>
      <c r="C39" s="462"/>
      <c r="AE39" s="463"/>
      <c r="AF39" s="463"/>
    </row>
    <row r="40" spans="2:32">
      <c r="B40" s="462"/>
      <c r="C40" s="462"/>
      <c r="AE40" s="463"/>
      <c r="AF40" s="463"/>
    </row>
    <row r="41" spans="2:32">
      <c r="B41" s="462"/>
      <c r="C41" s="462"/>
      <c r="AE41" s="463"/>
      <c r="AF41" s="463"/>
    </row>
    <row r="42" spans="2:32">
      <c r="B42" s="462"/>
      <c r="C42" s="462"/>
      <c r="AE42" s="463"/>
      <c r="AF42" s="463"/>
    </row>
    <row r="43" spans="2:32">
      <c r="B43" s="462"/>
      <c r="C43" s="462"/>
      <c r="AE43" s="463"/>
      <c r="AF43" s="463"/>
    </row>
    <row r="44" spans="2:32">
      <c r="B44" s="462"/>
      <c r="C44" s="462"/>
      <c r="AE44" s="463"/>
      <c r="AF44" s="463"/>
    </row>
    <row r="45" spans="2:32">
      <c r="B45" s="462"/>
      <c r="C45" s="462"/>
      <c r="AE45" s="463"/>
      <c r="AF45" s="463"/>
    </row>
    <row r="46" spans="2:32">
      <c r="B46" s="462"/>
      <c r="C46" s="462"/>
      <c r="AE46" s="463"/>
      <c r="AF46" s="463"/>
    </row>
    <row r="47" spans="2:32">
      <c r="B47" s="462"/>
      <c r="C47" s="462"/>
      <c r="AE47" s="463"/>
      <c r="AF47" s="463"/>
    </row>
    <row r="48" spans="2:32">
      <c r="B48" s="462"/>
      <c r="C48" s="462"/>
      <c r="AE48" s="463"/>
      <c r="AF48" s="463"/>
    </row>
    <row r="49" spans="2:32">
      <c r="B49" s="462"/>
      <c r="C49" s="462"/>
      <c r="AE49" s="463"/>
      <c r="AF49" s="463"/>
    </row>
    <row r="50" spans="2:32">
      <c r="B50" s="462"/>
      <c r="C50" s="462"/>
      <c r="AE50" s="463"/>
      <c r="AF50" s="463"/>
    </row>
    <row r="51" spans="2:32">
      <c r="B51" s="462"/>
      <c r="C51" s="462"/>
      <c r="AE51" s="463"/>
      <c r="AF51" s="463"/>
    </row>
    <row r="52" spans="2:32">
      <c r="B52" s="462"/>
      <c r="C52" s="462"/>
      <c r="AE52" s="463"/>
      <c r="AF52" s="463"/>
    </row>
    <row r="53" spans="2:32">
      <c r="B53" s="462"/>
      <c r="C53" s="462"/>
      <c r="AE53" s="463"/>
      <c r="AF53" s="463"/>
    </row>
    <row r="54" spans="2:32">
      <c r="B54" s="462"/>
      <c r="C54" s="462"/>
      <c r="AE54" s="463"/>
      <c r="AF54" s="463"/>
    </row>
    <row r="55" spans="2:32">
      <c r="B55" s="462"/>
      <c r="C55" s="462"/>
      <c r="AE55" s="463"/>
      <c r="AF55" s="463"/>
    </row>
    <row r="56" spans="2:32">
      <c r="B56" s="462"/>
      <c r="C56" s="462"/>
      <c r="AE56" s="463"/>
      <c r="AF56" s="463"/>
    </row>
    <row r="57" spans="2:32">
      <c r="B57" s="462"/>
      <c r="C57" s="462"/>
      <c r="S57" s="468"/>
      <c r="T57" s="468"/>
      <c r="U57" s="468"/>
      <c r="V57" s="469"/>
      <c r="W57" s="469"/>
      <c r="X57" s="469"/>
      <c r="Y57" s="469"/>
      <c r="Z57" s="469"/>
      <c r="AA57" s="469"/>
      <c r="AB57" s="469"/>
      <c r="AC57" s="469"/>
      <c r="AD57" s="469"/>
      <c r="AE57" s="470"/>
      <c r="AF57" s="463"/>
    </row>
    <row r="58" spans="2:32">
      <c r="B58" s="462"/>
      <c r="C58" s="462"/>
      <c r="S58" s="471"/>
      <c r="T58" s="468"/>
      <c r="U58" s="468"/>
      <c r="V58" s="469"/>
      <c r="W58" s="472"/>
      <c r="X58" s="469"/>
      <c r="Y58" s="469"/>
      <c r="Z58" s="469"/>
      <c r="AA58" s="469"/>
      <c r="AB58" s="472"/>
      <c r="AC58" s="472"/>
      <c r="AD58" s="472"/>
      <c r="AE58" s="473"/>
      <c r="AF58" s="463"/>
    </row>
    <row r="59" spans="2:32">
      <c r="B59" s="462"/>
      <c r="C59" s="462"/>
      <c r="V59" s="469"/>
      <c r="W59" s="472"/>
      <c r="X59" s="469"/>
      <c r="Y59" s="469"/>
      <c r="Z59" s="469"/>
      <c r="AA59" s="469"/>
      <c r="AB59" s="472"/>
      <c r="AC59" s="469"/>
      <c r="AD59" s="469"/>
      <c r="AE59" s="470"/>
      <c r="AF59" s="463"/>
    </row>
    <row r="60" spans="2:32">
      <c r="B60" s="462"/>
      <c r="C60" s="462"/>
      <c r="V60" s="469"/>
      <c r="W60" s="472"/>
      <c r="X60" s="469"/>
      <c r="Y60" s="469"/>
      <c r="Z60" s="469"/>
      <c r="AA60" s="469"/>
      <c r="AB60" s="469"/>
      <c r="AC60" s="469"/>
      <c r="AD60" s="469"/>
      <c r="AE60" s="470"/>
      <c r="AF60" s="463"/>
    </row>
    <row r="61" spans="2:32">
      <c r="B61" s="462"/>
      <c r="C61" s="462"/>
      <c r="V61" s="474"/>
      <c r="W61" s="474"/>
      <c r="X61" s="474"/>
      <c r="Y61" s="474"/>
      <c r="Z61" s="474"/>
      <c r="AA61" s="474"/>
      <c r="AB61" s="474"/>
      <c r="AC61" s="474"/>
      <c r="AD61" s="474"/>
      <c r="AE61" s="475"/>
      <c r="AF61" s="463"/>
    </row>
    <row r="62" spans="2:32">
      <c r="B62" s="462"/>
      <c r="C62" s="462"/>
      <c r="V62" s="469"/>
      <c r="W62" s="469"/>
      <c r="X62" s="469"/>
      <c r="Y62" s="469"/>
      <c r="Z62" s="469"/>
      <c r="AA62" s="469"/>
      <c r="AB62" s="469"/>
      <c r="AC62" s="469"/>
      <c r="AD62" s="469"/>
      <c r="AE62" s="470"/>
      <c r="AF62" s="463"/>
    </row>
    <row r="63" spans="2:32">
      <c r="B63" s="462"/>
      <c r="C63" s="462"/>
      <c r="V63" s="469"/>
      <c r="W63" s="472"/>
      <c r="X63" s="469"/>
      <c r="Y63" s="469"/>
      <c r="Z63" s="469"/>
      <c r="AA63" s="469"/>
      <c r="AB63" s="469"/>
      <c r="AC63" s="469"/>
      <c r="AD63" s="469"/>
      <c r="AE63" s="470"/>
      <c r="AF63" s="463"/>
    </row>
    <row r="64" spans="2:32">
      <c r="B64" s="462"/>
      <c r="C64" s="462"/>
      <c r="V64" s="469"/>
      <c r="W64" s="472"/>
      <c r="X64" s="469"/>
      <c r="Y64" s="469"/>
      <c r="Z64" s="469"/>
      <c r="AA64" s="469"/>
      <c r="AB64" s="469"/>
      <c r="AC64" s="469"/>
      <c r="AD64" s="469"/>
      <c r="AE64" s="470"/>
      <c r="AF64" s="463"/>
    </row>
    <row r="65" spans="2:32">
      <c r="B65" s="462"/>
      <c r="C65" s="462"/>
      <c r="V65" s="469"/>
      <c r="W65" s="472"/>
      <c r="X65" s="469"/>
      <c r="Y65" s="469"/>
      <c r="Z65" s="469"/>
      <c r="AA65" s="469"/>
      <c r="AB65" s="469"/>
      <c r="AC65" s="469"/>
      <c r="AD65" s="469"/>
      <c r="AE65" s="470"/>
      <c r="AF65" s="463"/>
    </row>
    <row r="66" spans="2:32">
      <c r="B66" s="462"/>
      <c r="C66" s="462"/>
      <c r="V66" s="469"/>
      <c r="W66" s="472"/>
      <c r="X66" s="469"/>
      <c r="Y66" s="469"/>
      <c r="Z66" s="469"/>
      <c r="AA66" s="469"/>
      <c r="AB66" s="469"/>
      <c r="AC66" s="469"/>
      <c r="AD66" s="469"/>
      <c r="AE66" s="470"/>
      <c r="AF66" s="463"/>
    </row>
    <row r="67" spans="2:32" ht="13.5" thickBot="1">
      <c r="B67" s="462"/>
      <c r="C67" s="476"/>
      <c r="D67" s="477"/>
      <c r="E67" s="477"/>
      <c r="F67" s="477"/>
      <c r="G67" s="477"/>
      <c r="H67" s="477"/>
      <c r="I67" s="477"/>
      <c r="J67" s="477"/>
      <c r="K67" s="477"/>
      <c r="L67" s="477"/>
      <c r="M67" s="477"/>
      <c r="N67" s="477"/>
      <c r="O67" s="477"/>
      <c r="P67" s="477"/>
      <c r="Q67" s="477"/>
      <c r="R67" s="477"/>
      <c r="S67" s="477"/>
      <c r="T67" s="477"/>
      <c r="U67" s="477"/>
      <c r="V67" s="478"/>
      <c r="W67" s="479"/>
      <c r="X67" s="478"/>
      <c r="Y67" s="478"/>
      <c r="Z67" s="478"/>
      <c r="AA67" s="478"/>
      <c r="AB67" s="478"/>
      <c r="AC67" s="478"/>
      <c r="AD67" s="478"/>
      <c r="AE67" s="480"/>
      <c r="AF67" s="463"/>
    </row>
    <row r="68" spans="2:32" ht="6" customHeight="1" thickBot="1">
      <c r="B68" s="476"/>
      <c r="C68" s="477"/>
      <c r="D68" s="477"/>
      <c r="E68" s="477"/>
      <c r="F68" s="477"/>
      <c r="G68" s="477"/>
      <c r="H68" s="477"/>
      <c r="I68" s="477"/>
      <c r="J68" s="477"/>
      <c r="K68" s="477"/>
      <c r="L68" s="477"/>
      <c r="M68" s="477"/>
      <c r="N68" s="477"/>
      <c r="O68" s="477"/>
      <c r="P68" s="477"/>
      <c r="Q68" s="477"/>
      <c r="R68" s="477"/>
      <c r="S68" s="477"/>
      <c r="T68" s="477"/>
      <c r="U68" s="477"/>
      <c r="V68" s="477"/>
      <c r="W68" s="477"/>
      <c r="X68" s="477"/>
      <c r="Y68" s="477"/>
      <c r="Z68" s="477"/>
      <c r="AA68" s="477"/>
      <c r="AB68" s="477"/>
      <c r="AC68" s="477"/>
      <c r="AD68" s="477"/>
      <c r="AE68" s="477"/>
      <c r="AF68" s="481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3">
        <v>1</v>
      </c>
    </row>
    <row r="2" spans="1:11" ht="48" customHeight="1">
      <c r="A2" s="363">
        <v>3</v>
      </c>
    </row>
    <row r="4" spans="1:11" ht="48" customHeight="1">
      <c r="C4" s="363">
        <v>1</v>
      </c>
    </row>
    <row r="5" spans="1:11" ht="48" customHeight="1">
      <c r="C5" s="363">
        <v>3</v>
      </c>
    </row>
    <row r="7" spans="1:11" ht="48" customHeight="1">
      <c r="E7" s="363">
        <v>1</v>
      </c>
    </row>
    <row r="8" spans="1:11" ht="48" customHeight="1">
      <c r="E8" s="363">
        <v>3</v>
      </c>
    </row>
    <row r="10" spans="1:11" ht="48" customHeight="1">
      <c r="G10" s="363">
        <v>3</v>
      </c>
    </row>
    <row r="11" spans="1:11" ht="48" customHeight="1">
      <c r="G11" s="363">
        <v>1</v>
      </c>
    </row>
    <row r="13" spans="1:11" ht="48" customHeight="1">
      <c r="I13" s="363">
        <v>3</v>
      </c>
    </row>
    <row r="14" spans="1:11" ht="48" customHeight="1">
      <c r="I14" s="363">
        <v>1</v>
      </c>
    </row>
    <row r="16" spans="1:11" ht="48" customHeight="1">
      <c r="K16" s="363">
        <v>3</v>
      </c>
    </row>
    <row r="17" spans="11:21" ht="48" customHeight="1">
      <c r="K17" s="363">
        <v>1</v>
      </c>
    </row>
    <row r="19" spans="11:21" ht="48" customHeight="1">
      <c r="M19" s="363">
        <v>3</v>
      </c>
    </row>
    <row r="20" spans="11:21" ht="48" customHeight="1">
      <c r="M20" s="363">
        <v>1</v>
      </c>
    </row>
    <row r="22" spans="11:21" ht="48" customHeight="1">
      <c r="O22" s="363">
        <v>3</v>
      </c>
    </row>
    <row r="23" spans="11:21" ht="48" customHeight="1">
      <c r="O23" s="363">
        <v>1</v>
      </c>
    </row>
    <row r="25" spans="11:21" ht="57" customHeight="1">
      <c r="Q25" s="363">
        <v>3</v>
      </c>
    </row>
    <row r="26" spans="11:21" ht="57" customHeight="1">
      <c r="Q26" s="363">
        <v>1</v>
      </c>
    </row>
    <row r="28" spans="11:21" ht="57" customHeight="1">
      <c r="S28" s="363">
        <v>3</v>
      </c>
    </row>
    <row r="29" spans="11:21" ht="57" customHeight="1">
      <c r="S29" s="363">
        <v>1</v>
      </c>
    </row>
    <row r="31" spans="11:21" ht="57" customHeight="1">
      <c r="U31" s="363">
        <v>3</v>
      </c>
    </row>
    <row r="32" spans="11:21" ht="57" customHeight="1">
      <c r="U32" s="36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DHITA AYU DAMAYANTI</cp:lastModifiedBy>
  <cp:lastPrinted>2023-02-27T08:00:50Z</cp:lastPrinted>
  <dcterms:created xsi:type="dcterms:W3CDTF">2011-02-06T11:57:38Z</dcterms:created>
  <dcterms:modified xsi:type="dcterms:W3CDTF">2023-09-27T06:37:10Z</dcterms:modified>
</cp:coreProperties>
</file>