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09. SEPTEMBER 2023\47. 52554 KKO KKF PD MACHANAH 23 - 33 KVA KUWU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" i="11" l="1"/>
  <c r="G19" i="11" l="1"/>
  <c r="G23" i="11"/>
  <c r="D25" i="11" l="1"/>
  <c r="I25" i="11" s="1"/>
  <c r="E25" i="11"/>
  <c r="G25" i="11"/>
  <c r="D26" i="11"/>
  <c r="I26" i="11" s="1"/>
  <c r="E26" i="11"/>
  <c r="G26" i="11"/>
  <c r="H26" i="11" l="1"/>
  <c r="H25" i="11"/>
  <c r="J26" i="11"/>
  <c r="J25" i="11"/>
  <c r="K26" i="11" l="1"/>
  <c r="K25" i="11"/>
  <c r="D23" i="11" l="1"/>
  <c r="E23" i="11"/>
  <c r="H23" i="11" l="1"/>
  <c r="I23" i="11"/>
  <c r="J23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D19" i="11"/>
  <c r="E19" i="11"/>
  <c r="D20" i="11"/>
  <c r="J20" i="11" s="1"/>
  <c r="E20" i="11"/>
  <c r="D21" i="11"/>
  <c r="E21" i="11"/>
  <c r="G21" i="11"/>
  <c r="D22" i="11"/>
  <c r="I22" i="11" s="1"/>
  <c r="E22" i="11"/>
  <c r="G22" i="11"/>
  <c r="J21" i="11" l="1"/>
  <c r="I21" i="11"/>
  <c r="H21" i="11"/>
  <c r="J19" i="11"/>
  <c r="I19" i="11"/>
  <c r="H19" i="11"/>
  <c r="K23" i="11"/>
  <c r="I15" i="11"/>
  <c r="J15" i="11"/>
  <c r="I17" i="11"/>
  <c r="J17" i="11"/>
  <c r="I16" i="11"/>
  <c r="H22" i="11"/>
  <c r="J22" i="11"/>
  <c r="J18" i="11"/>
  <c r="I18" i="11"/>
  <c r="H20" i="11"/>
  <c r="H16" i="11"/>
  <c r="K21" i="11" l="1"/>
  <c r="K19" i="11"/>
  <c r="K15" i="11"/>
  <c r="K17" i="11"/>
  <c r="K16" i="11"/>
  <c r="K20" i="11"/>
  <c r="K18" i="11"/>
  <c r="K22" i="11"/>
  <c r="W49" i="64"/>
  <c r="G6" i="11" l="1"/>
  <c r="G27" i="11"/>
  <c r="D27" i="11"/>
  <c r="H27" i="11" s="1"/>
  <c r="E27" i="11"/>
  <c r="D28" i="11"/>
  <c r="I28" i="11" s="1"/>
  <c r="E28" i="11"/>
  <c r="G28" i="11"/>
  <c r="J27" i="11" l="1"/>
  <c r="I27" i="11"/>
  <c r="J28" i="11"/>
  <c r="H28" i="11"/>
  <c r="K27" i="11" l="1"/>
  <c r="K28" i="1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9" i="11"/>
  <c r="D30" i="11"/>
  <c r="H30" i="11" s="1"/>
  <c r="E3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3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7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0" i="11"/>
  <c r="I30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30" i="11"/>
  <c r="E236" i="29" l="1"/>
  <c r="J29" i="11"/>
  <c r="K29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2" i="11"/>
  <c r="H33" i="11" s="1"/>
  <c r="I32" i="11"/>
  <c r="I33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4" i="11"/>
  <c r="I3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2" i="11"/>
  <c r="K33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2" i="11"/>
  <c r="J3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4" i="11"/>
  <c r="B35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4" i="41" l="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<sst xmlns="http://schemas.openxmlformats.org/spreadsheetml/2006/main" count="4693" uniqueCount="1621">
  <si>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</si>
  <si>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</si>
  <si>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</si>
  <si>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</si>
  <si>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</si>
  <si>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</si>
  <si>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</si>
  <si>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</si>
  <si>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</si>
  <si>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</si>
  <si>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</si>
  <si>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</si>
  <si>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</si>
  <si>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</si>
  <si>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</si>
  <si>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</si>
  <si>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</si>
  <si>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</si>
  <si>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</si>
  <si>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</si>
  <si>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</si>
  <si>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</si>
  <si>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</si>
  <si>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</si>
  <si>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</si>
  <si>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</si>
  <si>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</si>
  <si>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</si>
  <si>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</si>
  <si>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</si>
  <si>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</si>
  <si>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</si>
  <si>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</si>
  <si>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</si>
  <si>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</si>
  <si>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</si>
  <si>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</si>
  <si>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</si>
  <si>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</si>
  <si>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</si>
  <si>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</si>
  <si>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</si>
  <si>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</si>
  <si>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</si>
  <si>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</si>
  <si>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</si>
  <si>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</si>
  <si>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</si>
  <si>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</si>
  <si>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</si>
  <si>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</si>
  <si>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</si>
  <si>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</si>
  <si>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</si>
  <si>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</si>
  <si>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</si>
  <si>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</si>
  <si>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</si>
  <si>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</si>
  <si>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</si>
  <si>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</si>
  <si>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</si>
  <si>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</si>
  <si>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</si>
  <si>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</si>
  <si>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</si>
  <si>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</si>
  <si>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</si>
  <si>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</si>
  <si>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</si>
  <si>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</si>
  <si>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</si>
  <si>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</si>
  <si>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</si>
  <si>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</si>
  <si>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</si>
  <si>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</si>
  <si>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</si>
  <si>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</si>
  <si>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</si>
  <si>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</si>
  <si>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</si>
  <si>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</si>
  <si>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</si>
  <si>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</si>
  <si>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</si>
  <si>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</si>
  <si>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</si>
  <si>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</si>
  <si>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</si>
  <si>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</si>
  <si>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</si>
  <si>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</si>
  <si>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</si>
  <si>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</si>
  <si>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</si>
  <si>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</si>
  <si>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</si>
  <si>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</si>
  <si>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</si>
  <si>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</si>
  <si>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</si>
  <si>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</si>
  <si>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</si>
  <si>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</si>
  <si>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</si>
  <si>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</si>
  <si>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</si>
  <si>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</si>
  <si>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</si>
  <si>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</si>
  <si>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</si>
  <si>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</si>
  <si>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</si>
  <si>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</si>
  <si>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</si>
  <si>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</si>
  <si>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</si>
  <si>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</si>
  <si>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</si>
  <si>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</si>
  <si>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</si>
  <si>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</si>
  <si>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</si>
  <si>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</si>
  <si>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</si>
  <si>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</si>
  <si>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</si>
  <si>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</si>
  <si>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</si>
  <si>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</si>
  <si>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</si>
  <si>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</si>
  <si>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</si>
  <si>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</si>
  <si>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</si>
  <si>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</si>
  <si>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</si>
  <si>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</si>
  <si>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</si>
  <si>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</si>
  <si>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</si>
  <si>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</si>
  <si>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</si>
  <si>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</si>
  <si>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</si>
  <si>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</si>
  <si>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</si>
  <si>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</si>
  <si>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</si>
  <si>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</si>
  <si>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</si>
  <si>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</si>
  <si>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</si>
  <si>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</si>
  <si>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</si>
  <si>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</si>
  <si>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</si>
  <si>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</si>
  <si>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</si>
  <si>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</si>
  <si>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</si>
  <si>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</si>
  <si>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</si>
  <si>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</si>
  <si>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</si>
  <si>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</si>
  <si>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</si>
  <si>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</si>
  <si>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</si>
  <si>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</si>
  <si>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</si>
  <si>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</si>
  <si>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</si>
  <si>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</si>
  <si>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</si>
  <si>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</si>
  <si>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</si>
  <si>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</si>
  <si>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</si>
  <si>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</si>
  <si>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</si>
  <si>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</si>
  <si>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</si>
  <si>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</si>
  <si>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</si>
  <si>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</si>
  <si>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</si>
  <si>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</si>
  <si>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</si>
  <si>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</si>
  <si>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</si>
  <si>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</si>
  <si>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</si>
  <si>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</si>
  <si>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</si>
  <si>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</si>
  <si>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</si>
  <si>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</si>
  <si>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</si>
  <si>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</si>
  <si>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</si>
  <si>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</si>
  <si>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</si>
  <si>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</si>
  <si>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</si>
  <si>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</si>
  <si>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</si>
  <si>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</si>
  <si>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</si>
  <si>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</si>
  <si>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</si>
  <si>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</si>
  <si>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</si>
  <si>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</si>
  <si>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</si>
  <si>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</si>
  <si>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</si>
  <si>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</si>
  <si>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</si>
  <si>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</si>
  <si>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</si>
  <si>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</si>
  <si>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</si>
  <si>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</si>
  <si>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</si>
  <si>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</si>
  <si>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</si>
  <si>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</si>
  <si>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</si>
  <si>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</si>
  <si>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</si>
  <si>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</si>
  <si>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</si>
  <si>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</si>
  <si>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</si>
  <si>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</si>
  <si>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</si>
  <si>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</si>
  <si>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</si>
  <si>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</si>
  <si>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</si>
  <si>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</si>
  <si>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</si>
  <si>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</si>
  <si>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</si>
  <si>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</si>
  <si>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</si>
  <si>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</si>
  <si>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</si>
  <si>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</si>
  <si>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</si>
  <si>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</si>
  <si>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</si>
  <si>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</si>
  <si>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</si>
  <si>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</si>
  <si>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</si>
  <si>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</si>
  <si>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</si>
  <si>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</si>
  <si>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</si>
  <si>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</si>
  <si>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</si>
  <si>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</si>
  <si>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</si>
  <si>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</si>
  <si>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</si>
  <si>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</si>
  <si>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</si>
  <si>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</si>
  <si>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</si>
  <si>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</si>
  <si>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</si>
  <si>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</si>
  <si>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</si>
  <si>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</si>
  <si>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</si>
  <si>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</si>
  <si>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</si>
  <si>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</si>
  <si>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</si>
  <si>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</si>
  <si>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</si>
  <si>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</si>
  <si>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</si>
  <si>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</si>
  <si>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</si>
  <si>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</si>
  <si>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</si>
  <si>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</si>
  <si>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</si>
  <si>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</si>
  <si>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</si>
  <si>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</si>
  <si>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</si>
  <si>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</si>
  <si>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</si>
  <si>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</si>
  <si>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</si>
  <si>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</si>
  <si>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</si>
  <si>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</si>
  <si>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</si>
  <si>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</si>
  <si>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</si>
  <si>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</si>
  <si>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</si>
  <si>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</si>
  <si>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</si>
  <si>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</si>
  <si>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</si>
  <si>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</si>
  <si>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</si>
  <si>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</si>
  <si>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</si>
  <si>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</si>
  <si>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</si>
  <si>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</si>
  <si>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</si>
  <si>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</si>
  <si>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</si>
  <si>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</si>
  <si>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</si>
  <si>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</si>
  <si>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</si>
  <si>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</si>
  <si>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</si>
  <si>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</si>
  <si>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</si>
  <si>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</si>
  <si>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</si>
  <si>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</si>
  <si>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</si>
  <si>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</si>
  <si>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</si>
  <si>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</si>
  <si>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</si>
  <si>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</si>
  <si>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</si>
  <si>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</si>
  <si>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</si>
  <si>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</si>
  <si>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</si>
  <si>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</si>
  <si>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</si>
  <si>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</si>
  <si>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</si>
  <si>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</si>
  <si>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</si>
  <si>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</si>
  <si>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</si>
  <si>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</si>
  <si>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</si>
  <si>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</si>
  <si>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</si>
  <si>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</si>
  <si>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</si>
  <si>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</si>
  <si>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</si>
  <si>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</si>
  <si>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</si>
  <si>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</si>
  <si>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</si>
  <si>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</si>
  <si>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</si>
  <si>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</si>
  <si>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</si>
  <si>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</si>
  <si>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</si>
  <si>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</si>
  <si>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</si>
  <si>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</si>
  <si>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</si>
  <si>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</si>
  <si>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</si>
  <si>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</si>
  <si>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</si>
  <si>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</si>
  <si>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</si>
  <si>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</si>
  <si>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</si>
  <si>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</si>
  <si>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</si>
  <si>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</si>
  <si>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</si>
  <si>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</si>
  <si>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</si>
  <si>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</si>
  <si>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</si>
  <si>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</si>
  <si>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</si>
  <si>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</si>
  <si>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</si>
  <si>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</si>
  <si>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</si>
  <si>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</si>
  <si>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</si>
  <si>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</si>
  <si>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</si>
  <si>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</si>
  <si>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</si>
  <si>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</si>
  <si>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</si>
  <si>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</si>
  <si>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</si>
  <si>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</si>
  <si>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</si>
  <si>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</si>
  <si>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</si>
  <si>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</si>
  <si>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</si>
  <si>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</si>
  <si>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</si>
  <si>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</si>
  <si>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</si>
  <si>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</si>
  <si>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</si>
  <si>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</si>
  <si>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</si>
  <si>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</si>
  <si>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</si>
  <si>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</si>
  <si>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</si>
  <si>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</si>
  <si>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</si>
  <si>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</si>
  <si>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</si>
  <si>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</si>
  <si>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</si>
  <si>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</si>
  <si>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</si>
  <si>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</si>
  <si>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</si>
  <si>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</si>
  <si>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</si>
  <si>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</si>
  <si>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</si>
  <si>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</si>
  <si>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</si>
  <si>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</si>
  <si>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</si>
  <si>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</si>
  <si>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</si>
  <si>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</si>
  <si>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</si>
  <si>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</si>
  <si>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</si>
  <si>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</si>
  <si>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</si>
  <si>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</si>
  <si>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</si>
  <si>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</si>
  <si>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</si>
  <si>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</si>
  <si>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</si>
  <si>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</si>
  <si>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</si>
  <si>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</si>
  <si>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</si>
  <si>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</si>
  <si>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</si>
  <si>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</si>
  <si>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</si>
  <si>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</si>
  <si>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</si>
  <si>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</si>
  <si>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</si>
  <si>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</si>
  <si>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</si>
  <si>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</si>
  <si>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</si>
  <si>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</si>
  <si>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</si>
  <si>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</si>
  <si>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</si>
  <si>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</si>
  <si>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</si>
  <si>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</si>
  <si>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</si>
  <si>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</si>
  <si>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</si>
  <si>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</si>
  <si>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</si>
  <si>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</si>
  <si>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</si>
  <si>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</si>
  <si>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</si>
  <si>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</si>
  <si>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</si>
  <si>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</si>
  <si>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</si>
  <si>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</si>
  <si>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</si>
  <si>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</si>
  <si>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</si>
  <si>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</si>
  <si>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</si>
  <si>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</si>
  <si>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</si>
  <si>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</si>
  <si>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</si>
  <si>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</si>
  <si>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</si>
  <si>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</si>
  <si>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</si>
  <si>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</si>
  <si>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</si>
  <si>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</si>
  <si>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</si>
  <si>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</si>
  <si>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</si>
  <si>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</si>
  <si>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</si>
  <si>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</si>
  <si>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</si>
  <si>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</si>
  <si>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</si>
  <si>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</si>
  <si>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</si>
  <si>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</si>
  <si>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</si>
  <si>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</si>
  <si>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</si>
  <si>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</si>
  <si>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</si>
  <si>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</si>
  <si>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</si>
  <si>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</si>
  <si>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</si>
  <si>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</si>
  <si>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</si>
  <si>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</si>
  <si>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</si>
  <si>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</si>
  <si>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</si>
  <si>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</si>
  <si>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</si>
  <si>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</si>
  <si>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</si>
  <si>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</si>
  <si>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</si>
  <si>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</si>
  <si>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</si>
  <si>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</si>
  <si>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</si>
  <si>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</si>
  <si>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</si>
  <si>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</si>
  <si>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</si>
  <si>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</si>
  <si>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</si>
  <si>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</si>
  <si>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</si>
  <si>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</si>
  <si>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</si>
  <si>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</si>
  <si>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</si>
  <si>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</si>
  <si>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</si>
  <si>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</si>
  <si>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</si>
  <si>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</si>
  <si>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</si>
  <si>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</si>
  <si>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</si>
  <si>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</si>
  <si>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</si>
  <si>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</si>
  <si>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</si>
  <si>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</si>
  <si>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</si>
  <si>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</si>
  <si>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</si>
  <si>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</si>
  <si>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</si>
  <si>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</si>
  <si>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</si>
  <si>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</si>
  <si>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</si>
  <si>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</si>
  <si>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</si>
  <si>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</si>
  <si>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</si>
  <si>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</si>
  <si>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</si>
  <si>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</si>
  <si>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</si>
  <si>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</si>
  <si>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</si>
  <si>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</si>
  <si>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</si>
  <si>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</si>
  <si>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</si>
  <si>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</si>
  <si>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</si>
  <si>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</si>
  <si>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</si>
  <si>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</si>
  <si>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</si>
  <si>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</si>
  <si>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</si>
  <si>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</si>
  <si>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</si>
  <si>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</si>
  <si>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</si>
  <si>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</si>
  <si>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</si>
  <si>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</si>
  <si>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</si>
  <si>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</si>
  <si>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</si>
  <si>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</si>
  <si>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</si>
  <si>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</si>
  <si>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</si>
  <si>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</si>
  <si>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</si>
  <si>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</si>
  <si>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</si>
  <si>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</si>
  <si>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</si>
  <si>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</si>
  <si>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</si>
  <si>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</si>
  <si>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</si>
  <si>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</si>
  <si>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</si>
  <si>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</si>
  <si>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</si>
  <si>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</si>
  <si>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</si>
  <si>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</si>
  <si>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</si>
  <si>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</si>
  <si>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</si>
  <si>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</si>
  <si>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</si>
  <si>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</si>
  <si>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</si>
  <si>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</si>
  <si>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</si>
  <si>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</si>
  <si>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</si>
  <si>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</si>
  <si>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</si>
  <si>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</si>
  <si>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</si>
  <si>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</si>
  <si>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</si>
  <si>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</si>
  <si>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</si>
  <si>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</si>
  <si>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</si>
  <si>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</si>
  <si>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</si>
  <si>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</si>
  <si>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</si>
  <si>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</si>
  <si>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</si>
  <si>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</si>
  <si>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</si>
  <si>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</si>
  <si>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</si>
  <si>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</si>
  <si>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</si>
  <si>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</si>
  <si>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</si>
  <si>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</si>
  <si>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</si>
  <si>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</si>
  <si>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</si>
  <si>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</si>
  <si>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</si>
  <si>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</si>
  <si>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</si>
  <si>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</si>
  <si>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</si>
  <si>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</si>
  <si>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</si>
  <si>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</si>
  <si>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</si>
  <si>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</si>
  <si>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</si>
  <si>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</si>
  <si>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</si>
  <si>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</si>
  <si>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</si>
  <si>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</si>
  <si>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</si>
  <si>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</si>
  <si>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</si>
  <si>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</si>
  <si>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</si>
  <si>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</si>
  <si>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</si>
  <si>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</si>
  <si>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</si>
  <si>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</si>
  <si>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</si>
  <si>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</si>
  <si>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</si>
  <si>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</si>
  <si>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</si>
  <si>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</si>
  <si>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</si>
  <si>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</si>
  <si>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</si>
  <si>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</si>
  <si>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</si>
  <si>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</si>
  <si>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</si>
  <si>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</si>
  <si>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</si>
  <si>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</si>
  <si>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</si>
  <si>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</si>
  <si>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</si>
  <si>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</si>
  <si>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</si>
  <si>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</si>
  <si>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</si>
  <si>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</si>
  <si>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</si>
  <si>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</si>
  <si>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</si>
  <si>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</si>
  <si>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</si>
  <si>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</si>
  <si>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</si>
  <si>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</si>
  <si>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</si>
  <si>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</si>
  <si>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</si>
  <si>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</si>
  <si>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</si>
  <si>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</si>
  <si>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</si>
  <si>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</si>
  <si>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</si>
  <si>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</si>
  <si>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</si>
  <si>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</si>
  <si>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</si>
  <si>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</si>
  <si>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</si>
  <si>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</si>
  <si>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</si>
  <si>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</si>
  <si>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</si>
  <si>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</si>
  <si>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</si>
  <si>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</si>
  <si>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</si>
  <si>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</si>
  <si>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</si>
  <si>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</si>
  <si>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</si>
  <si>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</si>
  <si>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</si>
  <si>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</si>
  <si>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</si>
  <si>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</si>
  <si>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</si>
  <si>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</si>
  <si>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</si>
  <si>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</si>
  <si>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</si>
  <si>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</si>
  <si>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</si>
  <si>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</si>
  <si>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</si>
  <si>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</si>
  <si>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</si>
  <si>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</si>
  <si>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</si>
  <si>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</si>
  <si>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</si>
  <si>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</si>
  <si>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</si>
  <si>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</si>
  <si>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</si>
  <si>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</si>
  <si>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</si>
  <si>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</si>
  <si>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</si>
  <si>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</si>
  <si>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</si>
  <si>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</si>
  <si>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</si>
  <si>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</si>
  <si>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</si>
  <si>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</si>
  <si>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</si>
  <si>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</si>
  <si>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</si>
  <si>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</si>
  <si>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</si>
  <si>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</si>
  <si>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</si>
  <si>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</si>
  <si>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</si>
  <si>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</si>
  <si>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</si>
  <si>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</si>
  <si>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</si>
  <si>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</si>
  <si>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</si>
  <si>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</si>
  <si>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</si>
  <si>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</si>
  <si>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</si>
  <si>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</si>
  <si>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</si>
  <si>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</si>
  <si>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</si>
  <si>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</si>
  <si>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</si>
  <si>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</si>
  <si>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</si>
  <si>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</si>
  <si>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</si>
  <si>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</si>
  <si>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</si>
  <si>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</si>
  <si>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</si>
  <si>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</si>
  <si>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</si>
  <si>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</si>
  <si>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</si>
  <si>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</si>
  <si>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</si>
  <si>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</si>
  <si>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</si>
  <si>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</si>
  <si>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</si>
  <si>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</si>
  <si>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</si>
  <si>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</si>
  <si>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</si>
  <si>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</si>
  <si>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</si>
  <si>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</si>
  <si>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</si>
  <si>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</si>
  <si>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</si>
  <si>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</si>
  <si>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</si>
  <si>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</si>
  <si>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</si>
  <si>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</si>
  <si>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</si>
  <si>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</si>
  <si>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</si>
  <si>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</si>
  <si>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</si>
  <si>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</si>
  <si>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</si>
  <si>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</si>
  <si>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</si>
  <si>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</si>
  <si>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</si>
  <si>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</si>
  <si>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</si>
  <si>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</si>
  <si>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</si>
  <si>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</si>
  <si>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</si>
  <si>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</si>
  <si>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</si>
  <si>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</si>
  <si>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</si>
  <si>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</si>
  <si>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</si>
  <si>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</si>
  <si>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</si>
  <si>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</si>
  <si>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</si>
  <si>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</si>
  <si>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</si>
  <si>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</si>
  <si>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</si>
  <si>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</si>
  <si>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</si>
  <si>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</si>
  <si>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</si>
  <si>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</si>
  <si>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</si>
  <si>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</si>
  <si>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</si>
  <si>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</si>
  <si>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</si>
  <si>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</si>
  <si>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</si>
  <si>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</si>
  <si>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</si>
  <si>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</si>
  <si>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</si>
  <si>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</si>
  <si>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</si>
  <si>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</si>
  <si>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</si>
  <si>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</si>
  <si>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</si>
  <si>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</si>
  <si>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</si>
  <si>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</si>
  <si>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</si>
  <si>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</si>
  <si>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</si>
  <si>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</si>
  <si>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</si>
  <si>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</si>
  <si>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</si>
  <si>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</si>
  <si>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</si>
  <si>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</si>
  <si>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</si>
  <si>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</si>
  <si>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</si>
  <si>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</si>
  <si>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</si>
  <si>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</si>
  <si>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</si>
  <si>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</si>
  <si>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</si>
  <si>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</si>
  <si>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</si>
  <si>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</si>
  <si>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</si>
  <si>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</si>
  <si>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</si>
  <si>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</si>
  <si>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</si>
  <si>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</si>
  <si>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</si>
  <si>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</si>
  <si>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</si>
  <si>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</si>
  <si>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</si>
  <si>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</si>
  <si>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</si>
  <si>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</si>
  <si>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</si>
  <si>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</si>
  <si>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</si>
  <si>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</si>
  <si>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</si>
  <si>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</si>
  <si>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</si>
  <si>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</si>
  <si>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</si>
  <si>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</si>
  <si>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</si>
  <si>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</si>
  <si>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</si>
  <si>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</si>
  <si>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</si>
  <si>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</si>
  <si>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</si>
  <si>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</si>
  <si>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</si>
  <si>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</si>
  <si>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</si>
  <si>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</si>
  <si>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</si>
  <si>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</si>
  <si>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</si>
  <si>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</si>
  <si>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</si>
  <si>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</si>
  <si>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</si>
  <si>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</si>
  <si>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</si>
  <si>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</si>
  <si>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</si>
  <si>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</si>
  <si>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</si>
  <si>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</si>
  <si>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</si>
  <si>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</si>
  <si>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</si>
  <si>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</si>
  <si>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</si>
  <si>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</si>
  <si>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</si>
  <si>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</si>
  <si>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</si>
  <si>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</si>
  <si>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</si>
  <si>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</si>
  <si>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</si>
  <si>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</si>
  <si>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</si>
  <si>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</si>
  <si>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</si>
  <si>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</si>
  <si>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</si>
  <si>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</si>
  <si>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</si>
  <si>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</si>
  <si>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</si>
  <si>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</si>
  <si>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</si>
  <si>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</si>
  <si>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</si>
  <si>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</si>
  <si>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</si>
  <si>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</si>
  <si>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</si>
  <si>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</si>
  <si>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</si>
  <si>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</si>
  <si>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</si>
  <si>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</si>
  <si>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</si>
  <si>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</si>
  <si>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</si>
  <si>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</si>
  <si>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</si>
  <si>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</si>
  <si>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</si>
  <si>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</si>
  <si>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</si>
  <si>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</si>
  <si>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</si>
  <si>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</si>
  <si>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</si>
  <si>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</si>
  <si>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</si>
  <si>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</si>
  <si>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</si>
  <si>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</si>
  <si>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</si>
  <si>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</si>
  <si>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</si>
  <si>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</si>
  <si>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</si>
  <si>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</si>
  <si>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</si>
  <si>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</si>
  <si>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</si>
  <si>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</si>
  <si>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</si>
  <si>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</si>
  <si>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</si>
  <si>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</si>
  <si>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</si>
  <si>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</si>
  <si>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</si>
  <si>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</si>
  <si>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</si>
  <si>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</si>
  <si>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</si>
  <si>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</si>
  <si>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</si>
  <si>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</si>
  <si>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</si>
  <si>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</si>
  <si>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</si>
  <si>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</si>
  <si>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</si>
  <si>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</si>
  <si>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</si>
  <si>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</si>
  <si>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</si>
  <si>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</si>
  <si>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</si>
  <si>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</si>
  <si>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</si>
  <si>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</si>
  <si>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</si>
  <si>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</si>
  <si>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</si>
  <si>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</si>
  <si>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</si>
  <si>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</si>
  <si>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</si>
  <si>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</si>
  <si>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</si>
  <si>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</si>
  <si>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</si>
  <si>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</si>
  <si>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</si>
  <si>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</si>
  <si>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</si>
  <si>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</si>
  <si>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</si>
  <si>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</si>
  <si>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</si>
  <si>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</si>
  <si>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</si>
  <si>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</si>
  <si>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</si>
  <si>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</si>
  <si>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</si>
  <si>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</si>
  <si>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</si>
  <si>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</si>
  <si>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</si>
  <si>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</si>
  <si>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</si>
  <si>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</si>
  <si>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</si>
  <si>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</si>
  <si>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</si>
  <si>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</si>
  <si>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</si>
  <si>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</si>
  <si>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</si>
  <si>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</si>
  <si>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</si>
  <si>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</si>
  <si>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</si>
  <si>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</si>
  <si>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</si>
  <si>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</si>
  <si>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</si>
  <si>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</si>
  <si>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</si>
  <si>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</si>
  <si>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</si>
  <si>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</si>
  <si>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</si>
  <si>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</si>
  <si>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</si>
  <si>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</si>
  <si>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</si>
  <si>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</si>
  <si>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</si>
  <si>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</si>
  <si>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</si>
  <si>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</si>
  <si>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</si>
  <si>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</si>
  <si>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</si>
  <si>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</si>
  <si>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</si>
  <si>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</si>
  <si>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</si>
  <si>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</si>
  <si>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</si>
  <si>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</si>
  <si>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</si>
  <si>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</si>
  <si>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</si>
  <si>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</si>
  <si>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</si>
  <si>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</si>
  <si>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</si>
  <si>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</si>
  <si>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</si>
  <si>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</si>
  <si>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</si>
  <si>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</si>
  <si>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</si>
  <si>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</si>
  <si>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</si>
  <si>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</si>
  <si>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</si>
  <si>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</si>
  <si>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</si>
  <si>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</si>
  <si>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</si>
  <si>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</si>
  <si>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</si>
  <si>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</si>
  <si>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</si>
  <si>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</si>
  <si>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</si>
  <si>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</si>
  <si>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</si>
  <si>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</si>
  <si>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</si>
  <si>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</si>
  <si>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</si>
  <si>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</si>
  <si>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</si>
  <si>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</si>
  <si>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</si>
  <si>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</si>
  <si>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</si>
  <si>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</si>
  <si>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</si>
  <si>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</si>
  <si>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</si>
  <si>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</si>
  <si>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</si>
  <si>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</si>
  <si>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</si>
  <si>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</si>
  <si>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</si>
  <si>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</si>
  <si>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</si>
  <si>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</si>
  <si>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</si>
  <si>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</si>
  <si>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</si>
  <si>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</si>
  <si>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</si>
  <si>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</si>
  <si>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</si>
  <si>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</si>
  <si>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</si>
  <si>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</si>
  <si>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</si>
  <si>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</si>
  <si>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</si>
  <si>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</si>
  <si>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</si>
  <si>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</si>
  <si>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</si>
  <si>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</si>
  <si>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</si>
  <si>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</si>
  <si>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</si>
  <si>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</si>
  <si>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</si>
  <si>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</si>
  <si>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</si>
  <si>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</si>
  <si>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</si>
  <si>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</si>
  <si>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</si>
  <si>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</si>
  <si>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</si>
  <si>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</si>
  <si>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</si>
  <si>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</si>
  <si>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</si>
  <si>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</si>
  <si>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</si>
  <si>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</si>
  <si>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</si>
  <si>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</si>
  <si>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</si>
  <si>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</si>
  <si>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</si>
  <si>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</si>
  <si>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</si>
  <si>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</si>
  <si>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</si>
  <si>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</si>
  <si>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</si>
  <si>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</si>
  <si>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</si>
  <si>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</si>
  <si>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</si>
  <si>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</si>
  <si>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</si>
  <si>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</si>
  <si>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</si>
  <si>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</si>
  <si>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</si>
  <si>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</si>
  <si>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</si>
  <si>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</si>
  <si>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</si>
  <si>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</si>
  <si>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</si>
  <si>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</si>
  <si>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</si>
  <si>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</si>
  <si>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</si>
  <si>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</si>
  <si>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</si>
  <si>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</si>
  <si>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</si>
  <si>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</si>
  <si>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</si>
  <si>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</si>
  <si>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</si>
  <si>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</si>
  <si>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</si>
  <si>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</si>
  <si>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</si>
  <si>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</si>
  <si>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</si>
  <si>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</si>
  <si>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</si>
  <si>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</si>
  <si>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</si>
  <si>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</si>
  <si>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</si>
  <si>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</si>
  <si>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</si>
  <si>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</si>
  <si>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</si>
  <si>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</si>
  <si>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</si>
  <si>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</si>
  <si>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</si>
  <si>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</si>
  <si>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</si>
  <si>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</si>
  <si>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</si>
  <si>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</si>
  <si>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</si>
  <si>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</si>
  <si>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</si>
  <si>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</si>
  <si>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</si>
  <si>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</si>
  <si>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</si>
  <si>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</si>
  <si>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</si>
  <si>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</si>
  <si>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</si>
  <si>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</si>
  <si>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</si>
  <si>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</si>
  <si>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</si>
  <si>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</si>
  <si>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</si>
  <si>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</si>
  <si>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</si>
  <si>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</si>
  <si>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</si>
  <si>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</si>
  <si>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</si>
  <si>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</si>
  <si>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</si>
  <si>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</si>
  <si>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</si>
  <si>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</si>
  <si>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</si>
  <si>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</si>
  <si>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</si>
  <si>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</si>
  <si>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</si>
  <si>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</si>
  <si>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</si>
  <si>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</si>
  <si>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</si>
  <si>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</si>
  <si>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</si>
  <si>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</si>
  <si>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</si>
  <si>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</si>
  <si>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</si>
  <si>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</si>
  <si>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</si>
  <si>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</si>
  <si>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</si>
  <si>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</si>
  <si>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</si>
  <si>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</si>
  <si>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</si>
  <si>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</si>
  <si>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</si>
  <si>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</si>
  <si>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</si>
  <si>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</si>
  <si>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</si>
  <si>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</si>
  <si>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</si>
  <si>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</si>
  <si>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</si>
  <si>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</si>
  <si>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</si>
  <si>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</si>
  <si>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</si>
  <si>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</si>
  <si>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</si>
  <si>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</si>
  <si>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</si>
  <si>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</si>
  <si>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</si>
  <si>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</si>
  <si>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</si>
  <si>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</si>
  <si>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</si>
  <si>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</si>
  <si>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</si>
  <si>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</si>
  <si>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</si>
  <si>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</si>
  <si>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</si>
  <si>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</si>
  <si>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</si>
  <si>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</si>
  <si>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</si>
  <si>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</si>
  <si>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</si>
  <si>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</si>
  <si>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</si>
  <si>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</si>
  <si>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</si>
  <si>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</si>
  <si>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</si>
  <si>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</si>
  <si>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</si>
  <si>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</si>
  <si>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</si>
  <si>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</si>
  <si>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</si>
  <si>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</si>
  <si>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</si>
  <si>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</si>
  <si>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</si>
  <si>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</si>
  <si>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</si>
  <si>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</si>
  <si>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</si>
  <si>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</si>
  <si>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</si>
  <si>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</si>
  <si>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</si>
  <si>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</si>
  <si>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</si>
  <si>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</si>
  <si>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</si>
  <si>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</si>
  <si>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</si>
  <si>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</si>
  <si>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</si>
  <si>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</si>
  <si>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</si>
  <si>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</si>
  <si>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</si>
  <si>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</si>
  <si>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</si>
  <si>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</si>
  <si>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</si>
  <si>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</si>
  <si>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</si>
  <si>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</si>
  <si>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</si>
  <si>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</si>
  <si>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</si>
  <si>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</si>
  <si>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</si>
  <si>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</si>
  <si>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</si>
  <si>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</si>
  <si>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</si>
  <si>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</si>
  <si>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</si>
  <si>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</si>
  <si>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</si>
  <si>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</si>
  <si>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</si>
  <si>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</si>
  <si>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</si>
  <si>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</si>
  <si>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</si>
  <si>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</si>
  <si>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</si>
  <si>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</si>
  <si>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</si>
  <si>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</si>
  <si>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</si>
  <si>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</si>
  <si>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</si>
  <si>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</si>
  <si>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</si>
  <si>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</si>
  <si>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</si>
  <si>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</si>
  <si>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</si>
  <si>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</si>
  <si>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</si>
  <si>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</si>
  <si>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</si>
  <si>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</si>
  <si>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</si>
  <si>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</si>
  <si>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</si>
  <si>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</si>
  <si>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</si>
  <si>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</si>
  <si>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</si>
  <si>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</si>
  <si>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</si>
  <si>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</si>
  <si>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</si>
  <si>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</si>
  <si>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</si>
  <si>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</si>
  <si>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</si>
  <si>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</si>
  <si>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</si>
  <si>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</si>
  <si>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</si>
  <si>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</si>
  <si>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</si>
  <si>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</si>
  <si>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</si>
  <si>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</si>
  <si>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</si>
  <si>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</si>
  <si>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</si>
  <si>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</si>
  <si>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</si>
  <si>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</si>
  <si>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</si>
  <si>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</si>
  <si>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</si>
  <si>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</si>
  <si>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</si>
  <si>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</si>
  <si>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</si>
  <si>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</si>
  <si>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</si>
  <si>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</si>
  <si>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</si>
  <si>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</si>
  <si>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</si>
  <si>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</si>
  <si>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</si>
  <si>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</si>
  <si>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</si>
  <si>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</si>
  <si>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</si>
  <si>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</si>
  <si>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</si>
  <si>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</si>
  <si>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</si>
  <si>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</si>
  <si>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</si>
  <si>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</si>
  <si>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</si>
  <si>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</si>
  <si>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</si>
  <si>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</si>
  <si>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</si>
  <si>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</si>
  <si>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</si>
  <si>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</si>
  <si>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</si>
  <si>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</si>
  <si>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</si>
  <si>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</si>
  <si>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</si>
  <si>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</si>
  <si>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</si>
  <si>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</si>
  <si>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</si>
  <si>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</si>
  <si>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</si>
  <si>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</si>
  <si>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</si>
  <si>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</si>
  <si>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</si>
  <si>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</si>
  <si>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</si>
  <si>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</si>
  <si>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</si>
  <si>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</si>
  <si>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</si>
  <si>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</si>
  <si>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</si>
  <si>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</si>
  <si>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</si>
  <si>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</si>
  <si>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</si>
  <si>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</si>
  <si>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</si>
  <si>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</si>
  <si>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</si>
  <si>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</si>
  <si>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</si>
  <si>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</si>
  <si>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</si>
  <si>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</si>
  <si>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</si>
  <si>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</si>
  <si>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</si>
  <si>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</si>
  <si>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</si>
  <si>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</si>
  <si>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</si>
  <si>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</si>
  <si>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</si>
  <si>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</si>
  <si>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</si>
  <si>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</si>
  <si>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</si>
  <si>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</si>
  <si>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</si>
  <si>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</si>
  <si>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</si>
  <si>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</si>
  <si>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</si>
  <si>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</si>
  <si>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</si>
  <si>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</si>
  <si>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</si>
  <si>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</si>
  <si>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</si>
  <si>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</si>
  <si>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</si>
  <si>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</si>
  <si>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</si>
  <si>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</si>
  <si>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</si>
  <si>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</si>
  <si>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</si>
  <si>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</si>
  <si>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</si>
  <si>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</si>
  <si>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</si>
  <si>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</si>
  <si>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</si>
  <si>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</si>
  <si>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</si>
  <si>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</si>
  <si>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</si>
  <si>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</si>
  <si>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</si>
  <si>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</si>
  <si>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</si>
  <si>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</si>
  <si>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>PM</t>
  </si>
  <si>
    <t xml:space="preserve">KOORDINAT : </t>
  </si>
  <si>
    <t>Wirosari,  September 2023</t>
  </si>
  <si>
    <t>K2-370/140</t>
  </si>
  <si>
    <t>PWI7</t>
  </si>
  <si>
    <t>KUWU</t>
  </si>
  <si>
    <t>Daya 33.000 VA</t>
  </si>
  <si>
    <t>MASCHANAH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</si>
</sst>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06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42" fillId="0" borderId="21" xfId="1451" applyFont="1" applyFill="1" applyBorder="1" applyAlignment="1">
      <alignment horizontal="left" vertical="center" wrapText="1"/>
    </xf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NumberFormat="1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Fill="1" applyBorder="1" applyAlignment="1">
      <alignment horizontal="center" vertical="center"/>
    </xf>
    <xf numFmtId="0" fontId="8" fillId="0" borderId="21" xfId="1614" applyFont="1" applyFill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164" fontId="151" fillId="0" borderId="0" xfId="1614" applyNumberFormat="1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Border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0.47388910095084474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246530</xdr:colOff>
      <xdr:row>14</xdr:row>
      <xdr:rowOff>45751</xdr:rowOff>
    </xdr:from>
    <xdr:to>
      <xdr:col>12</xdr:col>
      <xdr:colOff>246530</xdr:colOff>
      <xdr:row>44</xdr:row>
      <xdr:rowOff>13926</xdr:rowOff>
    </xdr:to>
    <xdr:sp macro="" textlink="">
      <xdr:nvSpPr>
        <xdr:cNvPr id="154" name="Freeform 153"/>
        <xdr:cNvSpPr/>
      </xdr:nvSpPr>
      <xdr:spPr>
        <a:xfrm rot="5400000">
          <a:off x="2038575" y="4573824"/>
          <a:ext cx="4663440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205639</xdr:colOff>
      <xdr:row>24</xdr:row>
      <xdr:rowOff>67236</xdr:rowOff>
    </xdr:from>
    <xdr:to>
      <xdr:col>13</xdr:col>
      <xdr:colOff>205639</xdr:colOff>
      <xdr:row>35</xdr:row>
      <xdr:rowOff>22412</xdr:rowOff>
    </xdr:to>
    <xdr:cxnSp macro="">
      <xdr:nvCxnSpPr>
        <xdr:cNvPr id="155" name="Straight Connector 154"/>
        <xdr:cNvCxnSpPr/>
      </xdr:nvCxnSpPr>
      <xdr:spPr>
        <a:xfrm flipH="1" flipV="1">
          <a:off x="4710404" y="3832412"/>
          <a:ext cx="0" cy="166967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214287</xdr:colOff>
      <xdr:row>22</xdr:row>
      <xdr:rowOff>99323</xdr:rowOff>
    </xdr:from>
    <xdr:to>
      <xdr:col>11</xdr:col>
      <xdr:colOff>23290</xdr:colOff>
      <xdr:row>27</xdr:row>
      <xdr:rowOff>118222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2814052" y="3550735"/>
          <a:ext cx="952003" cy="80331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MACHANAH B2/23 - 33 KVA</a:t>
          </a: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75181</xdr:colOff>
      <xdr:row>5</xdr:row>
      <xdr:rowOff>33617</xdr:rowOff>
    </xdr:from>
    <xdr:to>
      <xdr:col>30</xdr:col>
      <xdr:colOff>4183</xdr:colOff>
      <xdr:row>19</xdr:row>
      <xdr:rowOff>50493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566563" y="818029"/>
          <a:ext cx="1509032" cy="2213229"/>
          <a:chOff x="9713886" y="808452"/>
          <a:chExt cx="1342558" cy="1766630"/>
        </a:xfrm>
      </xdr:grpSpPr>
      <xdr:grpSp>
        <xdr:nvGrpSpPr>
          <xdr:cNvPr id="158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7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8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174" idx="1"/>
              <a:endCxn id="17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9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174" idx="3"/>
              <a:endCxn id="17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9" name="Oval 158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4" name="Oval 213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5" name="Straight Connector 214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214" idx="1"/>
              <a:endCxn id="21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215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214" idx="3"/>
              <a:endCxn id="21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Isosceles Triangle 183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5" name="Isosceles Triangle 184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6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12" name="TextBox 211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3" name="Straight Connector 212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7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10" name="TextBox 209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11" name="Straight Connector 210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8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9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9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Arrow Connector 191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Arrow Connector 192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4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99" name="Isosceles Triangle 198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00" name="Isosceles Triangle 199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01" name="Isosceles Triangle 200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5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96" name="Isosceles Triangle 195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7" name="Isosceles Triangle 196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8" name="Isosceles Triangle 197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296817</xdr:colOff>
      <xdr:row>18</xdr:row>
      <xdr:rowOff>35691</xdr:rowOff>
    </xdr:from>
    <xdr:to>
      <xdr:col>27</xdr:col>
      <xdr:colOff>113243</xdr:colOff>
      <xdr:row>19</xdr:row>
      <xdr:rowOff>112645</xdr:rowOff>
    </xdr:to>
    <xdr:grpSp>
      <xdr:nvGrpSpPr>
        <xdr:cNvPr id="220" name="Group 219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88199" y="2859573"/>
          <a:ext cx="253456" cy="233837"/>
          <a:chOff x="11040342" y="3026321"/>
          <a:chExt cx="251113" cy="183360"/>
        </a:xfrm>
      </xdr:grpSpPr>
      <xdr:sp macro="" textlink="">
        <xdr:nvSpPr>
          <xdr:cNvPr id="221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2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264879</xdr:colOff>
      <xdr:row>18</xdr:row>
      <xdr:rowOff>40887</xdr:rowOff>
    </xdr:from>
    <xdr:to>
      <xdr:col>29</xdr:col>
      <xdr:colOff>134992</xdr:colOff>
      <xdr:row>19</xdr:row>
      <xdr:rowOff>116823</xdr:rowOff>
    </xdr:to>
    <xdr:grpSp>
      <xdr:nvGrpSpPr>
        <xdr:cNvPr id="223" name="Group 222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574291" y="2864769"/>
          <a:ext cx="251113" cy="232819"/>
          <a:chOff x="11040342" y="3026321"/>
          <a:chExt cx="251113" cy="183360"/>
        </a:xfrm>
      </xdr:grpSpPr>
      <xdr:sp macro="" textlink="">
        <xdr:nvSpPr>
          <xdr:cNvPr id="224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5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144730</xdr:colOff>
      <xdr:row>32</xdr:row>
      <xdr:rowOff>138747</xdr:rowOff>
    </xdr:from>
    <xdr:to>
      <xdr:col>13</xdr:col>
      <xdr:colOff>295817</xdr:colOff>
      <xdr:row>33</xdr:row>
      <xdr:rowOff>123556</xdr:rowOff>
    </xdr:to>
    <xdr:grpSp>
      <xdr:nvGrpSpPr>
        <xdr:cNvPr id="227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649495" y="5147776"/>
          <a:ext cx="151087" cy="141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8" name="Oval 227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228" idx="1"/>
            <a:endCxn id="22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228" idx="3"/>
            <a:endCxn id="22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18967</xdr:colOff>
      <xdr:row>25</xdr:row>
      <xdr:rowOff>118782</xdr:rowOff>
    </xdr:from>
    <xdr:to>
      <xdr:col>13</xdr:col>
      <xdr:colOff>220672</xdr:colOff>
      <xdr:row>27</xdr:row>
      <xdr:rowOff>136192</xdr:rowOff>
    </xdr:to>
    <xdr:cxnSp macro="">
      <xdr:nvCxnSpPr>
        <xdr:cNvPr id="233" name="Straight Connector 232"/>
        <xdr:cNvCxnSpPr>
          <a:stCxn id="236" idx="4"/>
        </xdr:cNvCxnSpPr>
      </xdr:nvCxnSpPr>
      <xdr:spPr>
        <a:xfrm flipH="1" flipV="1">
          <a:off x="3761732" y="4040841"/>
          <a:ext cx="963705" cy="3311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280147</xdr:colOff>
      <xdr:row>27</xdr:row>
      <xdr:rowOff>11205</xdr:rowOff>
    </xdr:from>
    <xdr:to>
      <xdr:col>13</xdr:col>
      <xdr:colOff>280147</xdr:colOff>
      <xdr:row>35</xdr:row>
      <xdr:rowOff>0</xdr:rowOff>
    </xdr:to>
    <xdr:cxnSp macro="">
      <xdr:nvCxnSpPr>
        <xdr:cNvPr id="234" name="Straight Connector 233"/>
        <xdr:cNvCxnSpPr/>
      </xdr:nvCxnSpPr>
      <xdr:spPr>
        <a:xfrm flipV="1">
          <a:off x="4784912" y="4247029"/>
          <a:ext cx="0" cy="1232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145128</xdr:colOff>
      <xdr:row>26</xdr:row>
      <xdr:rowOff>152401</xdr:rowOff>
    </xdr:from>
    <xdr:to>
      <xdr:col>13</xdr:col>
      <xdr:colOff>296215</xdr:colOff>
      <xdr:row>27</xdr:row>
      <xdr:rowOff>136192</xdr:rowOff>
    </xdr:to>
    <xdr:grpSp>
      <xdr:nvGrpSpPr>
        <xdr:cNvPr id="235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649893" y="4231342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236" idx="1"/>
            <a:endCxn id="2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236" idx="3"/>
            <a:endCxn id="2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366190</xdr:colOff>
      <xdr:row>26</xdr:row>
      <xdr:rowOff>49560</xdr:rowOff>
    </xdr:from>
    <xdr:to>
      <xdr:col>12</xdr:col>
      <xdr:colOff>105506</xdr:colOff>
      <xdr:row>27</xdr:row>
      <xdr:rowOff>2410</xdr:rowOff>
    </xdr:to>
    <xdr:grpSp>
      <xdr:nvGrpSpPr>
        <xdr:cNvPr id="239" name="Group 238"/>
        <xdr:cNvGrpSpPr/>
      </xdr:nvGrpSpPr>
      <xdr:grpSpPr>
        <a:xfrm>
          <a:off x="4108955" y="4128501"/>
          <a:ext cx="120316" cy="109733"/>
          <a:chOff x="4552393" y="5147729"/>
          <a:chExt cx="228791" cy="193248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272061</xdr:colOff>
      <xdr:row>29</xdr:row>
      <xdr:rowOff>101107</xdr:rowOff>
    </xdr:from>
    <xdr:to>
      <xdr:col>14</xdr:col>
      <xdr:colOff>11377</xdr:colOff>
      <xdr:row>30</xdr:row>
      <xdr:rowOff>65163</xdr:rowOff>
    </xdr:to>
    <xdr:grpSp>
      <xdr:nvGrpSpPr>
        <xdr:cNvPr id="248" name="Group 247"/>
        <xdr:cNvGrpSpPr/>
      </xdr:nvGrpSpPr>
      <xdr:grpSpPr>
        <a:xfrm>
          <a:off x="4776826" y="4650695"/>
          <a:ext cx="120316" cy="109733"/>
          <a:chOff x="4552393" y="5147729"/>
          <a:chExt cx="228791" cy="193248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PkRp"/>
      <sheetName val="Bank Data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Uraian"/>
      <sheetName val="PROGRAM"/>
      <sheetName val="DExp.Lmb"/>
      <sheetName val="Kamus"/>
      <sheetName val="JAN09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FORM-B"/>
      <sheetName val="Smg"/>
      <sheetName val="Valuation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9" t="s">
        <v>1134</v>
      </c>
      <c r="C4" s="519"/>
      <c r="D4" s="519"/>
      <c r="E4" s="519"/>
      <c r="F4" s="519"/>
      <c r="G4" s="519"/>
      <c r="H4" s="51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0" t="s">
        <v>0</v>
      </c>
      <c r="C7" s="520" t="s">
        <v>1</v>
      </c>
      <c r="D7" s="521" t="s">
        <v>42</v>
      </c>
      <c r="E7" s="521" t="s">
        <v>43</v>
      </c>
      <c r="F7" s="521" t="s">
        <v>1135</v>
      </c>
      <c r="G7" s="522" t="s">
        <v>41</v>
      </c>
      <c r="H7" s="518" t="s">
        <v>1042</v>
      </c>
      <c r="I7" s="518" t="s">
        <v>1137</v>
      </c>
      <c r="J7" s="518" t="s">
        <v>1026</v>
      </c>
      <c r="K7" s="512" t="s">
        <v>1024</v>
      </c>
      <c r="L7" s="513"/>
    </row>
    <row r="8" spans="1:12" ht="15" customHeight="1">
      <c r="B8" s="520"/>
      <c r="C8" s="520"/>
      <c r="D8" s="521"/>
      <c r="E8" s="521"/>
      <c r="F8" s="521"/>
      <c r="G8" s="522"/>
      <c r="H8" s="518"/>
      <c r="I8" s="518"/>
      <c r="J8" s="518"/>
      <c r="K8" s="514"/>
      <c r="L8" s="515"/>
    </row>
    <row r="9" spans="1:12" ht="15" customHeight="1">
      <c r="B9" s="520"/>
      <c r="C9" s="520"/>
      <c r="D9" s="521"/>
      <c r="E9" s="521"/>
      <c r="F9" s="521"/>
      <c r="G9" s="522"/>
      <c r="H9" s="518"/>
      <c r="I9" s="518"/>
      <c r="J9" s="518"/>
      <c r="K9" s="516"/>
      <c r="L9" s="51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 t="str">
        <f ca="1">IF(C12="","",A12)</f>
        <v/>
      </c>
      <c r="C12" s="109" t="str">
        <f ca="1">IF(ISERROR(OFFSET($C$713,MATCH(A12,$F$714:$F$1320,0),0)),"",OFFSET($C$713,MATCH(A12,$F$714:$F$1320,0),0))</f>
        <v/>
      </c>
      <c r="D12" s="101" t="str">
        <f ca="1">IF(ISERROR(OFFSET('HARGA SATUAN'!$D$6,MATCH(C12,'HARGA SATUAN'!$C$7:$C$1492,0),0)),"",OFFSET('HARGA SATUAN'!$D$6,MATCH(C12,'HARGA SATUAN'!$C$7:$C$1492,0),0))</f>
        <v/>
      </c>
      <c r="E12" s="101">
        <f ca="1">IF(B12="+","Unit",IF(ISERROR(OFFSET('HARGA SATUAN'!$E$6,MATCH(C12,'HARGA SATUAN'!$C$7:$C$1492,0),0)),"",OFFSET('HARGA SATUAN'!$E$6,MATCH(C12,'HARGA SATUAN'!$C$7:$C$1492,0),0)))</f>
        <v>0</v>
      </c>
      <c r="F12" s="138" t="str">
        <f ca="1">IF(ISERROR(OFFSET($D$713,MATCH(A12,$F$714:$F$1320,0),0)),"",OFFSET($D$713,MATCH(A12,$F$714:$F$1320,0),0))</f>
        <v/>
      </c>
      <c r="G12" s="41">
        <f ca="1">IF(ISERROR(OFFSET('HARGA SATUAN'!$I$6,MATCH(C12,'HARGA SATUAN'!$C$7:$C$1492,0),0)),"",OFFSET('HARGA SATUAN'!$I$6,MATCH(C12,'HARGA SATUAN'!$C$7:$C$1492,0),0))</f>
        <v>0</v>
      </c>
      <c r="H12" s="136" t="str">
        <f ca="1">IF(B12="","",#REF!)</f>
        <v/>
      </c>
      <c r="I12" s="136" t="str">
        <f ca="1">IF(B12="","",#REF!)</f>
        <v/>
      </c>
      <c r="J12" s="136" t="str">
        <f ca="1">IF(B12="","",#REF!)</f>
        <v/>
      </c>
      <c r="K12" s="136" t="str">
        <f ca="1">IF(B12="","",#REF!)</f>
        <v/>
      </c>
      <c r="L12" s="136" t="str">
        <f ca="1">IF(C12="","",#REF!)</f>
        <v/>
      </c>
    </row>
    <row r="13" spans="1:12" s="137" customFormat="1" ht="15" customHeight="1">
      <c r="A13" s="112">
        <v>2</v>
      </c>
      <c r="B13" s="134" t="str">
        <f t="shared" ref="B13:B76" ca="1" si="0">IF(C13="","",A13)</f>
        <v/>
      </c>
      <c r="C13" s="109" t="str">
        <f t="shared" ref="C13:C76" ca="1" si="1">IF(ISERROR(OFFSET($C$713,MATCH(A13,$F$714:$F$1320,0),0)),"",OFFSET($C$713,MATCH(A13,$F$714:$F$1320,0),0))</f>
        <v/>
      </c>
      <c r="D13" s="101" t="str">
        <f ca="1">IF(ISERROR(OFFSET('HARGA SATUAN'!$D$6,MATCH(C13,'HARGA SATUAN'!$C$7:$C$1492,0),0)),"",OFFSET('HARGA SATUAN'!$D$6,MATCH(C13,'HARGA SATUAN'!$C$7:$C$1492,0),0))</f>
        <v/>
      </c>
      <c r="E13" s="101">
        <f ca="1">IF(B13="+","Unit",IF(ISERROR(OFFSET('HARGA SATUAN'!$E$6,MATCH(C13,'HARGA SATUAN'!$C$7:$C$1492,0),0)),"",OFFSET('HARGA SATUAN'!$E$6,MATCH(C13,'HARGA SATUAN'!$C$7:$C$1492,0),0)))</f>
        <v>0</v>
      </c>
      <c r="F13" s="138" t="str">
        <f t="shared" ref="F13:F76" ca="1" si="2">IF(ISERROR(OFFSET($D$713,MATCH(A13,$F$714:$F$1320,0),0)),"",OFFSET($D$713,MATCH(A13,$F$714:$F$1320,0),0))</f>
        <v/>
      </c>
      <c r="G13" s="41">
        <f ca="1">IF(ISERROR(OFFSET('HARGA SATUAN'!$I$6,MATCH(C13,'HARGA SATUAN'!$C$7:$C$1492,0),0)),"",OFFSET('HARGA SATUAN'!$I$6,MATCH(C13,'HARGA SATUAN'!$C$7:$C$1492,0),0))</f>
        <v>0</v>
      </c>
      <c r="H13" s="136" t="str">
        <f ca="1">IF(B13="","",#REF!)</f>
        <v/>
      </c>
      <c r="I13" s="136" t="str">
        <f ca="1">IF(B13="","",#REF!)</f>
        <v/>
      </c>
      <c r="J13" s="136" t="str">
        <f ca="1">IF(B13="","",#REF!)</f>
        <v/>
      </c>
      <c r="K13" s="136" t="str">
        <f ca="1">IF(B13="","",#REF!)</f>
        <v/>
      </c>
      <c r="L13" s="136" t="str">
        <f ca="1">IF(C13="","",#REF!)</f>
        <v/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SATUAN'!$C$7:$C$1492,0),0)),"",OFFSET('HARGA SATUAN'!$D$6,MATCH(C14,'HARGA SATUAN'!$C$7:$C$1492,0),0))</f>
        <v/>
      </c>
      <c r="E14" s="101">
        <f ca="1">IF(B14="+","Unit",IF(ISERROR(OFFSET('HARGA SATUAN'!$E$6,MATCH(C14,'HARGA SATUAN'!$C$7:$C$1492,0),0)),"",OFFSET('HARGA SATUAN'!$E$6,MATCH(C14,'HARGA SATUAN'!$C$7:$C$1492,0),0)))</f>
        <v>0</v>
      </c>
      <c r="F14" s="138" t="str">
        <f t="shared" ca="1" si="2"/>
        <v/>
      </c>
      <c r="G14" s="41">
        <f ca="1">IF(ISERROR(OFFSET('HARGA SATUAN'!$I$6,MATCH(C14,'HARGA SATUAN'!$C$7:$C$1492,0),0)),"",OFFSET('HARGA SATUAN'!$I$6,MATCH(C14,'HARGA SATUAN'!$C$7:$C$1492,0),0))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SUMIFS(RAB!$F$14:$F$28,RAB!$C$14:$C$28,C714)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SUMIFS(RAB!$F$14:$F$28,RAB!$C$14:$C$28,C715)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SUMIFS(RAB!$F$14:$F$28,RAB!$C$14:$C$28,C716)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SUMIFS(RAB!$F$14:$F$28,RAB!$C$14:$C$28,C717)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SUMIFS(RAB!$F$14:$F$28,RAB!$C$14:$C$28,C718)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SUMIFS(RAB!$F$14:$F$28,RAB!$C$14:$C$28,C719)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SUMIFS(RAB!$F$14:$F$28,RAB!$C$14:$C$28,C720)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SUMIFS(RAB!$F$14:$F$28,RAB!$C$14:$C$28,C721)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SUMIFS(RAB!$F$14:$F$28,RAB!$C$14:$C$28,C722)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SUMIFS(RAB!$F$14:$F$28,RAB!$C$14:$C$28,C723)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SUMIFS(RAB!$F$14:$F$28,RAB!$C$14:$C$28,C724)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SUMIFS(RAB!$F$14:$F$28,RAB!$C$14:$C$28,C725)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SUMIFS(RAB!$F$14:$F$28,RAB!$C$14:$C$28,C726)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SUMIFS(RAB!$F$14:$F$28,RAB!$C$14:$C$28,C727)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SUMIFS(RAB!$F$14:$F$28,RAB!$C$14:$C$28,C728)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SUMIFS(RAB!$F$14:$F$28,RAB!$C$14:$C$28,C729)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SUMIFS(RAB!$F$14:$F$28,RAB!$C$14:$C$28,C730)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SUMIFS(RAB!$F$14:$F$28,RAB!$C$14:$C$28,C731)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SUMIFS(RAB!$F$14:$F$28,RAB!$C$14:$C$28,C732)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SUMIFS(RAB!$F$14:$F$28,RAB!$C$14:$C$28,C733)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SUMIFS(RAB!$F$14:$F$28,RAB!$C$14:$C$28,C734)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SUMIFS(RAB!$F$14:$F$28,RAB!$C$14:$C$28,C735)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SUMIFS(RAB!$F$14:$F$28,RAB!$C$14:$C$28,C736)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SUMIFS(RAB!$F$14:$F$28,RAB!$C$14:$C$28,C737)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SUMIFS(RAB!$F$14:$F$28,RAB!$C$14:$C$28,C738)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SUMIFS(RAB!$F$14:$F$28,RAB!$C$14:$C$28,C739)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SUMIFS(RAB!$F$14:$F$28,RAB!$C$14:$C$28,C740)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SUMIFS(RAB!$F$14:$F$28,RAB!$C$14:$C$28,C741)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SUMIFS(RAB!$F$14:$F$28,RAB!$C$14:$C$28,C742)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SUMIFS(RAB!$F$14:$F$28,RAB!$C$14:$C$28,C743)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SUMIFS(RAB!$F$14:$F$28,RAB!$C$14:$C$28,C744)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SUMIFS(RAB!$F$14:$F$28,RAB!$C$14:$C$28,C745)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SUMIFS(RAB!$F$14:$F$28,RAB!$C$14:$C$28,C746)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SUMIFS(RAB!$F$14:$F$28,RAB!$C$14:$C$28,C747)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SUMIFS(RAB!$F$14:$F$28,RAB!$C$14:$C$28,C748)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SUMIFS(RAB!$F$14:$F$28,RAB!$C$14:$C$28,C749)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SUMIFS(RAB!$F$14:$F$28,RAB!$C$14:$C$28,C750)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SUMIFS(RAB!$F$14:$F$28,RAB!$C$14:$C$28,C751)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SUMIFS(RAB!$F$14:$F$28,RAB!$C$14:$C$28,C752)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SUMIFS(RAB!$F$14:$F$28,RAB!$C$14:$C$28,C753)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SUMIFS(RAB!$F$14:$F$28,RAB!$C$14:$C$28,C754)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SUMIFS(RAB!$F$14:$F$28,RAB!$C$14:$C$28,C755)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SUMIFS(RAB!$F$14:$F$28,RAB!$C$14:$C$28,C756)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SUMIFS(RAB!$F$14:$F$28,RAB!$C$14:$C$28,C757)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SUMIFS(RAB!$F$14:$F$28,RAB!$C$14:$C$28,C758)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SUMIFS(RAB!$F$14:$F$28,RAB!$C$14:$C$28,C759)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SUMIFS(RAB!$F$14:$F$28,RAB!$C$14:$C$28,C760)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SUMIFS(RAB!$F$14:$F$28,RAB!$C$14:$C$28,C761)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SUMIFS(RAB!$F$14:$F$28,RAB!$C$14:$C$28,C762)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SUMIFS(RAB!$F$14:$F$28,RAB!$C$14:$C$28,C763)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SUMIFS(RAB!$F$14:$F$28,RAB!$C$14:$C$28,C764)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SUMIFS(RAB!$F$14:$F$28,RAB!$C$14:$C$28,C765)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SUMIFS(RAB!$F$14:$F$28,RAB!$C$14:$C$28,C766)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SUMIFS(RAB!$F$14:$F$28,RAB!$C$14:$C$28,C767)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SUMIFS(RAB!$F$14:$F$28,RAB!$C$14:$C$28,C768)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SUMIFS(RAB!$F$14:$F$28,RAB!$C$14:$C$28,C769)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SUMIFS(RAB!$F$14:$F$28,RAB!$C$14:$C$28,C770)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SUMIFS(RAB!$F$14:$F$28,RAB!$C$14:$C$28,C771)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SUMIFS(RAB!$F$14:$F$28,RAB!$C$14:$C$28,C772)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SUMIFS(RAB!$F$14:$F$28,RAB!$C$14:$C$28,C773)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SUMIFS(RAB!$F$14:$F$28,RAB!$C$14:$C$28,C774)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SUMIFS(RAB!$F$14:$F$28,RAB!$C$14:$C$28,C775)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SUMIFS(RAB!$F$14:$F$28,RAB!$C$14:$C$28,C776)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SUMIFS(RAB!$F$14:$F$28,RAB!$C$14:$C$28,C777)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SUMIFS(RAB!$F$14:$F$28,RAB!$C$14:$C$28,C778)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SUMIFS(RAB!$F$14:$F$28,RAB!$C$14:$C$28,C779)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SUMIFS(RAB!$F$14:$F$28,RAB!$C$14:$C$28,C780)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SUMIFS(RAB!$F$14:$F$28,RAB!$C$14:$C$28,C781)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SUMIFS(RAB!$F$14:$F$28,RAB!$C$14:$C$28,C782)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SUMIFS(RAB!$F$14:$F$28,RAB!$C$14:$C$28,C783)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SUMIFS(RAB!$F$14:$F$28,RAB!$C$14:$C$28,C784)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SUMIFS(RAB!$F$14:$F$28,RAB!$C$14:$C$28,C785)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SUMIFS(RAB!$F$14:$F$28,RAB!$C$14:$C$28,C786)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SUMIFS(RAB!$F$14:$F$28,RAB!$C$14:$C$28,C787)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SUMIFS(RAB!$F$14:$F$28,RAB!$C$14:$C$28,C788)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SUMIFS(RAB!$F$14:$F$28,RAB!$C$14:$C$28,C789)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SUMIFS(RAB!$F$14:$F$28,RAB!$C$14:$C$28,C790)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SUMIFS(RAB!$F$14:$F$28,RAB!$C$14:$C$28,C791)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SUMIFS(RAB!$F$14:$F$28,RAB!$C$14:$C$28,C792)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SUMIFS(RAB!$F$14:$F$28,RAB!$C$14:$C$28,C793)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SUMIFS(RAB!$F$14:$F$28,RAB!$C$14:$C$28,C794)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SUMIFS(RAB!$F$14:$F$28,RAB!$C$14:$C$28,C795)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SUMIFS(RAB!$F$14:$F$28,RAB!$C$14:$C$28,C796)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SUMIFS(RAB!$F$14:$F$28,RAB!$C$14:$C$28,C797)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SUMIFS(RAB!$F$14:$F$28,RAB!$C$14:$C$28,C798)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SUMIFS(RAB!$F$14:$F$28,RAB!$C$14:$C$28,C799)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SUMIFS(RAB!$F$14:$F$28,RAB!$C$14:$C$28,C800)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SUMIFS(RAB!$F$14:$F$28,RAB!$C$14:$C$28,C801)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SUMIFS(RAB!$F$14:$F$28,RAB!$C$14:$C$28,C802)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SUMIFS(RAB!$F$14:$F$28,RAB!$C$14:$C$28,C803)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SUMIFS(RAB!$F$14:$F$28,RAB!$C$14:$C$28,C804)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SUMIFS(RAB!$F$14:$F$28,RAB!$C$14:$C$28,C805)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SUMIFS(RAB!$F$14:$F$28,RAB!$C$14:$C$28,C806)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SUMIFS(RAB!$F$14:$F$28,RAB!$C$14:$C$28,C807)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SUMIFS(RAB!$F$14:$F$28,RAB!$C$14:$C$28,C808)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SUMIFS(RAB!$F$14:$F$28,RAB!$C$14:$C$28,C809)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SUMIFS(RAB!$F$14:$F$28,RAB!$C$14:$C$28,C810)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SUMIFS(RAB!$F$14:$F$28,RAB!$C$14:$C$28,C811)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SUMIFS(RAB!$F$14:$F$28,RAB!$C$14:$C$28,C812)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SUMIFS(RAB!$F$14:$F$28,RAB!$C$14:$C$28,C813)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SUMIFS(RAB!$F$14:$F$28,RAB!$C$14:$C$28,C814)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SUMIFS(RAB!$F$14:$F$28,RAB!$C$14:$C$28,C815)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SUMIFS(RAB!$F$14:$F$28,RAB!$C$14:$C$28,C816)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SUMIFS(RAB!$F$14:$F$28,RAB!$C$14:$C$28,C817)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SUMIFS(RAB!$F$14:$F$28,RAB!$C$14:$C$28,C818)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SUMIFS(RAB!$F$14:$F$28,RAB!$C$14:$C$28,C819)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SUMIFS(RAB!$F$14:$F$28,RAB!$C$14:$C$28,C820)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SUMIFS(RAB!$F$14:$F$28,RAB!$C$14:$C$28,C821)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SUMIFS(RAB!$F$14:$F$28,RAB!$C$14:$C$28,C822)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SUMIFS(RAB!$F$14:$F$28,RAB!$C$14:$C$28,C823)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SUMIFS(RAB!$F$14:$F$28,RAB!$C$14:$C$28,C824)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SUMIFS(RAB!$F$14:$F$28,RAB!$C$14:$C$28,C825)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SUMIFS(RAB!$F$14:$F$28,RAB!$C$14:$C$28,C826)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SUMIFS(RAB!$F$14:$F$28,RAB!$C$14:$C$28,C827)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SUMIFS(RAB!$F$14:$F$28,RAB!$C$14:$C$28,C828)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SUMIFS(RAB!$F$14:$F$28,RAB!$C$14:$C$28,C829)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SUMIFS(RAB!$F$14:$F$28,RAB!$C$14:$C$28,C830)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SUMIFS(RAB!$F$14:$F$28,RAB!$C$14:$C$28,C831)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SUMIFS(RAB!$F$14:$F$28,RAB!$C$14:$C$28,C832)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SUMIFS(RAB!$F$14:$F$28,RAB!$C$14:$C$28,C833)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SUMIFS(RAB!$F$14:$F$28,RAB!$C$14:$C$28,C834)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SUMIFS(RAB!$F$14:$F$28,RAB!$C$14:$C$28,C835)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SUMIFS(RAB!$F$14:$F$28,RAB!$C$14:$C$28,C836)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SUMIFS(RAB!$F$14:$F$28,RAB!$C$14:$C$28,C837)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SUMIFS(RAB!$F$14:$F$28,RAB!$C$14:$C$28,C838)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SUMIFS(RAB!$F$14:$F$28,RAB!$C$14:$C$28,C839)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SUMIFS(RAB!$F$14:$F$28,RAB!$C$14:$C$28,C840)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SUMIFS(RAB!$F$14:$F$28,RAB!$C$14:$C$28,C841)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SUMIFS(RAB!$F$14:$F$28,RAB!$C$14:$C$28,C842)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SUMIFS(RAB!$F$14:$F$28,RAB!$C$14:$C$28,C843)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SUMIFS(RAB!$F$14:$F$28,RAB!$C$14:$C$28,C844)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SUMIFS(RAB!$F$14:$F$28,RAB!$C$14:$C$28,C845)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SUMIFS(RAB!$F$14:$F$28,RAB!$C$14:$C$28,C846)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SUMIFS(RAB!$F$14:$F$28,RAB!$C$14:$C$28,C847)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SUMIFS(RAB!$F$14:$F$28,RAB!$C$14:$C$28,C848)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SUMIFS(RAB!$F$14:$F$28,RAB!$C$14:$C$28,C849)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SUMIFS(RAB!$F$14:$F$28,RAB!$C$14:$C$28,C850)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SUMIFS(RAB!$F$14:$F$28,RAB!$C$14:$C$28,C851)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SUMIFS(RAB!$F$14:$F$28,RAB!$C$14:$C$28,C852)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SUMIFS(RAB!$F$14:$F$28,RAB!$C$14:$C$28,C853)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SUMIFS(RAB!$F$14:$F$28,RAB!$C$14:$C$28,C854)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SUMIFS(RAB!$F$14:$F$28,RAB!$C$14:$C$28,C855)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SUMIFS(RAB!$F$14:$F$28,RAB!$C$14:$C$28,C856)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SUMIFS(RAB!$F$14:$F$28,RAB!$C$14:$C$28,C857)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SUMIFS(RAB!$F$14:$F$28,RAB!$C$14:$C$28,C858)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SUMIFS(RAB!$F$14:$F$28,RAB!$C$14:$C$28,C859)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SUMIFS(RAB!$F$14:$F$28,RAB!$C$14:$C$28,C860)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SUMIFS(RAB!$F$14:$F$28,RAB!$C$14:$C$28,C861)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SUMIFS(RAB!$F$14:$F$28,RAB!$C$14:$C$28,C862)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SUMIFS(RAB!$F$14:$F$28,RAB!$C$14:$C$28,C863)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SUMIFS(RAB!$F$14:$F$28,RAB!$C$14:$C$28,C864)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SUMIFS(RAB!$F$14:$F$28,RAB!$C$14:$C$28,C865)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SUMIFS(RAB!$F$14:$F$28,RAB!$C$14:$C$28,C866)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SUMIFS(RAB!$F$14:$F$28,RAB!$C$14:$C$28,C867)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SUMIFS(RAB!$F$14:$F$28,RAB!$C$14:$C$28,C868)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SUMIFS(RAB!$F$14:$F$28,RAB!$C$14:$C$28,C869)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SUMIFS(RAB!$F$14:$F$28,RAB!$C$14:$C$28,C870)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SUMIFS(RAB!$F$14:$F$28,RAB!$C$14:$C$28,C871)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SUMIFS(RAB!$F$14:$F$28,RAB!$C$14:$C$28,C872)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SUMIFS(RAB!$F$14:$F$28,RAB!$C$14:$C$28,C873)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SUMIFS(RAB!$F$14:$F$28,RAB!$C$14:$C$28,C874)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SUMIFS(RAB!$F$14:$F$28,RAB!$C$14:$C$28,C875)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SUMIFS(RAB!$F$14:$F$28,RAB!$C$14:$C$28,C876)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SUMIFS(RAB!$F$14:$F$28,RAB!$C$14:$C$28,C877)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SUMIFS(RAB!$F$14:$F$28,RAB!$C$14:$C$28,C878)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SUMIFS(RAB!$F$14:$F$28,RAB!$C$14:$C$28,C879)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SUMIFS(RAB!$F$14:$F$28,RAB!$C$14:$C$28,C880)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SUMIFS(RAB!$F$14:$F$28,RAB!$C$14:$C$28,C881)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SUMIFS(RAB!$F$14:$F$28,RAB!$C$14:$C$28,C882)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SUMIFS(RAB!$F$14:$F$28,RAB!$C$14:$C$28,C883)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SUMIFS(RAB!$F$14:$F$28,RAB!$C$14:$C$28,C884)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SUMIFS(RAB!$F$14:$F$28,RAB!$C$14:$C$28,C885)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SUMIFS(RAB!$F$14:$F$28,RAB!$C$14:$C$28,C886)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SUMIFS(RAB!$F$14:$F$28,RAB!$C$14:$C$28,C887)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SUMIFS(RAB!$F$14:$F$28,RAB!$C$14:$C$28,C888)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SUMIFS(RAB!$F$14:$F$28,RAB!$C$14:$C$28,C889)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SUMIFS(RAB!$F$14:$F$28,RAB!$C$14:$C$28,C890)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SUMIFS(RAB!$F$14:$F$28,RAB!$C$14:$C$28,C891)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SUMIFS(RAB!$F$14:$F$28,RAB!$C$14:$C$28,C892)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SUMIFS(RAB!$F$14:$F$28,RAB!$C$14:$C$28,C893)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SUMIFS(RAB!$F$14:$F$28,RAB!$C$14:$C$28,C894)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SUMIFS(RAB!$F$14:$F$28,RAB!$C$14:$C$28,C895)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SUMIFS(RAB!$F$14:$F$28,RAB!$C$14:$C$28,C896)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SUMIFS(RAB!$F$14:$F$28,RAB!$C$14:$C$28,C897)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SUMIFS(RAB!$F$14:$F$28,RAB!$C$14:$C$28,C898)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SUMIFS(RAB!$F$14:$F$28,RAB!$C$14:$C$28,C899)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SUMIFS(RAB!$F$14:$F$28,RAB!$C$14:$C$28,C900)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SUMIFS(RAB!$F$14:$F$28,RAB!$C$14:$C$28,C901)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SUMIFS(RAB!$F$14:$F$28,RAB!$C$14:$C$28,C902)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SUMIFS(RAB!$F$14:$F$28,RAB!$C$14:$C$28,C903)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SUMIFS(RAB!$F$14:$F$28,RAB!$C$14:$C$28,C904)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SUMIFS(RAB!$F$14:$F$28,RAB!$C$14:$C$28,C905)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SUMIFS(RAB!$F$14:$F$28,RAB!$C$14:$C$28,C906)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SUMIFS(RAB!$F$14:$F$28,RAB!$C$14:$C$28,C907)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SUMIFS(RAB!$F$14:$F$28,RAB!$C$14:$C$28,C908)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SUMIFS(RAB!$F$14:$F$28,RAB!$C$14:$C$28,C909)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SUMIFS(RAB!$F$14:$F$28,RAB!$C$14:$C$28,C910)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SUMIFS(RAB!$F$14:$F$28,RAB!$C$14:$C$28,C911)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SUMIFS(RAB!$F$14:$F$28,RAB!$C$14:$C$28,C912)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SUMIFS(RAB!$F$14:$F$28,RAB!$C$14:$C$28,C913)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SUMIFS(RAB!$F$14:$F$28,RAB!$C$14:$C$28,C914)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SUMIFS(RAB!$F$14:$F$28,RAB!$C$14:$C$28,C915)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SUMIFS(RAB!$F$14:$F$28,RAB!$C$14:$C$28,C916)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SUMIFS(RAB!$F$14:$F$28,RAB!$C$14:$C$28,C917)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SUMIFS(RAB!$F$14:$F$28,RAB!$C$14:$C$28,C918)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SUMIFS(RAB!$F$14:$F$28,RAB!$C$14:$C$28,C919)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SUMIFS(RAB!$F$14:$F$28,RAB!$C$14:$C$28,C920)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SUMIFS(RAB!$F$14:$F$28,RAB!$C$14:$C$28,C921)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SUMIFS(RAB!$F$14:$F$28,RAB!$C$14:$C$28,C922)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SUMIFS(RAB!$F$14:$F$28,RAB!$C$14:$C$28,C923)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SUMIFS(RAB!$F$14:$F$28,RAB!$C$14:$C$28,C924)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SUMIFS(RAB!$F$14:$F$28,RAB!$C$14:$C$28,C925)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SUMIFS(RAB!$F$14:$F$28,RAB!$C$14:$C$28,C926)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SUMIFS(RAB!$F$14:$F$28,RAB!$C$14:$C$28,C927)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SUMIFS(RAB!$F$14:$F$28,RAB!$C$14:$C$28,C928)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SUMIFS(RAB!$F$14:$F$28,RAB!$C$14:$C$28,C929)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SUMIFS(RAB!$F$14:$F$28,RAB!$C$14:$C$28,C930)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SUMIFS(RAB!$F$14:$F$28,RAB!$C$14:$C$28,C931)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SUMIFS(RAB!$F$14:$F$28,RAB!$C$14:$C$28,C932)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SUMIFS(RAB!$F$14:$F$28,RAB!$C$14:$C$28,C933)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SUMIFS(RAB!$F$14:$F$28,RAB!$C$14:$C$28,C934)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SUMIFS(RAB!$F$14:$F$28,RAB!$C$14:$C$28,C935)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SUMIFS(RAB!$F$14:$F$28,RAB!$C$14:$C$28,C936)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SUMIFS(RAB!$F$14:$F$28,RAB!$C$14:$C$28,C937)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SUMIFS(RAB!$F$14:$F$28,RAB!$C$14:$C$28,C938)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SUMIFS(RAB!$F$14:$F$28,RAB!$C$14:$C$28,C939)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SUMIFS(RAB!$F$14:$F$28,RAB!$C$14:$C$28,C940)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SUMIFS(RAB!$F$14:$F$28,RAB!$C$14:$C$28,C941)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SUMIFS(RAB!$F$14:$F$28,RAB!$C$14:$C$28,C942)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SUMIFS(RAB!$F$14:$F$28,RAB!$C$14:$C$28,C943)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SUMIFS(RAB!$F$14:$F$28,RAB!$C$14:$C$28,C944)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SUMIFS(RAB!$F$14:$F$28,RAB!$C$14:$C$28,C945)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SUMIFS(RAB!$F$14:$F$28,RAB!$C$14:$C$28,C946)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SUMIFS(RAB!$F$14:$F$28,RAB!$C$14:$C$28,C947)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SUMIFS(RAB!$F$14:$F$28,RAB!$C$14:$C$28,C948)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SUMIFS(RAB!$F$14:$F$28,RAB!$C$14:$C$28,C949)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SUMIFS(RAB!$F$14:$F$28,RAB!$C$14:$C$28,C950)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SUMIFS(RAB!$F$14:$F$28,RAB!$C$14:$C$28,C951)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SUMIFS(RAB!$F$14:$F$28,RAB!$C$14:$C$28,C952)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SUMIFS(RAB!$F$14:$F$28,RAB!$C$14:$C$28,C953)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SUMIFS(RAB!$F$14:$F$28,RAB!$C$14:$C$28,C954)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SUMIFS(RAB!$F$14:$F$28,RAB!$C$14:$C$28,C955)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SUMIFS(RAB!$F$14:$F$28,RAB!$C$14:$C$28,C956)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SUMIFS(RAB!$F$14:$F$28,RAB!$C$14:$C$28,C957)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SUMIFS(RAB!$F$14:$F$28,RAB!$C$14:$C$28,C958)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SUMIFS(RAB!$F$14:$F$28,RAB!$C$14:$C$28,C959)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SUMIFS(RAB!$F$14:$F$28,RAB!$C$14:$C$28,C960)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SUMIFS(RAB!$F$14:$F$28,RAB!$C$14:$C$28,C961)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SUMIFS(RAB!$F$14:$F$28,RAB!$C$14:$C$28,C962)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SUMIFS(RAB!$F$14:$F$28,RAB!$C$14:$C$28,C963)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SUMIFS(RAB!$F$14:$F$28,RAB!$C$14:$C$28,C964)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SUMIFS(RAB!$F$14:$F$28,RAB!$C$14:$C$28,C965)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SUMIFS(RAB!$F$14:$F$28,RAB!$C$14:$C$28,C966)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SUMIFS(RAB!$F$14:$F$28,RAB!$C$14:$C$28,C967)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SUMIFS(RAB!$F$14:$F$28,RAB!$C$14:$C$28,C968)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SUMIFS(RAB!$F$14:$F$28,RAB!$C$14:$C$28,C969)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SUMIFS(RAB!$F$14:$F$28,RAB!$C$14:$C$28,C970)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SUMIFS(RAB!$F$14:$F$28,RAB!$C$14:$C$28,C971)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SUMIFS(RAB!$F$14:$F$28,RAB!$C$14:$C$28,C972)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SUMIFS(RAB!$F$14:$F$28,RAB!$C$14:$C$28,C973)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SUMIFS(RAB!$F$14:$F$28,RAB!$C$14:$C$28,C974)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SUMIFS(RAB!$F$14:$F$28,RAB!$C$14:$C$28,C975)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SUMIFS(RAB!$F$14:$F$28,RAB!$C$14:$C$28,C976)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SUMIFS(RAB!$F$14:$F$28,RAB!$C$14:$C$28,C977)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SUMIFS(RAB!$F$14:$F$28,RAB!$C$14:$C$28,C978)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SUMIFS(RAB!$F$14:$F$28,RAB!$C$14:$C$28,C979)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SUMIFS(RAB!$F$14:$F$28,RAB!$C$14:$C$28,C980)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SUMIFS(RAB!$F$14:$F$28,RAB!$C$14:$C$28,C981)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SUMIFS(RAB!$F$14:$F$28,RAB!$C$14:$C$28,C982)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SUMIFS(RAB!$F$14:$F$28,RAB!$C$14:$C$28,C983)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SUMIFS(RAB!$F$14:$F$28,RAB!$C$14:$C$28,C984)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SUMIFS(RAB!$F$14:$F$28,RAB!$C$14:$C$28,C985)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SUMIFS(RAB!$F$14:$F$28,RAB!$C$14:$C$28,C986)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SUMIFS(RAB!$F$14:$F$28,RAB!$C$14:$C$28,C987)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SUMIFS(RAB!$F$14:$F$28,RAB!$C$14:$C$28,C988)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SUMIFS(RAB!$F$14:$F$28,RAB!$C$14:$C$28,C989)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SUMIFS(RAB!$F$14:$F$28,RAB!$C$14:$C$28,C990)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SUMIFS(RAB!$F$14:$F$28,RAB!$C$14:$C$28,C991)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SUMIFS(RAB!$F$14:$F$28,RAB!$C$14:$C$28,C992)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SUMIFS(RAB!$F$14:$F$28,RAB!$C$14:$C$28,C993)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SUMIFS(RAB!$F$14:$F$28,RAB!$C$14:$C$28,C994)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SUMIFS(RAB!$F$14:$F$28,RAB!$C$14:$C$28,C995)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SUMIFS(RAB!$F$14:$F$28,RAB!$C$14:$C$28,C996)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SUMIFS(RAB!$F$14:$F$28,RAB!$C$14:$C$28,C997)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SUMIFS(RAB!$F$14:$F$28,RAB!$C$14:$C$28,C998)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SUMIFS(RAB!$F$14:$F$28,RAB!$C$14:$C$28,C999)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SUMIFS(RAB!$F$14:$F$28,RAB!$C$14:$C$28,C1000)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SUMIFS(RAB!$F$14:$F$28,RAB!$C$14:$C$28,C1001)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SUMIFS(RAB!$F$14:$F$28,RAB!$C$14:$C$28,C1002)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SUMIFS(RAB!$F$14:$F$28,RAB!$C$14:$C$28,C1003)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SUMIFS(RAB!$F$14:$F$28,RAB!$C$14:$C$28,C1004)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SUMIFS(RAB!$F$14:$F$28,RAB!$C$14:$C$28,C1005)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SUMIFS(RAB!$F$14:$F$28,RAB!$C$14:$C$28,C1006)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SUMIFS(RAB!$F$14:$F$28,RAB!$C$14:$C$28,C1007)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SUMIFS(RAB!$F$14:$F$28,RAB!$C$14:$C$28,C1008)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SUMIFS(RAB!$F$14:$F$28,RAB!$C$14:$C$28,C1009)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SUMIFS(RAB!$F$14:$F$28,RAB!$C$14:$C$28,C1010)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SUMIFS(RAB!$F$14:$F$28,RAB!$C$14:$C$28,C1011)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SUMIFS(RAB!$F$14:$F$28,RAB!$C$14:$C$28,C1012)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SUMIFS(RAB!$F$14:$F$28,RAB!$C$14:$C$28,C1013)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SUMIFS(RAB!$F$14:$F$28,RAB!$C$14:$C$28,C1014)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SUMIFS(RAB!$F$14:$F$28,RAB!$C$14:$C$28,C1015)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SUMIFS(RAB!$F$14:$F$28,RAB!$C$14:$C$28,C1016)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SUMIFS(RAB!$F$14:$F$28,RAB!$C$14:$C$28,C1017)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SUMIFS(RAB!$F$14:$F$28,RAB!$C$14:$C$28,C1018)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SUMIFS(RAB!$F$14:$F$28,RAB!$C$14:$C$28,C1019)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SUMIFS(RAB!$F$14:$F$28,RAB!$C$14:$C$28,C1020)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SUMIFS(RAB!$F$14:$F$28,RAB!$C$14:$C$28,C1021)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SUMIFS(RAB!$F$14:$F$28,RAB!$C$14:$C$28,C1022)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SUMIFS(RAB!$F$14:$F$28,RAB!$C$14:$C$28,C1023)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SUMIFS(RAB!$F$14:$F$28,RAB!$C$14:$C$28,C1024)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SUMIFS(RAB!$F$14:$F$28,RAB!$C$14:$C$28,C1025)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SUMIFS(RAB!$F$14:$F$28,RAB!$C$14:$C$28,C1026)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SUMIFS(RAB!$F$14:$F$28,RAB!$C$14:$C$28,C1027)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SUMIFS(RAB!$F$14:$F$28,RAB!$C$14:$C$28,C1028)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SUMIFS(RAB!$F$14:$F$28,RAB!$C$14:$C$28,C1029)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SUMIFS(RAB!$F$14:$F$28,RAB!$C$14:$C$28,C1030)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SUMIFS(RAB!$F$14:$F$28,RAB!$C$14:$C$28,C1031)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SUMIFS(RAB!$F$14:$F$28,RAB!$C$14:$C$28,C1032)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SUMIFS(RAB!$F$14:$F$28,RAB!$C$14:$C$28,C1033)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SUMIFS(RAB!$F$14:$F$28,RAB!$C$14:$C$28,C1034)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SUMIFS(RAB!$F$14:$F$28,RAB!$C$14:$C$28,C1035)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SUMIFS(RAB!$F$14:$F$28,RAB!$C$14:$C$28,C1036)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SUMIFS(RAB!$F$14:$F$28,RAB!$C$14:$C$28,C1037)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SUMIFS(RAB!$F$14:$F$28,RAB!$C$14:$C$28,C1038)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SUMIFS(RAB!$F$14:$F$28,RAB!$C$14:$C$28,C1039)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SUMIFS(RAB!$F$14:$F$28,RAB!$C$14:$C$28,C1040)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SUMIFS(RAB!$F$14:$F$28,RAB!$C$14:$C$28,C1041)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SUMIFS(RAB!$F$14:$F$28,RAB!$C$14:$C$28,C1042)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SUMIFS(RAB!$F$14:$F$28,RAB!$C$14:$C$28,C1043)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SUMIFS(RAB!$F$14:$F$28,RAB!$C$14:$C$28,C1044)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SUMIFS(RAB!$F$14:$F$28,RAB!$C$14:$C$28,C1045)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SUMIFS(RAB!$F$14:$F$28,RAB!$C$14:$C$28,C1046)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SUMIFS(RAB!$F$14:$F$28,RAB!$C$14:$C$28,C1047)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SUMIFS(RAB!$F$14:$F$28,RAB!$C$14:$C$28,C1048)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SUMIFS(RAB!$F$14:$F$28,RAB!$C$14:$C$28,C1049)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SUMIFS(RAB!$F$14:$F$28,RAB!$C$14:$C$28,C1050)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SUMIFS(RAB!$F$14:$F$28,RAB!$C$14:$C$28,C1051)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SUMIFS(RAB!$F$14:$F$28,RAB!$C$14:$C$28,C1052)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SUMIFS(RAB!$F$14:$F$28,RAB!$C$14:$C$28,C1053)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SUMIFS(RAB!$F$14:$F$28,RAB!$C$14:$C$28,C1054)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SUMIFS(RAB!$F$14:$F$28,RAB!$C$14:$C$28,C1055)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SUMIFS(RAB!$F$14:$F$28,RAB!$C$14:$C$28,C1056)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SUMIFS(RAB!$F$14:$F$28,RAB!$C$14:$C$28,C1057)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SUMIFS(RAB!$F$14:$F$28,RAB!$C$14:$C$28,C1058)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SUMIFS(RAB!$F$14:$F$28,RAB!$C$14:$C$28,C1059)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SUMIFS(RAB!$F$14:$F$28,RAB!$C$14:$C$28,C1060)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SUMIFS(RAB!$F$14:$F$28,RAB!$C$14:$C$28,C1061)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SUMIFS(RAB!$F$14:$F$28,RAB!$C$14:$C$28,C1062)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SUMIFS(RAB!$F$14:$F$28,RAB!$C$14:$C$28,C1063)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SUMIFS(RAB!$F$14:$F$28,RAB!$C$14:$C$28,C1064)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SUMIFS(RAB!$F$14:$F$28,RAB!$C$14:$C$28,C1065)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SUMIFS(RAB!$F$14:$F$28,RAB!$C$14:$C$28,C1066)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SUMIFS(RAB!$F$14:$F$28,RAB!$C$14:$C$28,C1067)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SUMIFS(RAB!$F$14:$F$28,RAB!$C$14:$C$28,C1068)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SUMIFS(RAB!$F$14:$F$28,RAB!$C$14:$C$28,C1069)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SUMIFS(RAB!$F$14:$F$28,RAB!$C$14:$C$28,C1070)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SUMIFS(RAB!$F$14:$F$28,RAB!$C$14:$C$28,C1071)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SUMIFS(RAB!$F$14:$F$28,RAB!$C$14:$C$28,C1072)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SUMIFS(RAB!$F$14:$F$28,RAB!$C$14:$C$28,C1073)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SUMIFS(RAB!$F$14:$F$28,RAB!$C$14:$C$28,C1074)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SUMIFS(RAB!$F$14:$F$28,RAB!$C$14:$C$28,C1075)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SUMIFS(RAB!$F$14:$F$28,RAB!$C$14:$C$28,C1076)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SUMIFS(RAB!$F$14:$F$28,RAB!$C$14:$C$28,C1077)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SUMIFS(RAB!$F$14:$F$28,RAB!$C$14:$C$28,C1078)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SUMIFS(RAB!$F$14:$F$28,RAB!$C$14:$C$28,C1079)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SUMIFS(RAB!$F$14:$F$28,RAB!$C$14:$C$28,C1080)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SUMIFS(RAB!$F$14:$F$28,RAB!$C$14:$C$28,C1081)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SUMIFS(RAB!$F$14:$F$28,RAB!$C$14:$C$28,C1082)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SUMIFS(RAB!$F$14:$F$28,RAB!$C$14:$C$28,C1083)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SUMIFS(RAB!$F$14:$F$28,RAB!$C$14:$C$28,C1084)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SUMIFS(RAB!$F$14:$F$28,RAB!$C$14:$C$28,C1085)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SUMIFS(RAB!$F$14:$F$28,RAB!$C$14:$C$28,C1086)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SUMIFS(RAB!$F$14:$F$28,RAB!$C$14:$C$28,C1087)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SUMIFS(RAB!$F$14:$F$28,RAB!$C$14:$C$28,C1088)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SUMIFS(RAB!$F$14:$F$28,RAB!$C$14:$C$28,C1089)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SUMIFS(RAB!$F$14:$F$28,RAB!$C$14:$C$28,C1090)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SUMIFS(RAB!$F$14:$F$28,RAB!$C$14:$C$28,C1091)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SUMIFS(RAB!$F$14:$F$28,RAB!$C$14:$C$28,C1092)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SUMIFS(RAB!$F$14:$F$28,RAB!$C$14:$C$28,C1093)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SUMIFS(RAB!$F$14:$F$28,RAB!$C$14:$C$28,C1094)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SUMIFS(RAB!$F$14:$F$28,RAB!$C$14:$C$28,C1095)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SUMIFS(RAB!$F$14:$F$28,RAB!$C$14:$C$28,C1096)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SUMIFS(RAB!$F$14:$F$28,RAB!$C$14:$C$28,C1097)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SUMIFS(RAB!$F$14:$F$28,RAB!$C$14:$C$28,C1098)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SUMIFS(RAB!$F$14:$F$28,RAB!$C$14:$C$28,C1099)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SUMIFS(RAB!$F$14:$F$28,RAB!$C$14:$C$28,C1100)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SUMIFS(RAB!$F$14:$F$28,RAB!$C$14:$C$28,C1101)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SUMIFS(RAB!$F$14:$F$28,RAB!$C$14:$C$28,C1102)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SUMIFS(RAB!$F$14:$F$28,RAB!$C$14:$C$28,C1103)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SUMIFS(RAB!$F$14:$F$28,RAB!$C$14:$C$28,C1104)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SUMIFS(RAB!$F$14:$F$28,RAB!$C$14:$C$28,C1105)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SUMIFS(RAB!$F$14:$F$28,RAB!$C$14:$C$28,C1106)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SUMIFS(RAB!$F$14:$F$28,RAB!$C$14:$C$28,C1107)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SUMIFS(RAB!$F$14:$F$28,RAB!$C$14:$C$28,C1108)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SUMIFS(RAB!$F$14:$F$28,RAB!$C$14:$C$28,C1109)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SUMIFS(RAB!$F$14:$F$28,RAB!$C$14:$C$28,C1110)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SUMIFS(RAB!$F$14:$F$28,RAB!$C$14:$C$28,C1111)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SUMIFS(RAB!$F$14:$F$28,RAB!$C$14:$C$28,C1112)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SUMIFS(RAB!$F$14:$F$28,RAB!$C$14:$C$28,C1113)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SUMIFS(RAB!$F$14:$F$28,RAB!$C$14:$C$28,C1114)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SUMIFS(RAB!$F$14:$F$28,RAB!$C$14:$C$28,C1115)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SUMIFS(RAB!$F$14:$F$28,RAB!$C$14:$C$28,C1116)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SUMIFS(RAB!$F$14:$F$28,RAB!$C$14:$C$28,C1117)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SUMIFS(RAB!$F$14:$F$28,RAB!$C$14:$C$28,C1118)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SUMIFS(RAB!$F$14:$F$28,RAB!$C$14:$C$28,C1119)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SUMIFS(RAB!$F$14:$F$28,RAB!$C$14:$C$28,C1120)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SUMIFS(RAB!$F$14:$F$28,RAB!$C$14:$C$28,C1121)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SUMIFS(RAB!$F$14:$F$28,RAB!$C$14:$C$28,C1122)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SUMIFS(RAB!$F$14:$F$28,RAB!$C$14:$C$28,C1123)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SUMIFS(RAB!$F$14:$F$28,RAB!$C$14:$C$28,C1124)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SUMIFS(RAB!$F$14:$F$28,RAB!$C$14:$C$28,C1125)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SUMIFS(RAB!$F$14:$F$28,RAB!$C$14:$C$28,C1126)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SUMIFS(RAB!$F$14:$F$28,RAB!$C$14:$C$28,C1127)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SUMIFS(RAB!$F$14:$F$28,RAB!$C$14:$C$28,C1128)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SUMIFS(RAB!$F$14:$F$28,RAB!$C$14:$C$28,C1129)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SUMIFS(RAB!$F$14:$F$28,RAB!$C$14:$C$28,C1130)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SUMIFS(RAB!$F$14:$F$28,RAB!$C$14:$C$28,C1131)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SUMIFS(RAB!$F$14:$F$28,RAB!$C$14:$C$28,C1132)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SUMIFS(RAB!$F$14:$F$28,RAB!$C$14:$C$28,C1133)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SUMIFS(RAB!$F$14:$F$28,RAB!$C$14:$C$28,C1134)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SUMIFS(RAB!$F$14:$F$28,RAB!$C$14:$C$28,C1135)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SUMIFS(RAB!$F$14:$F$28,RAB!$C$14:$C$28,C1136)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SUMIFS(RAB!$F$14:$F$28,RAB!$C$14:$C$28,C1137)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SUMIFS(RAB!$F$14:$F$28,RAB!$C$14:$C$28,C1138)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SUMIFS(RAB!$F$14:$F$28,RAB!$C$14:$C$28,C1139)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SUMIFS(RAB!$F$14:$F$28,RAB!$C$14:$C$28,C1140)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SUMIFS(RAB!$F$14:$F$28,RAB!$C$14:$C$28,C1141)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SUMIFS(RAB!$F$14:$F$28,RAB!$C$14:$C$28,C1142)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SUMIFS(RAB!$F$14:$F$28,RAB!$C$14:$C$28,C1143)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SUMIFS(RAB!$F$14:$F$28,RAB!$C$14:$C$28,C1144)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SUMIFS(RAB!$F$14:$F$28,RAB!$C$14:$C$28,C1145)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SUMIFS(RAB!$F$14:$F$28,RAB!$C$14:$C$28,C1146)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SUMIFS(RAB!$F$14:$F$28,RAB!$C$14:$C$28,C1147)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SUMIFS(RAB!$F$14:$F$28,RAB!$C$14:$C$28,C1148)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SUMIFS(RAB!$F$14:$F$28,RAB!$C$14:$C$28,C1149)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SUMIFS(RAB!$F$14:$F$28,RAB!$C$14:$C$28,C1150)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SUMIFS(RAB!$F$14:$F$28,RAB!$C$14:$C$28,C1151)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SUMIFS(RAB!$F$14:$F$28,RAB!$C$14:$C$28,C1152)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SUMIFS(RAB!$F$14:$F$28,RAB!$C$14:$C$28,C1153)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SUMIFS(RAB!$F$14:$F$28,RAB!$C$14:$C$28,C1154)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SUMIFS(RAB!$F$14:$F$28,RAB!$C$14:$C$28,C1155)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SUMIFS(RAB!$F$14:$F$28,RAB!$C$14:$C$28,C1156)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SUMIFS(RAB!$F$14:$F$28,RAB!$C$14:$C$28,C1157)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SUMIFS(RAB!$F$14:$F$28,RAB!$C$14:$C$28,C1158)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SUMIFS(RAB!$F$14:$F$28,RAB!$C$14:$C$28,C1159)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SUMIFS(RAB!$F$14:$F$28,RAB!$C$14:$C$28,C1160)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SUMIFS(RAB!$F$14:$F$28,RAB!$C$14:$C$28,C1161)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SUMIFS(RAB!$F$14:$F$28,RAB!$C$14:$C$28,C1162)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SUMIFS(RAB!$F$14:$F$28,RAB!$C$14:$C$28,C1163)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SUMIFS(RAB!$F$14:$F$28,RAB!$C$14:$C$28,C1164)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SUMIFS(RAB!$F$14:$F$28,RAB!$C$14:$C$28,C1165)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SUMIFS(RAB!$F$14:$F$28,RAB!$C$14:$C$28,C1166)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SUMIFS(RAB!$F$14:$F$28,RAB!$C$14:$C$28,C1167)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SUMIFS(RAB!$F$14:$F$28,RAB!$C$14:$C$28,C1168)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SUMIFS(RAB!$F$14:$F$28,RAB!$C$14:$C$28,C1169)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SUMIFS(RAB!$F$14:$F$28,RAB!$C$14:$C$28,C1170)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SUMIFS(RAB!$F$14:$F$28,RAB!$C$14:$C$28,C1171)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SUMIFS(RAB!$F$14:$F$28,RAB!$C$14:$C$28,C1172)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SUMIFS(RAB!$F$14:$F$28,RAB!$C$14:$C$28,C1173)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SUMIFS(RAB!$F$14:$F$28,RAB!$C$14:$C$28,C1174)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SUMIFS(RAB!$F$14:$F$28,RAB!$C$14:$C$28,C1175)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SUMIFS(RAB!$F$14:$F$28,RAB!$C$14:$C$28,C1176)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SUMIFS(RAB!$F$14:$F$28,RAB!$C$14:$C$28,C1177)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SUMIFS(RAB!$F$14:$F$28,RAB!$C$14:$C$28,C1178)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SUMIFS(RAB!$F$14:$F$28,RAB!$C$14:$C$28,C1179)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SUMIFS(RAB!$F$14:$F$28,RAB!$C$14:$C$28,C1180)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SUMIFS(RAB!$F$14:$F$28,RAB!$C$14:$C$28,C1181)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SUMIFS(RAB!$F$14:$F$28,RAB!$C$14:$C$28,C1182)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SUMIFS(RAB!$F$14:$F$28,RAB!$C$14:$C$28,C1183)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SUMIFS(RAB!$F$14:$F$28,RAB!$C$14:$C$28,C1184)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SUMIFS(RAB!$F$14:$F$28,RAB!$C$14:$C$28,C1185)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SUMIFS(RAB!$F$14:$F$28,RAB!$C$14:$C$28,C1186)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SUMIFS(RAB!$F$14:$F$28,RAB!$C$14:$C$28,C1187)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SUMIFS(RAB!$F$14:$F$28,RAB!$C$14:$C$28,C1188)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SUMIFS(RAB!$F$14:$F$28,RAB!$C$14:$C$28,C1189)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SUMIFS(RAB!$F$14:$F$28,RAB!$C$14:$C$28,C1190)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SUMIFS(RAB!$F$14:$F$28,RAB!$C$14:$C$28,C1191)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SUMIFS(RAB!$F$14:$F$28,RAB!$C$14:$C$28,C1192)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SUMIFS(RAB!$F$14:$F$28,RAB!$C$14:$C$28,C1193)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SUMIFS(RAB!$F$14:$F$28,RAB!$C$14:$C$28,C1194)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SUMIFS(RAB!$F$14:$F$28,RAB!$C$14:$C$28,C1195)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SUMIFS(RAB!$F$14:$F$28,RAB!$C$14:$C$28,C1196)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SUMIFS(RAB!$F$14:$F$28,RAB!$C$14:$C$28,C1197)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SUMIFS(RAB!$F$14:$F$28,RAB!$C$14:$C$28,C1198)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SUMIFS(RAB!$F$14:$F$28,RAB!$C$14:$C$28,C1199)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SUMIFS(RAB!$F$14:$F$28,RAB!$C$14:$C$28,C1200)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SUMIFS(RAB!$F$14:$F$28,RAB!$C$14:$C$28,C1201)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SUMIFS(RAB!$F$14:$F$28,RAB!$C$14:$C$28,C1202)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SUMIFS(RAB!$F$14:$F$28,RAB!$C$14:$C$28,C1203)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SUMIFS(RAB!$F$14:$F$28,RAB!$C$14:$C$28,C1204)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SUMIFS(RAB!$F$14:$F$28,RAB!$C$14:$C$28,C1205)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SUMIFS(RAB!$F$14:$F$28,RAB!$C$14:$C$28,C1206)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SUMIFS(RAB!$F$14:$F$28,RAB!$C$14:$C$28,C1207)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SUMIFS(RAB!$F$14:$F$28,RAB!$C$14:$C$28,C1208)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SUMIFS(RAB!$F$14:$F$28,RAB!$C$14:$C$28,C1209)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SUMIFS(RAB!$F$14:$F$28,RAB!$C$14:$C$28,C1210)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SUMIFS(RAB!$F$14:$F$28,RAB!$C$14:$C$28,C1211)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SUMIFS(RAB!$F$14:$F$28,RAB!$C$14:$C$28,C1212)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SUMIFS(RAB!$F$14:$F$28,RAB!$C$14:$C$28,C1213)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SUMIFS(RAB!$F$14:$F$28,RAB!$C$14:$C$28,C1214)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SUMIFS(RAB!$F$14:$F$28,RAB!$C$14:$C$28,C1215)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SUMIFS(RAB!$F$14:$F$28,RAB!$C$14:$C$28,C1216)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SUMIFS(RAB!$F$14:$F$28,RAB!$C$14:$C$28,C1217)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SUMIFS(RAB!$F$14:$F$28,RAB!$C$14:$C$28,C1218)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SUMIFS(RAB!$F$14:$F$28,RAB!$C$14:$C$28,C1219)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SUMIFS(RAB!$F$14:$F$28,RAB!$C$14:$C$28,C1220)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SUMIFS(RAB!$F$14:$F$28,RAB!$C$14:$C$28,C1221)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SUMIFS(RAB!$F$14:$F$28,RAB!$C$14:$C$28,C1222)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SUMIFS(RAB!$F$14:$F$28,RAB!$C$14:$C$28,C1223)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SUMIFS(RAB!$F$14:$F$28,RAB!$C$14:$C$28,C1224)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SUMIFS(RAB!$F$14:$F$28,RAB!$C$14:$C$28,C1225)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SUMIFS(RAB!$F$14:$F$28,RAB!$C$14:$C$28,C1226)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SUMIFS(RAB!$F$14:$F$28,RAB!$C$14:$C$28,C1227)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SUMIFS(RAB!$F$14:$F$28,RAB!$C$14:$C$28,C1228)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SUMIFS(RAB!$F$14:$F$28,RAB!$C$14:$C$28,C1229)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SUMIFS(RAB!$F$14:$F$28,RAB!$C$14:$C$28,C1230)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SUMIFS(RAB!$F$14:$F$28,RAB!$C$14:$C$28,C1231)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SUMIFS(RAB!$F$14:$F$28,RAB!$C$14:$C$28,C1232)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SUMIFS(RAB!$F$14:$F$28,RAB!$C$14:$C$28,C1233)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SUMIFS(RAB!$F$14:$F$28,RAB!$C$14:$C$28,C1234)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SUMIFS(RAB!$F$14:$F$28,RAB!$C$14:$C$28,C1235)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SUMIFS(RAB!$F$14:$F$28,RAB!$C$14:$C$28,C1236)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SUMIFS(RAB!$F$14:$F$28,RAB!$C$14:$C$28,C1237)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SUMIFS(RAB!$F$14:$F$28,RAB!$C$14:$C$28,C1238)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SUMIFS(RAB!$F$14:$F$28,RAB!$C$14:$C$28,C1239)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SUMIFS(RAB!$F$14:$F$28,RAB!$C$14:$C$28,C1240)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SUMIFS(RAB!$F$14:$F$28,RAB!$C$14:$C$28,C1241)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SUMIFS(RAB!$F$14:$F$28,RAB!$C$14:$C$28,C1242)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SUMIFS(RAB!$F$14:$F$28,RAB!$C$14:$C$28,C1243)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SUMIFS(RAB!$F$14:$F$28,RAB!$C$14:$C$28,C1244)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SUMIFS(RAB!$F$14:$F$28,RAB!$C$14:$C$28,C1245)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SUMIFS(RAB!$F$14:$F$28,RAB!$C$14:$C$28,C1246)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SUMIFS(RAB!$F$14:$F$28,RAB!$C$14:$C$28,C1247)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SUMIFS(RAB!$F$14:$F$28,RAB!$C$14:$C$28,C1248)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SUMIFS(RAB!$F$14:$F$28,RAB!$C$14:$C$28,C1249)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SUMIFS(RAB!$F$14:$F$28,RAB!$C$14:$C$28,C1250)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SUMIFS(RAB!$F$14:$F$28,RAB!$C$14:$C$28,C1251)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SUMIFS(RAB!$F$14:$F$28,RAB!$C$14:$C$28,C1252)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SUMIFS(RAB!$F$14:$F$28,RAB!$C$14:$C$28,C1253)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SUMIFS(RAB!$F$14:$F$28,RAB!$C$14:$C$28,C1254)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SUMIFS(RAB!$F$14:$F$28,RAB!$C$14:$C$28,C1255)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SUMIFS(RAB!$F$14:$F$28,RAB!$C$14:$C$28,C1256)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SUMIFS(RAB!$F$14:$F$28,RAB!$C$14:$C$28,C1257)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SUMIFS(RAB!$F$14:$F$28,RAB!$C$14:$C$28,C1258)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SUMIFS(RAB!$F$14:$F$28,RAB!$C$14:$C$28,C1259)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SUMIFS(RAB!$F$14:$F$28,RAB!$C$14:$C$28,C1260)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SUMIFS(RAB!$F$14:$F$28,RAB!$C$14:$C$28,C1261)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SUMIFS(RAB!$F$14:$F$28,RAB!$C$14:$C$28,C1262)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SUMIFS(RAB!$F$14:$F$28,RAB!$C$14:$C$28,C1263)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SUMIFS(RAB!$F$14:$F$28,RAB!$C$14:$C$28,C1264)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SUMIFS(RAB!$F$14:$F$28,RAB!$C$14:$C$28,C1265)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SUMIFS(RAB!$F$14:$F$28,RAB!$C$14:$C$28,C1266)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SUMIFS(RAB!$F$14:$F$28,RAB!$C$14:$C$28,C1267)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SUMIFS(RAB!$F$14:$F$28,RAB!$C$14:$C$28,C1268)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SUMIFS(RAB!$F$14:$F$28,RAB!$C$14:$C$28,C1269)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SUMIFS(RAB!$F$14:$F$28,RAB!$C$14:$C$28,C1270)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SUMIFS(RAB!$F$14:$F$28,RAB!$C$14:$C$28,C1271)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SUMIFS(RAB!$F$14:$F$28,RAB!$C$14:$C$28,C1272)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SUMIFS(RAB!$F$14:$F$28,RAB!$C$14:$C$28,C1273)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SUMIFS(RAB!$F$14:$F$28,RAB!$C$14:$C$28,C1274)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SUMIFS(RAB!$F$14:$F$28,RAB!$C$14:$C$28,C1275)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SUMIFS(RAB!$F$14:$F$28,RAB!$C$14:$C$28,C1276)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SUMIFS(RAB!$F$14:$F$28,RAB!$C$14:$C$28,C1277)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SUMIFS(RAB!$F$14:$F$28,RAB!$C$14:$C$28,C1278)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SUMIFS(RAB!$F$14:$F$28,RAB!$C$14:$C$28,C1279)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SUMIFS(RAB!$F$14:$F$28,RAB!$C$14:$C$28,C1280)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SUMIFS(RAB!$F$14:$F$28,RAB!$C$14:$C$28,C1281)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SUMIFS(RAB!$F$14:$F$28,RAB!$C$14:$C$28,C1282)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SUMIFS(RAB!$F$14:$F$28,RAB!$C$14:$C$28,C1283)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SUMIFS(RAB!$F$14:$F$28,RAB!$C$14:$C$28,C1284)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SUMIFS(RAB!$F$14:$F$28,RAB!$C$14:$C$28,C1285)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SUMIFS(RAB!$F$14:$F$28,RAB!$C$14:$C$28,C1286)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SUMIFS(RAB!$F$14:$F$28,RAB!$C$14:$C$28,C1287)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SUMIFS(RAB!$F$14:$F$28,RAB!$C$14:$C$28,C1288)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SUMIFS(RAB!$F$14:$F$28,RAB!$C$14:$C$28,C1289)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SUMIFS(RAB!$F$14:$F$28,RAB!$C$14:$C$28,C1290)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SUMIFS(RAB!$F$14:$F$28,RAB!$C$14:$C$28,C1291)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SUMIFS(RAB!$F$14:$F$28,RAB!$C$14:$C$28,C1292)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SUMIFS(RAB!$F$14:$F$28,RAB!$C$14:$C$28,C1293)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SUMIFS(RAB!$F$14:$F$28,RAB!$C$14:$C$28,C1294)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SUMIFS(RAB!$F$14:$F$28,RAB!$C$14:$C$28,C1295)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SUMIFS(RAB!$F$14:$F$28,RAB!$C$14:$C$28,C1296)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SUMIFS(RAB!$F$14:$F$28,RAB!$C$14:$C$28,C1297)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SUMIFS(RAB!$F$14:$F$28,RAB!$C$14:$C$28,C1298)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SUMIFS(RAB!$F$14:$F$28,RAB!$C$14:$C$28,C1299)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SUMIFS(RAB!$F$14:$F$28,RAB!$C$14:$C$28,C1300)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SUMIFS(RAB!$F$14:$F$28,RAB!$C$14:$C$28,C1301)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SUMIFS(RAB!$F$14:$F$28,RAB!$C$14:$C$28,C1302)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SUMIFS(RAB!$F$14:$F$28,RAB!$C$14:$C$28,C1303)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SUMIFS(RAB!$F$14:$F$28,RAB!$C$14:$C$28,C1304)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SUMIFS(RAB!$F$14:$F$28,RAB!$C$14:$C$28,C1305)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SUMIFS(RAB!$F$14:$F$28,RAB!$C$14:$C$28,C1306)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SUMIFS(RAB!$F$14:$F$28,RAB!$C$14:$C$28,C1307)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SUMIFS(RAB!$F$14:$F$28,RAB!$C$14:$C$28,C1308)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SUMIFS(RAB!$F$14:$F$28,RAB!$C$14:$C$28,C1309)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SUMIFS(RAB!$F$14:$F$28,RAB!$C$14:$C$28,C1310)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SUMIFS(RAB!$F$14:$F$28,RAB!$C$14:$C$28,C1311)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SUMIFS(RAB!$F$14:$F$28,RAB!$C$14:$C$28,C1312)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SUMIFS(RAB!$F$14:$F$28,RAB!$C$14:$C$28,C1313)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SUMIFS(RAB!$F$14:$F$28,RAB!$C$14:$C$28,C1314)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SUMIFS(RAB!$F$14:$F$28,RAB!$C$14:$C$28,C1315)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SUMIFS(RAB!$F$14:$F$28,RAB!$C$14:$C$28,C1316)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SUMIFS(RAB!$F$14:$F$28,RAB!$C$14:$C$28,C1317)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SUMIFS(RAB!$F$14:$F$28,RAB!$C$14:$C$28,C1318)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SUMIFS(RAB!$F$14:$F$28,RAB!$C$14:$C$28,C1319)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SUMIFS(RAB!$F$14:$F$28,RAB!$C$14:$C$28,C1320)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1127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MASCHANAH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KUWU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6" t="s">
        <v>41</v>
      </c>
      <c r="H11" s="545" t="s">
        <v>3</v>
      </c>
      <c r="I11" s="545"/>
      <c r="J11" s="545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35"/>
      <c r="E12" s="535"/>
      <c r="F12" s="535"/>
      <c r="G12" s="547"/>
      <c r="H12" s="537" t="s">
        <v>46</v>
      </c>
      <c r="I12" s="537" t="s">
        <v>5</v>
      </c>
      <c r="J12" s="535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35"/>
      <c r="E13" s="535"/>
      <c r="F13" s="535"/>
      <c r="G13" s="548"/>
      <c r="H13" s="538"/>
      <c r="I13" s="538"/>
      <c r="J13" s="535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3" t="s">
        <v>1008</v>
      </c>
      <c r="D38" s="533"/>
      <c r="E38" s="533"/>
      <c r="F38" s="53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4" t="s">
        <v>462</v>
      </c>
      <c r="D39" s="534"/>
      <c r="E39" s="534"/>
      <c r="F39" s="53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3" t="s">
        <v>463</v>
      </c>
      <c r="D40" s="523"/>
      <c r="E40" s="523"/>
      <c r="F40" s="52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6" t="e">
        <f ca="1">"Terbilang : ( "&amp;L42&amp;" Rupiah )"</f>
        <v>#NAME?</v>
      </c>
      <c r="C41" s="527"/>
      <c r="D41" s="527"/>
      <c r="E41" s="527"/>
      <c r="F41" s="527"/>
      <c r="G41" s="527"/>
      <c r="H41" s="527"/>
      <c r="I41" s="527"/>
      <c r="J41" s="527"/>
      <c r="K41" s="528"/>
      <c r="L41" s="44"/>
      <c r="R41" s="58"/>
      <c r="S41" s="58"/>
      <c r="T41" s="58"/>
    </row>
    <row r="42" spans="1:20" s="36" customFormat="1">
      <c r="A42" s="30"/>
      <c r="B42" s="529"/>
      <c r="C42" s="530"/>
      <c r="D42" s="530"/>
      <c r="E42" s="530"/>
      <c r="F42" s="530"/>
      <c r="G42" s="530"/>
      <c r="H42" s="530"/>
      <c r="I42" s="530"/>
      <c r="J42" s="530"/>
      <c r="K42" s="53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4"/>
      <c r="I45" s="524"/>
      <c r="J45" s="525"/>
      <c r="K45" s="52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4"/>
      <c r="I46" s="524"/>
      <c r="J46" s="525"/>
      <c r="K46" s="52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4"/>
      <c r="I47" s="524"/>
      <c r="J47" s="525"/>
      <c r="K47" s="52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4"/>
      <c r="I52" s="524"/>
      <c r="J52" s="525"/>
      <c r="K52" s="52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SUMIFS(RAB!$F$14:$F$28,RAB!$C$14:$C$28,'REKAP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SUMIFS(RAB!$F$14:$F$28,RAB!$C$14:$C$28,'REKAP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SUMIFS(RAB!$F$14:$F$28,RAB!$C$14:$C$28,'REKAP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SUMIFS(RAB!$F$14:$F$28,RAB!$C$14:$C$28,'REKAP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SUMIFS(RAB!$F$14:$F$28,RAB!$C$14:$C$28,'REKAP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SUMIFS(RAB!$F$14:$F$28,RAB!$C$14:$C$28,'REKAP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SUMIFS(RAB!$F$14:$F$28,RAB!$C$14:$C$28,'REKAP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SUMIFS(RAB!$F$14:$F$28,RAB!$C$14:$C$28,'REKAP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SUMIFS(RAB!$F$14:$F$28,RAB!$C$14:$C$28,'REKAP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SUMIFS(RAB!$F$14:$F$28,RAB!$C$14:$C$28,'REKAP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SUMIFS(RAB!$F$14:$F$28,RAB!$C$14:$C$28,'REKAP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SUMIFS(RAB!$F$14:$F$28,RAB!$C$14:$C$28,'REKAP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SUMIFS(RAB!$F$14:$F$28,RAB!$C$14:$C$28,'REKAP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SUMIFS(RAB!$F$14:$F$28,RAB!$C$14:$C$28,'REKAP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SUMIFS(RAB!$F$14:$F$28,RAB!$C$14:$C$28,'REKAP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SUMIFS(RAB!$F$14:$F$28,RAB!$C$14:$C$28,'REKAP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SUMIFS(RAB!$F$14:$F$28,RAB!$C$14:$C$28,'REKAP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SUMIFS(RAB!$F$14:$F$28,RAB!$C$14:$C$28,'REKAP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SUMIFS(RAB!$F$14:$F$28,RAB!$C$14:$C$28,'REKAP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SUMIFS(RAB!$F$14:$F$28,RAB!$C$14:$C$28,'REKAP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1034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MASCHANAH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KUWU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6" t="s">
        <v>41</v>
      </c>
      <c r="H11" s="545" t="s">
        <v>3</v>
      </c>
      <c r="I11" s="545"/>
      <c r="J11" s="545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35"/>
      <c r="E12" s="535"/>
      <c r="F12" s="535"/>
      <c r="G12" s="547"/>
      <c r="H12" s="537" t="s">
        <v>46</v>
      </c>
      <c r="I12" s="537" t="s">
        <v>5</v>
      </c>
      <c r="J12" s="535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35"/>
      <c r="E13" s="535"/>
      <c r="F13" s="535"/>
      <c r="G13" s="548"/>
      <c r="H13" s="538"/>
      <c r="I13" s="538"/>
      <c r="J13" s="535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ca="1">IF(ISERROR(OFFSET($C$223,MATCH(A16,$F$224:$F$373,0),0)),"",OFFSET($C$223,MATCH(A16,$F$224:$F$373,0),0))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ca="1">IF(ISERROR(OFFSET($D$223,MATCH(A16,$F$224:$F$373,0),0)),"",OFFSET($D$223,MATCH(A16,$F$224:$F$373,0),0))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3" t="s">
        <v>1008</v>
      </c>
      <c r="D168" s="533"/>
      <c r="E168" s="533"/>
      <c r="F168" s="533"/>
      <c r="G168" s="77" t="s">
        <v>9</v>
      </c>
      <c r="H168" s="55">
        <f ca="1">SUM(H14:H167)</f>
        <v>0</v>
      </c>
      <c r="I168" s="55">
        <f ca="1">SUM(I14:I167)</f>
        <v>0</v>
      </c>
      <c r="J168" s="55">
        <f ca="1">SUM(J14:J167)</f>
        <v>0</v>
      </c>
      <c r="K168" s="55">
        <f ca="1">SUM(K14:K167)</f>
        <v>0</v>
      </c>
      <c r="L168" s="44"/>
      <c r="R168" s="99"/>
      <c r="S168" s="99"/>
      <c r="T168" s="99"/>
    </row>
    <row r="169" spans="1:20" s="36" customFormat="1">
      <c r="A169" s="30"/>
      <c r="B169" s="56"/>
      <c r="C169" s="534" t="s">
        <v>462</v>
      </c>
      <c r="D169" s="534"/>
      <c r="E169" s="534"/>
      <c r="F169" s="534"/>
      <c r="G169" s="59" t="s">
        <v>9</v>
      </c>
      <c r="H169" s="60">
        <f ca="1">H168*0.1</f>
        <v>0</v>
      </c>
      <c r="I169" s="60">
        <f ca="1">I168*0.1</f>
        <v>0</v>
      </c>
      <c r="J169" s="60">
        <f ca="1">J168*0.1</f>
        <v>0</v>
      </c>
      <c r="K169" s="60">
        <f ca="1">K168*0.1</f>
        <v>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3" t="s">
        <v>463</v>
      </c>
      <c r="D170" s="523"/>
      <c r="E170" s="523"/>
      <c r="F170" s="523"/>
      <c r="G170" s="61" t="s">
        <v>9</v>
      </c>
      <c r="H170" s="78">
        <f ca="1">SUM(H168:H169)</f>
        <v>0</v>
      </c>
      <c r="I170" s="78">
        <f ca="1">SUM(I168:I169)</f>
        <v>0</v>
      </c>
      <c r="J170" s="61">
        <f ca="1">SUM(J168:J169)</f>
        <v>0</v>
      </c>
      <c r="K170" s="61">
        <f ca="1">SUM(K168:K169)</f>
        <v>0</v>
      </c>
      <c r="L170" s="44"/>
      <c r="R170" s="99"/>
      <c r="S170" s="99"/>
      <c r="T170" s="99"/>
    </row>
    <row r="171" spans="1:20" s="36" customFormat="1">
      <c r="A171" s="30"/>
      <c r="B171" s="526" t="e">
        <f ca="1">"Terbilang : ( "&amp;L172&amp;" Rupiah )"</f>
        <v>#NAME?</v>
      </c>
      <c r="C171" s="527"/>
      <c r="D171" s="527"/>
      <c r="E171" s="527"/>
      <c r="F171" s="527"/>
      <c r="G171" s="527"/>
      <c r="H171" s="527"/>
      <c r="I171" s="527"/>
      <c r="J171" s="527"/>
      <c r="K171" s="528"/>
      <c r="L171" s="44"/>
      <c r="R171" s="58"/>
      <c r="S171" s="58"/>
      <c r="T171" s="58"/>
    </row>
    <row r="172" spans="1:20" s="36" customFormat="1">
      <c r="A172" s="30"/>
      <c r="B172" s="529"/>
      <c r="C172" s="530"/>
      <c r="D172" s="530"/>
      <c r="E172" s="530"/>
      <c r="F172" s="530"/>
      <c r="G172" s="530"/>
      <c r="H172" s="530"/>
      <c r="I172" s="530"/>
      <c r="J172" s="530"/>
      <c r="K172" s="53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4"/>
      <c r="I175" s="524"/>
      <c r="J175" s="525"/>
      <c r="K175" s="52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4"/>
      <c r="I176" s="524"/>
      <c r="J176" s="525"/>
      <c r="K176" s="52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4"/>
      <c r="I177" s="524"/>
      <c r="J177" s="525"/>
      <c r="K177" s="52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4"/>
      <c r="I182" s="524"/>
      <c r="J182" s="525"/>
      <c r="K182" s="52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SUMIFS(RAB!$F$14:$F$28,RAB!$C$14:$C$28,C224)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SUMIFS(RAB!$F$14:$F$28,RAB!$C$14:$C$28,C225)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SUMIFS(RAB!$F$14:$F$28,RAB!$C$14:$C$28,C226)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SUMIFS(RAB!$F$14:$F$28,RAB!$C$14:$C$28,C227)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SUMIFS(RAB!$F$14:$F$28,RAB!$C$14:$C$28,C228)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SUMIFS(RAB!$F$14:$F$28,RAB!$C$14:$C$28,C229)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SUMIFS(RAB!$F$14:$F$28,RAB!$C$14:$C$28,C230)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SUMIFS(RAB!$F$14:$F$28,RAB!$C$14:$C$28,C231)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SUMIFS(RAB!$F$14:$F$28,RAB!$C$14:$C$28,C232)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SUMIFS(RAB!$F$14:$F$28,RAB!$C$14:$C$28,C233)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SUMIFS(RAB!$F$14:$F$28,RAB!$C$14:$C$28,C234)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SUMIFS(RAB!$F$14:$F$28,RAB!$C$14:$C$28,C235)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SUMIFS(RAB!$F$14:$F$28,RAB!$C$14:$C$28,C236)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SUMIFS(RAB!$F$14:$F$28,RAB!$C$14:$C$28,C237)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SUMIFS(RAB!$F$14:$F$28,RAB!$C$14:$C$28,C238)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SUMIFS(RAB!$F$14:$F$28,RAB!$C$14:$C$28,C239)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SUMIFS(RAB!$F$14:$F$28,RAB!$C$14:$C$28,C240)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SUMIFS(RAB!$F$14:$F$28,RAB!$C$14:$C$28,C241)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SUMIFS(RAB!$F$14:$F$28,RAB!$C$14:$C$28,C242)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SUMIFS(RAB!$F$14:$F$28,RAB!$C$14:$C$28,C243)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SUMIFS(RAB!$F$14:$F$28,RAB!$C$14:$C$28,C244)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SUMIFS(RAB!$F$14:$F$28,RAB!$C$14:$C$28,C245)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SUMIFS(RAB!$F$14:$F$28,RAB!$C$14:$C$28,C246)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SUMIFS(RAB!$F$14:$F$28,RAB!$C$14:$C$28,C247)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SUMIFS(RAB!$F$14:$F$28,RAB!$C$14:$C$28,C248)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SUMIFS(RAB!$F$14:$F$28,RAB!$C$14:$C$28,C249)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SUMIFS(RAB!$F$14:$F$28,RAB!$C$14:$C$28,C250)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SUMIFS(RAB!$F$14:$F$28,RAB!$C$14:$C$28,C251)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SUMIFS(RAB!$F$14:$F$28,RAB!$C$14:$C$28,C252)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SUMIFS(RAB!$F$14:$F$28,RAB!$C$14:$C$28,C253)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SUMIFS(RAB!$F$14:$F$28,RAB!$C$14:$C$28,C254)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SUMIFS(RAB!$F$14:$F$28,RAB!$C$14:$C$28,C255)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SUMIFS(RAB!$F$14:$F$28,RAB!$C$14:$C$28,C256)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SUMIFS(RAB!$F$14:$F$28,RAB!$C$14:$C$28,C257)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SUMIFS(RAB!$F$14:$F$28,RAB!$C$14:$C$28,C258)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SUMIFS(RAB!$F$14:$F$28,RAB!$C$14:$C$28,C259)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SUMIFS(RAB!$F$14:$F$28,RAB!$C$14:$C$28,C260)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SUMIFS(RAB!$F$14:$F$28,RAB!$C$14:$C$28,C261)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SUMIFS(RAB!$F$14:$F$28,RAB!$C$14:$C$28,C262)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SUMIFS(RAB!$F$14:$F$28,RAB!$C$14:$C$28,C263)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SUMIFS(RAB!$F$14:$F$28,RAB!$C$14:$C$28,C264)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SUMIFS(RAB!$F$14:$F$28,RAB!$C$14:$C$28,C265)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SUMIFS(RAB!$F$14:$F$28,RAB!$C$14:$C$28,C266)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SUMIFS(RAB!$F$14:$F$28,RAB!$C$14:$C$28,C267)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SUMIFS(RAB!$F$14:$F$28,RAB!$C$14:$C$28,C268)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SUMIFS(RAB!$F$14:$F$28,RAB!$C$14:$C$28,C269)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SUMIFS(RAB!$F$14:$F$28,RAB!$C$14:$C$28,C270)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SUMIFS(RAB!$F$14:$F$28,RAB!$C$14:$C$28,C271)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SUMIFS(RAB!$F$14:$F$28,RAB!$C$14:$C$28,C272)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SUMIFS(RAB!$F$14:$F$28,RAB!$C$14:$C$28,C273)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SUMIFS(RAB!$F$14:$F$28,RAB!$C$14:$C$28,C274)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SUMIFS(RAB!$F$14:$F$28,RAB!$C$14:$C$28,C275)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SUMIFS(RAB!$F$14:$F$28,RAB!$C$14:$C$28,C276)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SUMIFS(RAB!$F$14:$F$28,RAB!$C$14:$C$28,C277)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SUMIFS(RAB!$F$14:$F$28,RAB!$C$14:$C$28,C278)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SUMIFS(RAB!$F$14:$F$28,RAB!$C$14:$C$28,C279)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SUMIFS(RAB!$F$14:$F$28,RAB!$C$14:$C$28,C280)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SUMIFS(RAB!$F$14:$F$28,RAB!$C$14:$C$28,C281)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SUMIFS(RAB!$F$14:$F$28,RAB!$C$14:$C$28,C282)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SUMIFS(RAB!$F$14:$F$28,RAB!$C$14:$C$28,C283)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SUMIFS(RAB!$F$14:$F$28,RAB!$C$14:$C$28,C284)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SUMIFS(RAB!$F$14:$F$28,RAB!$C$14:$C$28,C285)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SUMIFS(RAB!$F$14:$F$28,RAB!$C$14:$C$28,C286)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SUMIFS(RAB!$F$14:$F$28,RAB!$C$14:$C$28,C287)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SUMIFS(RAB!$F$14:$F$28,RAB!$C$14:$C$28,C288)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SUMIFS(RAB!$F$14:$F$28,RAB!$C$14:$C$28,C289)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SUMIFS(RAB!$F$14:$F$28,RAB!$C$14:$C$28,C290)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SUMIFS(RAB!$F$14:$F$28,RAB!$C$14:$C$28,C291)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SUMIFS(RAB!$F$14:$F$28,RAB!$C$14:$C$28,C292)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SUMIFS(RAB!$F$14:$F$28,RAB!$C$14:$C$28,C293)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SUMIFS(RAB!$F$14:$F$28,RAB!$C$14:$C$28,C294)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SUMIFS(RAB!$F$14:$F$28,RAB!$C$14:$C$28,C295)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SUMIFS(RAB!$F$14:$F$28,RAB!$C$14:$C$28,C296)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SUMIFS(RAB!$F$14:$F$28,RAB!$C$14:$C$28,C297)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SUMIFS(RAB!$F$14:$F$28,RAB!$C$14:$C$28,C298)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SUMIFS(RAB!$F$14:$F$28,RAB!$C$14:$C$28,C299)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SUMIFS(RAB!$F$14:$F$28,RAB!$C$14:$C$28,C300)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SUMIFS(RAB!$F$14:$F$28,RAB!$C$14:$C$28,C301)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SUMIFS(RAB!$F$14:$F$28,RAB!$C$14:$C$28,C302)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SUMIFS(RAB!$F$14:$F$28,RAB!$C$14:$C$28,C303)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SUMIFS(RAB!$F$14:$F$28,RAB!$C$14:$C$28,C304)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SUMIFS(RAB!$F$14:$F$28,RAB!$C$14:$C$28,C305)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SUMIFS(RAB!$F$14:$F$28,RAB!$C$14:$C$28,C306)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SUMIFS(RAB!$F$14:$F$28,RAB!$C$14:$C$28,C307)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SUMIFS(RAB!$F$14:$F$28,RAB!$C$14:$C$28,C308)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SUMIFS(RAB!$F$14:$F$28,RAB!$C$14:$C$28,C309)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SUMIFS(RAB!$F$14:$F$28,RAB!$C$14:$C$28,C310)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SUMIFS(RAB!$F$14:$F$28,RAB!$C$14:$C$28,C311)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SUMIFS(RAB!$F$14:$F$28,RAB!$C$14:$C$28,C312)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SUMIFS(RAB!$F$14:$F$28,RAB!$C$14:$C$28,C313)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SUMIFS(RAB!$F$14:$F$28,RAB!$C$14:$C$28,C314)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SUMIFS(RAB!$F$14:$F$28,RAB!$C$14:$C$28,C315)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SUMIFS(RAB!$F$14:$F$28,RAB!$C$14:$C$28,C316)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SUMIFS(RAB!$F$14:$F$28,RAB!$C$14:$C$28,C317)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SUMIFS(RAB!$F$14:$F$28,RAB!$C$14:$C$28,C318)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SUMIFS(RAB!$F$14:$F$28,RAB!$C$14:$C$28,C319)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SUMIFS(RAB!$F$14:$F$28,RAB!$C$14:$C$28,C320)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SUMIFS(RAB!$F$14:$F$28,RAB!$C$14:$C$28,C321)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SUMIFS(RAB!$F$14:$F$28,RAB!$C$14:$C$28,C322)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SUMIFS(RAB!$F$14:$F$28,RAB!$C$14:$C$28,C323)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SUMIFS(RAB!$F$14:$F$28,RAB!$C$14:$C$28,C324)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SUMIFS(RAB!$F$14:$F$28,RAB!$C$14:$C$28,C325)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SUMIFS(RAB!$F$14:$F$28,RAB!$C$14:$C$28,C326)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SUMIFS(RAB!$F$14:$F$28,RAB!$C$14:$C$28,C327)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SUMIFS(RAB!$F$14:$F$28,RAB!$C$14:$C$28,C328)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SUMIFS(RAB!$F$14:$F$28,RAB!$C$14:$C$28,C329)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SUMIFS(RAB!$F$14:$F$28,RAB!$C$14:$C$28,C330)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SUMIFS(RAB!$F$14:$F$28,RAB!$C$14:$C$28,C331)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SUMIFS(RAB!$F$14:$F$28,RAB!$C$14:$C$28,C332)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SUMIFS(RAB!$F$14:$F$28,RAB!$C$14:$C$28,C333)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SUMIFS(RAB!$F$14:$F$28,RAB!$C$14:$C$28,C334)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SUMIFS(RAB!$F$14:$F$28,RAB!$C$14:$C$28,C335)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SUMIFS(RAB!$F$14:$F$28,RAB!$C$14:$C$28,C336)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SUMIFS(RAB!$F$14:$F$28,RAB!$C$14:$C$28,C337)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SUMIFS(RAB!$F$14:$F$28,RAB!$C$14:$C$28,C338)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SUMIFS(RAB!$F$14:$F$28,RAB!$C$14:$C$28,C339)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SUMIFS(RAB!$F$14:$F$28,RAB!$C$14:$C$28,C340)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SUMIFS(RAB!$F$14:$F$28,RAB!$C$14:$C$28,C341)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SUMIFS(RAB!$F$14:$F$28,RAB!$C$14:$C$28,C342)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SUMIFS(RAB!$F$14:$F$28,RAB!$C$14:$C$28,C343)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SUMIFS(RAB!$F$14:$F$28,RAB!$C$14:$C$28,C344)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SUMIFS(RAB!$F$14:$F$28,RAB!$C$14:$C$28,C345)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SUMIFS(RAB!$F$14:$F$28,RAB!$C$14:$C$28,C346)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SUMIFS(RAB!$F$14:$F$28,RAB!$C$14:$C$28,C347)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SUMIFS(RAB!$F$14:$F$28,RAB!$C$14:$C$28,C348)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SUMIFS(RAB!$F$14:$F$28,RAB!$C$14:$C$28,C349)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SUMIFS(RAB!$F$14:$F$28,RAB!$C$14:$C$28,C350)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SUMIFS(RAB!$F$14:$F$28,RAB!$C$14:$C$28,C351)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SUMIFS(RAB!$F$14:$F$28,RAB!$C$14:$C$28,C352)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SUMIFS(RAB!$F$14:$F$28,RAB!$C$14:$C$28,C353)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SUMIFS(RAB!$F$14:$F$28,RAB!$C$14:$C$28,C354)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SUMIFS(RAB!$F$14:$F$28,RAB!$C$14:$C$28,C355)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SUMIFS(RAB!$F$14:$F$28,RAB!$C$14:$C$28,C356)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SUMIFS(RAB!$F$14:$F$28,RAB!$C$14:$C$28,C357)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SUMIFS(RAB!$F$14:$F$28,RAB!$C$14:$C$28,C358)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SUMIFS(RAB!$F$14:$F$28,RAB!$C$14:$C$28,C359)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SUMIFS(RAB!$F$14:$F$28,RAB!$C$14:$C$28,C360)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SUMIFS(RAB!$F$14:$F$28,RAB!$C$14:$C$28,C361)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SUMIFS(RAB!$F$14:$F$28,RAB!$C$14:$C$28,C362)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SUMIFS(RAB!$F$14:$F$28,RAB!$C$14:$C$28,C363)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SUMIFS(RAB!$F$14:$F$28,RAB!$C$14:$C$28,C364)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SUMIFS(RAB!$F$14:$F$28,RAB!$C$14:$C$28,C365)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SUMIFS(RAB!$F$14:$F$28,RAB!$C$14:$C$28,C366)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SUMIFS(RAB!$F$14:$F$28,RAB!$C$14:$C$28,C367)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SUMIFS(RAB!$F$14:$F$28,RAB!$C$14:$C$28,C368)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SUMIFS(RAB!$F$14:$F$28,RAB!$C$14:$C$28,C369)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SUMIFS(RAB!$F$14:$F$28,RAB!$C$14:$C$28,C370)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SUMIFS(RAB!$F$14:$F$28,RAB!$C$14:$C$28,C371)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SUMIFS(RAB!$F$14:$F$28,RAB!$C$14:$C$28,C372)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SUMIFS(RAB!$F$14:$F$28,RAB!$C$14:$C$28,C373)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36" sqref="C23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1" t="s">
        <v>41</v>
      </c>
      <c r="C2" s="55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2" t="s">
        <v>23</v>
      </c>
      <c r="C4" s="553" t="s">
        <v>1012</v>
      </c>
      <c r="D4" s="553" t="s">
        <v>42</v>
      </c>
      <c r="E4" s="552" t="s">
        <v>43</v>
      </c>
      <c r="F4" s="108" t="s">
        <v>1605</v>
      </c>
      <c r="G4" s="108" t="s">
        <v>1604</v>
      </c>
      <c r="H4" s="55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2"/>
      <c r="C5" s="553"/>
      <c r="D5" s="553"/>
      <c r="E5" s="552"/>
      <c r="F5" s="93"/>
      <c r="G5" s="93"/>
      <c r="H5" s="550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D16" sqref="D16:E16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8" t="s">
        <v>1454</v>
      </c>
      <c r="C2" s="558"/>
      <c r="D2" s="558"/>
      <c r="E2" s="558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3" t="s">
        <v>1532</v>
      </c>
      <c r="C4" s="564"/>
      <c r="D4" s="564"/>
      <c r="E4" s="565"/>
      <c r="F4" s="434"/>
      <c r="G4" s="434"/>
      <c r="H4" s="435"/>
      <c r="I4" s="588" t="s">
        <v>1533</v>
      </c>
      <c r="J4" s="589"/>
      <c r="K4" s="589"/>
      <c r="L4" s="590"/>
    </row>
    <row r="5" spans="1:12" ht="46.5" customHeight="1">
      <c r="A5" s="204"/>
      <c r="B5" s="437" t="s">
        <v>1379</v>
      </c>
      <c r="C5" s="277" t="s">
        <v>9</v>
      </c>
      <c r="D5" s="559" t="str">
        <f>DATA!D14</f>
        <v>MASCHANAH</v>
      </c>
      <c r="E5" s="560"/>
      <c r="F5" s="208"/>
      <c r="G5" s="208"/>
      <c r="I5" s="438" t="s">
        <v>1379</v>
      </c>
      <c r="J5" s="277" t="s">
        <v>9</v>
      </c>
      <c r="K5" s="591" t="str">
        <f>D5</f>
        <v>MASCHANAH</v>
      </c>
      <c r="L5" s="592"/>
    </row>
    <row r="6" spans="1:12" ht="31.5" customHeight="1">
      <c r="A6" s="204"/>
      <c r="B6" s="437" t="s">
        <v>1529</v>
      </c>
      <c r="C6" s="277" t="s">
        <v>9</v>
      </c>
      <c r="D6" s="568">
        <f>DATA!D17*1000</f>
        <v>23000</v>
      </c>
      <c r="E6" s="569"/>
      <c r="F6" s="208"/>
      <c r="G6" s="208"/>
      <c r="I6" s="438" t="s">
        <v>1530</v>
      </c>
      <c r="J6" s="277" t="s">
        <v>9</v>
      </c>
      <c r="K6" s="593">
        <f>DATA!D20*1000</f>
        <v>33000</v>
      </c>
      <c r="L6" s="594"/>
    </row>
    <row r="7" spans="1:12" ht="30.75" customHeight="1">
      <c r="A7" s="204"/>
      <c r="B7" s="437" t="s">
        <v>1441</v>
      </c>
      <c r="C7" s="277" t="s">
        <v>9</v>
      </c>
      <c r="D7" s="566">
        <f>DATA!D18</f>
        <v>3</v>
      </c>
      <c r="E7" s="567"/>
      <c r="F7" s="436" t="s">
        <v>1453</v>
      </c>
      <c r="I7" s="438" t="s">
        <v>1441</v>
      </c>
      <c r="J7" s="277" t="s">
        <v>9</v>
      </c>
      <c r="K7" s="595">
        <f>DATA!D21</f>
        <v>3</v>
      </c>
      <c r="L7" s="596"/>
    </row>
    <row r="8" spans="1:12" ht="51" customHeight="1">
      <c r="A8" s="204"/>
      <c r="B8" s="437" t="s">
        <v>1442</v>
      </c>
      <c r="C8" s="277" t="s">
        <v>9</v>
      </c>
      <c r="D8" s="566">
        <f>DATA!D19</f>
        <v>380</v>
      </c>
      <c r="E8" s="567"/>
      <c r="F8" s="436" t="s">
        <v>1453</v>
      </c>
      <c r="G8" s="431">
        <v>220</v>
      </c>
      <c r="I8" s="438" t="s">
        <v>1442</v>
      </c>
      <c r="J8" s="277" t="s">
        <v>9</v>
      </c>
      <c r="K8" s="595">
        <f>DATA!D22</f>
        <v>380</v>
      </c>
      <c r="L8" s="596"/>
    </row>
    <row r="9" spans="1:12" ht="30" customHeight="1" thickBot="1">
      <c r="A9" s="204"/>
      <c r="B9" s="443" t="s">
        <v>1541</v>
      </c>
      <c r="C9" s="433" t="s">
        <v>9</v>
      </c>
      <c r="D9" s="561">
        <f>IF(D7=1,D6/(380/3^0.5),(D6/(380*3^0.5)))</f>
        <v>34.94488471410893</v>
      </c>
      <c r="E9" s="562"/>
      <c r="F9" s="207"/>
      <c r="G9" s="432">
        <v>380</v>
      </c>
      <c r="I9" s="444" t="s">
        <v>1541</v>
      </c>
      <c r="J9" s="433" t="s">
        <v>9</v>
      </c>
      <c r="K9" s="597">
        <f>IF(K7=1,K6/(380/3^0.5),(K6/(380*3^0.5)))</f>
        <v>50.138312850678034</v>
      </c>
      <c r="L9" s="598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0" t="s">
        <v>1616</v>
      </c>
      <c r="E12" s="571"/>
      <c r="F12" s="208"/>
      <c r="G12" s="208"/>
      <c r="I12" s="460" t="s">
        <v>1534</v>
      </c>
      <c r="J12" s="461" t="s">
        <v>9</v>
      </c>
      <c r="K12" s="570"/>
      <c r="L12" s="571"/>
    </row>
    <row r="13" spans="1:12" ht="31.5" customHeight="1">
      <c r="A13" s="204"/>
      <c r="B13" s="468" t="s">
        <v>1380</v>
      </c>
      <c r="C13" s="448" t="s">
        <v>9</v>
      </c>
      <c r="D13" s="574" t="s">
        <v>1617</v>
      </c>
      <c r="E13" s="575"/>
      <c r="F13" s="208"/>
      <c r="G13" s="208"/>
      <c r="I13" s="462" t="s">
        <v>1380</v>
      </c>
      <c r="J13" s="448" t="s">
        <v>9</v>
      </c>
      <c r="K13" s="574"/>
      <c r="L13" s="575"/>
    </row>
    <row r="14" spans="1:12" ht="30.75" customHeight="1">
      <c r="A14" s="204"/>
      <c r="B14" s="468" t="s">
        <v>1535</v>
      </c>
      <c r="C14" s="448" t="s">
        <v>9</v>
      </c>
      <c r="D14" s="582">
        <v>100</v>
      </c>
      <c r="E14" s="583"/>
      <c r="F14" s="436" t="s">
        <v>1453</v>
      </c>
      <c r="G14" s="440">
        <v>50</v>
      </c>
      <c r="I14" s="462" t="s">
        <v>1535</v>
      </c>
      <c r="J14" s="448" t="s">
        <v>9</v>
      </c>
      <c r="K14" s="582"/>
      <c r="L14" s="583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4">
        <v>72</v>
      </c>
      <c r="E16" s="585"/>
      <c r="F16" s="436"/>
      <c r="G16" s="440">
        <v>160</v>
      </c>
      <c r="I16" s="462" t="s">
        <v>1537</v>
      </c>
      <c r="J16" s="448" t="s">
        <v>9</v>
      </c>
      <c r="K16" s="586">
        <f>K9</f>
        <v>50.138312850678034</v>
      </c>
      <c r="L16" s="587"/>
    </row>
    <row r="17" spans="1:12" ht="34.5" customHeight="1">
      <c r="A17" s="204"/>
      <c r="B17" s="468" t="s">
        <v>1538</v>
      </c>
      <c r="C17" s="448" t="s">
        <v>9</v>
      </c>
      <c r="D17" s="576">
        <f>IF(D15=1,D14/(20/3^0.5),(D14/(20*3^0.5)))</f>
        <v>2.8867513459481291</v>
      </c>
      <c r="E17" s="577"/>
      <c r="F17" s="436" t="s">
        <v>1453</v>
      </c>
      <c r="G17" s="441">
        <v>200</v>
      </c>
      <c r="I17" s="462" t="s">
        <v>1538</v>
      </c>
      <c r="J17" s="448" t="s">
        <v>9</v>
      </c>
      <c r="K17" s="580">
        <f>IF(K15=1,K14/(20/3^0.5),(K14/(20*3^0.5)))</f>
        <v>0</v>
      </c>
      <c r="L17" s="581"/>
    </row>
    <row r="18" spans="1:12" ht="34.5" customHeight="1">
      <c r="A18" s="204"/>
      <c r="B18" s="468" t="s">
        <v>1539</v>
      </c>
      <c r="C18" s="448" t="s">
        <v>9</v>
      </c>
      <c r="D18" s="576">
        <f>IF(D15=1,D14/(380/3^0.5),(D14/(380*3^0.5)))*1000</f>
        <v>151.93428136569102</v>
      </c>
      <c r="E18" s="577"/>
      <c r="F18" s="436" t="s">
        <v>1453</v>
      </c>
      <c r="G18" s="441">
        <v>250</v>
      </c>
      <c r="I18" s="462" t="s">
        <v>1539</v>
      </c>
      <c r="J18" s="448" t="s">
        <v>9</v>
      </c>
      <c r="K18" s="580">
        <f>IF(K15=1,K14/(380/3^0.5),(K14/(380*3^0.5)))*1000</f>
        <v>0</v>
      </c>
      <c r="L18" s="581"/>
    </row>
    <row r="19" spans="1:12" ht="30" customHeight="1">
      <c r="A19" s="204"/>
      <c r="B19" s="469" t="s">
        <v>1531</v>
      </c>
      <c r="C19" s="447" t="s">
        <v>9</v>
      </c>
      <c r="D19" s="576">
        <f>IF(D15=1,D14/(380/3^0.5),(D14/(380*3^0.5)))</f>
        <v>0.15193428136569101</v>
      </c>
      <c r="E19" s="577"/>
      <c r="F19" s="207"/>
      <c r="G19" s="432"/>
      <c r="I19" s="464" t="s">
        <v>1531</v>
      </c>
      <c r="J19" s="447" t="s">
        <v>9</v>
      </c>
      <c r="K19" s="580">
        <f>IF(K15=1,K14/(380/3^0.5),(K14/(380*3^0.5)))</f>
        <v>0</v>
      </c>
      <c r="L19" s="581"/>
    </row>
    <row r="20" spans="1:12" ht="30" customHeight="1" thickBot="1">
      <c r="A20" s="204"/>
      <c r="B20" s="470" t="s">
        <v>1540</v>
      </c>
      <c r="C20" s="466" t="s">
        <v>9</v>
      </c>
      <c r="D20" s="572">
        <f>D16/D18</f>
        <v>0.47388910095084474</v>
      </c>
      <c r="E20" s="573"/>
      <c r="F20" s="207"/>
      <c r="G20" s="432"/>
      <c r="I20" s="465" t="s">
        <v>1531</v>
      </c>
      <c r="J20" s="466" t="s">
        <v>9</v>
      </c>
      <c r="K20" s="578" t="e">
        <f>K16/K18</f>
        <v>#DIV/0!</v>
      </c>
      <c r="L20" s="579"/>
    </row>
    <row r="21" spans="1:12" ht="9.75" customHeight="1">
      <c r="A21" s="204"/>
      <c r="B21" s="455" t="s">
        <v>1540</v>
      </c>
      <c r="C21" s="456" t="s">
        <v>9</v>
      </c>
      <c r="D21" s="557">
        <v>1</v>
      </c>
      <c r="E21" s="557"/>
      <c r="F21" s="457"/>
      <c r="G21" s="458"/>
      <c r="H21" s="459"/>
      <c r="I21" s="455" t="s">
        <v>1531</v>
      </c>
      <c r="J21" s="456" t="s">
        <v>9</v>
      </c>
      <c r="K21" s="557">
        <v>1</v>
      </c>
      <c r="L21" s="557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4"/>
      <c r="C24" s="555"/>
      <c r="D24" s="555"/>
      <c r="E24" s="556"/>
      <c r="I24" s="554"/>
      <c r="J24" s="555"/>
      <c r="K24" s="555"/>
      <c r="L24" s="556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K11" sqref="K1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9"/>
      <c r="C1" s="599"/>
      <c r="D1" s="59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9690000</v>
      </c>
    </row>
    <row r="10" spans="2:11" ht="20.100000000000001" customHeight="1">
      <c r="B10" s="291" t="s">
        <v>1446</v>
      </c>
      <c r="C10" s="292" t="s">
        <v>9</v>
      </c>
      <c r="D10" s="298">
        <f ca="1">RAB!K34</f>
        <v>1536235.56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30724.711200000002</v>
      </c>
    </row>
    <row r="12" spans="2:11" ht="9" customHeight="1">
      <c r="B12" s="600"/>
      <c r="C12" s="600"/>
      <c r="D12" s="600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1620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23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33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5" sqref="K15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1" t="s">
        <v>1357</v>
      </c>
      <c r="C3" s="601"/>
      <c r="D3" s="601"/>
      <c r="E3" s="601"/>
      <c r="F3" s="305" t="str">
        <f>DATA!D14</f>
        <v>MASCHANAH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2" t="s">
        <v>1349</v>
      </c>
      <c r="C5" s="602" t="s">
        <v>1358</v>
      </c>
      <c r="D5" s="603" t="s">
        <v>1359</v>
      </c>
      <c r="E5" s="603" t="s">
        <v>1360</v>
      </c>
      <c r="F5" s="602" t="s">
        <v>1361</v>
      </c>
      <c r="G5" s="602"/>
      <c r="H5" s="602"/>
      <c r="I5" s="602"/>
      <c r="J5" s="602"/>
      <c r="K5" s="602" t="s">
        <v>1362</v>
      </c>
      <c r="L5" s="602"/>
      <c r="M5" s="307"/>
      <c r="N5" s="606" t="s">
        <v>1363</v>
      </c>
      <c r="O5" s="603" t="s">
        <v>1364</v>
      </c>
      <c r="P5" s="603" t="s">
        <v>1365</v>
      </c>
      <c r="Q5" s="603" t="s">
        <v>1366</v>
      </c>
      <c r="R5" s="308"/>
      <c r="S5" s="309"/>
      <c r="T5" s="604" t="s">
        <v>1367</v>
      </c>
      <c r="U5" s="310"/>
    </row>
    <row r="6" spans="1:21" ht="20.100000000000001" customHeight="1">
      <c r="B6" s="602"/>
      <c r="C6" s="602"/>
      <c r="D6" s="602"/>
      <c r="E6" s="60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7"/>
      <c r="O6" s="602"/>
      <c r="P6" s="602"/>
      <c r="Q6" s="602"/>
      <c r="R6" s="308"/>
      <c r="S6" s="309"/>
      <c r="T6" s="602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1600</v>
      </c>
      <c r="D7" s="316">
        <f>C7*4/24</f>
        <v>266.66666666666669</v>
      </c>
      <c r="E7" s="316">
        <f>C7-D7</f>
        <v>1333.3333333333333</v>
      </c>
      <c r="F7" s="317">
        <f ca="1">DATA!D10/1000000</f>
        <v>1.5362355600000002</v>
      </c>
      <c r="G7" s="318">
        <f ca="1">DATA!$D$11/1000000</f>
        <v>3.0724711200000001E-2</v>
      </c>
      <c r="H7" s="318">
        <f>C7*DATA!$D$5/1000000</f>
        <v>1.7346000734185345</v>
      </c>
      <c r="I7" s="318">
        <f>(C7*DATA!$D$5*DATA!$D$7)/1000000</f>
        <v>3.9028501651917021E-2</v>
      </c>
      <c r="J7" s="316">
        <f ca="1">SUM(F7:I7)</f>
        <v>3.3405888462704518</v>
      </c>
      <c r="K7" s="319">
        <f>DATA!D9/1000000</f>
        <v>9.69</v>
      </c>
      <c r="L7" s="316">
        <f>((D7*DATA!$D$23)/1000000)+((E7*DATA!$D$24)/1000000)</f>
        <v>2.3115199999999998</v>
      </c>
      <c r="M7" s="316">
        <f>K7+L7</f>
        <v>12.001519999999999</v>
      </c>
      <c r="N7" s="316">
        <f ca="1">M7-J7</f>
        <v>8.6609311537295479</v>
      </c>
      <c r="O7" s="314">
        <v>1</v>
      </c>
      <c r="P7" s="316">
        <f ca="1">O7*N7</f>
        <v>8.6609311537295479</v>
      </c>
      <c r="Q7" s="316">
        <f ca="1">P7</f>
        <v>8.6609311537295479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4800</v>
      </c>
      <c r="D8" s="316">
        <f>C8*4/24</f>
        <v>800</v>
      </c>
      <c r="E8" s="316">
        <f t="shared" ref="E8:E32" si="0">C8-D8</f>
        <v>4000</v>
      </c>
      <c r="F8" s="314"/>
      <c r="G8" s="318">
        <f ca="1">DATA!$D$11/1000000</f>
        <v>3.0724711200000001E-2</v>
      </c>
      <c r="H8" s="318">
        <f>C8*DATA!$D$5/1000000</f>
        <v>5.2038002202556042</v>
      </c>
      <c r="I8" s="318">
        <f>(C8*DATA!$D$5*DATA!$D$7)/1000000</f>
        <v>0.11708550495575108</v>
      </c>
      <c r="J8" s="316">
        <f t="shared" ref="J8:J32" ca="1" si="1">SUM(F8:I8)</f>
        <v>5.3516104364113559</v>
      </c>
      <c r="K8" s="321"/>
      <c r="L8" s="316">
        <f>((D8*DATA!$D$23)/1000000)+((E8*DATA!$D$24)/1000000)</f>
        <v>6.9345600000000003</v>
      </c>
      <c r="M8" s="316">
        <f t="shared" ref="M8:M32" si="2">K8+L8</f>
        <v>6.9345600000000003</v>
      </c>
      <c r="N8" s="316">
        <f ca="1">M8-J8</f>
        <v>1.5829495635886444</v>
      </c>
      <c r="O8" s="315">
        <f>1/(1+'[92]Asumsi I'!$C$3)^(KKF!A8)</f>
        <v>0.89285714285714279</v>
      </c>
      <c r="P8" s="316">
        <f ca="1">O8*N8</f>
        <v>1.413347824632718</v>
      </c>
      <c r="Q8" s="316">
        <f ca="1">Q7+P8</f>
        <v>10.074278978362265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4800</v>
      </c>
      <c r="D9" s="316">
        <f t="shared" ref="D9:D32" si="5">C9*4/24</f>
        <v>800</v>
      </c>
      <c r="E9" s="316">
        <f t="shared" si="0"/>
        <v>4000</v>
      </c>
      <c r="F9" s="314"/>
      <c r="G9" s="318">
        <f ca="1">DATA!$D$11/1000000</f>
        <v>3.0724711200000001E-2</v>
      </c>
      <c r="H9" s="318">
        <f>C9*DATA!$D$5/1000000</f>
        <v>5.2038002202556042</v>
      </c>
      <c r="I9" s="318">
        <f>(C9*DATA!$D$5*DATA!$D$7)/1000000</f>
        <v>0.11708550495575108</v>
      </c>
      <c r="J9" s="316">
        <f t="shared" ca="1" si="1"/>
        <v>5.3516104364113559</v>
      </c>
      <c r="K9" s="316"/>
      <c r="L9" s="316">
        <f>((D9*DATA!$D$23)/1000000)+((E9*DATA!$D$24)/1000000)</f>
        <v>6.9345600000000003</v>
      </c>
      <c r="M9" s="316">
        <f t="shared" si="2"/>
        <v>6.9345600000000003</v>
      </c>
      <c r="N9" s="316">
        <f t="shared" ref="N9:N32" ca="1" si="6">M9-J9</f>
        <v>1.5829495635886444</v>
      </c>
      <c r="O9" s="322">
        <f>1/(1+'[92]Asumsi I'!$C$3)^(KKF!A9)</f>
        <v>0.79719387755102034</v>
      </c>
      <c r="P9" s="316">
        <f t="shared" ref="P9:P32" ca="1" si="7">O9*N9</f>
        <v>1.2619177005649269</v>
      </c>
      <c r="Q9" s="316">
        <f ca="1">Q8+P9</f>
        <v>11.336196678927193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4800</v>
      </c>
      <c r="D10" s="316">
        <f t="shared" si="5"/>
        <v>800</v>
      </c>
      <c r="E10" s="316">
        <f t="shared" si="0"/>
        <v>4000</v>
      </c>
      <c r="F10" s="314"/>
      <c r="G10" s="318">
        <f ca="1">DATA!$D$11/1000000</f>
        <v>3.0724711200000001E-2</v>
      </c>
      <c r="H10" s="318">
        <f>C10*DATA!$D$5/1000000</f>
        <v>5.2038002202556042</v>
      </c>
      <c r="I10" s="318">
        <f>(C10*DATA!$D$5*DATA!$D$7)/1000000</f>
        <v>0.11708550495575108</v>
      </c>
      <c r="J10" s="316">
        <f t="shared" ca="1" si="1"/>
        <v>5.3516104364113559</v>
      </c>
      <c r="K10" s="314"/>
      <c r="L10" s="316">
        <f>((D10*DATA!$D$23)/1000000)+((E10*DATA!$D$24)/1000000)</f>
        <v>6.9345600000000003</v>
      </c>
      <c r="M10" s="316">
        <f t="shared" si="2"/>
        <v>6.9345600000000003</v>
      </c>
      <c r="N10" s="316">
        <f t="shared" ca="1" si="6"/>
        <v>1.5829495635886444</v>
      </c>
      <c r="O10" s="315">
        <f>1/(1+'[92]Asumsi I'!$C$3)^(KKF!A10)</f>
        <v>0.71178024781341087</v>
      </c>
      <c r="P10" s="316">
        <f t="shared" ca="1" si="7"/>
        <v>1.1267122326472558</v>
      </c>
      <c r="Q10" s="316">
        <f t="shared" ref="Q10:Q30" ca="1" si="9">Q9+P10</f>
        <v>12.462908911574448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4800</v>
      </c>
      <c r="D11" s="316">
        <f t="shared" si="5"/>
        <v>800</v>
      </c>
      <c r="E11" s="316">
        <f t="shared" si="0"/>
        <v>4000</v>
      </c>
      <c r="F11" s="314"/>
      <c r="G11" s="318">
        <f ca="1">DATA!$D$11/1000000</f>
        <v>3.0724711200000001E-2</v>
      </c>
      <c r="H11" s="318">
        <f>C11*DATA!$D$5/1000000</f>
        <v>5.2038002202556042</v>
      </c>
      <c r="I11" s="318">
        <f>(C11*DATA!$D$5*DATA!$D$7)/1000000</f>
        <v>0.11708550495575108</v>
      </c>
      <c r="J11" s="316">
        <f t="shared" ca="1" si="1"/>
        <v>5.3516104364113559</v>
      </c>
      <c r="K11" s="314"/>
      <c r="L11" s="316">
        <f>((D11*DATA!$D$23)/1000000)+((E11*DATA!$D$24)/1000000)</f>
        <v>6.9345600000000003</v>
      </c>
      <c r="M11" s="316">
        <f t="shared" si="2"/>
        <v>6.9345600000000003</v>
      </c>
      <c r="N11" s="316">
        <f t="shared" ca="1" si="6"/>
        <v>1.5829495635886444</v>
      </c>
      <c r="O11" s="315">
        <f>1/(1+'[92]Asumsi I'!$C$3)^(KKF!A11)</f>
        <v>0.63551807840483121</v>
      </c>
      <c r="P11" s="316">
        <f t="shared" ca="1" si="7"/>
        <v>1.0059930648636215</v>
      </c>
      <c r="Q11" s="316">
        <f t="shared" ca="1" si="9"/>
        <v>13.468901976438071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4800</v>
      </c>
      <c r="D12" s="316">
        <f t="shared" si="5"/>
        <v>800</v>
      </c>
      <c r="E12" s="316">
        <f t="shared" si="0"/>
        <v>4000</v>
      </c>
      <c r="F12" s="314"/>
      <c r="G12" s="318">
        <f ca="1">DATA!$D$11/1000000</f>
        <v>3.0724711200000001E-2</v>
      </c>
      <c r="H12" s="318">
        <f>C12*DATA!$D$5/1000000</f>
        <v>5.2038002202556042</v>
      </c>
      <c r="I12" s="318">
        <f>(C12*DATA!$D$5*DATA!$D$7)/1000000</f>
        <v>0.11708550495575108</v>
      </c>
      <c r="J12" s="316">
        <f t="shared" ca="1" si="1"/>
        <v>5.3516104364113559</v>
      </c>
      <c r="K12" s="314"/>
      <c r="L12" s="316">
        <f>((D12*DATA!$D$23)/1000000)+((E12*DATA!$D$24)/1000000)</f>
        <v>6.9345600000000003</v>
      </c>
      <c r="M12" s="316">
        <f t="shared" si="2"/>
        <v>6.9345600000000003</v>
      </c>
      <c r="N12" s="316">
        <f t="shared" ca="1" si="6"/>
        <v>1.5829495635886444</v>
      </c>
      <c r="O12" s="315">
        <f>1/(1+'[92]Asumsi I'!$C$3)^(KKF!A12)</f>
        <v>0.56742685571859919</v>
      </c>
      <c r="P12" s="316">
        <f t="shared" ca="1" si="7"/>
        <v>0.89820809362823328</v>
      </c>
      <c r="Q12" s="316">
        <f t="shared" ca="1" si="9"/>
        <v>14.367110070066303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4800</v>
      </c>
      <c r="D13" s="316">
        <f t="shared" si="5"/>
        <v>800</v>
      </c>
      <c r="E13" s="316">
        <f t="shared" si="0"/>
        <v>4000</v>
      </c>
      <c r="F13" s="314"/>
      <c r="G13" s="318">
        <f ca="1">DATA!$D$11/1000000</f>
        <v>3.0724711200000001E-2</v>
      </c>
      <c r="H13" s="318">
        <f>C13*DATA!$D$5/1000000</f>
        <v>5.2038002202556042</v>
      </c>
      <c r="I13" s="318">
        <f>(C13*DATA!$D$5*DATA!$D$7)/1000000</f>
        <v>0.11708550495575108</v>
      </c>
      <c r="J13" s="316">
        <f t="shared" ca="1" si="1"/>
        <v>5.3516104364113559</v>
      </c>
      <c r="K13" s="314"/>
      <c r="L13" s="316">
        <f>((D13*DATA!$D$23)/1000000)+((E13*DATA!$D$24)/1000000)</f>
        <v>6.9345600000000003</v>
      </c>
      <c r="M13" s="316">
        <f t="shared" si="2"/>
        <v>6.9345600000000003</v>
      </c>
      <c r="N13" s="316">
        <f t="shared" ca="1" si="6"/>
        <v>1.5829495635886444</v>
      </c>
      <c r="O13" s="315">
        <f>1/(1+'[92]Asumsi I'!$C$3)^(KKF!A13)</f>
        <v>0.50663112117732068</v>
      </c>
      <c r="P13" s="316">
        <f t="shared" ca="1" si="7"/>
        <v>0.80197151216806539</v>
      </c>
      <c r="Q13" s="316">
        <f t="shared" ca="1" si="9"/>
        <v>15.169081582234369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4800</v>
      </c>
      <c r="D14" s="316">
        <f t="shared" si="5"/>
        <v>800</v>
      </c>
      <c r="E14" s="316">
        <f t="shared" si="0"/>
        <v>4000</v>
      </c>
      <c r="F14" s="314"/>
      <c r="G14" s="318">
        <f ca="1">DATA!$D$11/1000000</f>
        <v>3.0724711200000001E-2</v>
      </c>
      <c r="H14" s="318">
        <f>C14*DATA!$D$5/1000000</f>
        <v>5.2038002202556042</v>
      </c>
      <c r="I14" s="318">
        <f>(C14*DATA!$D$5*DATA!$D$7)/1000000</f>
        <v>0.11708550495575108</v>
      </c>
      <c r="J14" s="316">
        <f t="shared" ca="1" si="1"/>
        <v>5.3516104364113559</v>
      </c>
      <c r="K14" s="314"/>
      <c r="L14" s="316">
        <f>((D14*DATA!$D$23)/1000000)+((E14*DATA!$D$24)/1000000)</f>
        <v>6.9345600000000003</v>
      </c>
      <c r="M14" s="316">
        <f t="shared" si="2"/>
        <v>6.9345600000000003</v>
      </c>
      <c r="N14" s="316">
        <f t="shared" ca="1" si="6"/>
        <v>1.5829495635886444</v>
      </c>
      <c r="O14" s="315">
        <f>1/(1+'[92]Asumsi I'!$C$3)^(KKF!A14)</f>
        <v>0.45234921533689343</v>
      </c>
      <c r="P14" s="316">
        <f t="shared" ca="1" si="7"/>
        <v>0.71604599300720118</v>
      </c>
      <c r="Q14" s="316">
        <f t="shared" ca="1" si="9"/>
        <v>15.885127575241571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4800</v>
      </c>
      <c r="D15" s="316">
        <f t="shared" si="5"/>
        <v>800</v>
      </c>
      <c r="E15" s="316">
        <f t="shared" si="0"/>
        <v>4000</v>
      </c>
      <c r="F15" s="314"/>
      <c r="G15" s="318">
        <f ca="1">DATA!$D$11/1000000</f>
        <v>3.0724711200000001E-2</v>
      </c>
      <c r="H15" s="318">
        <f>C15*DATA!$D$5/1000000</f>
        <v>5.2038002202556042</v>
      </c>
      <c r="I15" s="318">
        <f>(C15*DATA!$D$5*DATA!$D$7)/1000000</f>
        <v>0.11708550495575108</v>
      </c>
      <c r="J15" s="316">
        <f t="shared" ca="1" si="1"/>
        <v>5.3516104364113559</v>
      </c>
      <c r="K15" s="314"/>
      <c r="L15" s="316">
        <f>((D15*DATA!$D$23)/1000000)+((E15*DATA!$D$24)/1000000)</f>
        <v>6.9345600000000003</v>
      </c>
      <c r="M15" s="316">
        <f t="shared" si="2"/>
        <v>6.9345600000000003</v>
      </c>
      <c r="N15" s="316">
        <f t="shared" ca="1" si="6"/>
        <v>1.5829495635886444</v>
      </c>
      <c r="O15" s="315">
        <f>1/(1+'[92]Asumsi I'!$C$3)^(KKF!A15)</f>
        <v>0.4038832279793691</v>
      </c>
      <c r="P15" s="316">
        <f t="shared" ca="1" si="7"/>
        <v>0.63932677947071526</v>
      </c>
      <c r="Q15" s="316">
        <f t="shared" ca="1" si="9"/>
        <v>16.524454354712287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4800</v>
      </c>
      <c r="D16" s="316">
        <f t="shared" si="5"/>
        <v>800</v>
      </c>
      <c r="E16" s="316">
        <f t="shared" si="0"/>
        <v>4000</v>
      </c>
      <c r="F16" s="314"/>
      <c r="G16" s="318">
        <f ca="1">DATA!$D$11/1000000</f>
        <v>3.0724711200000001E-2</v>
      </c>
      <c r="H16" s="318">
        <f>C16*DATA!$D$5/1000000</f>
        <v>5.2038002202556042</v>
      </c>
      <c r="I16" s="318">
        <f>(C16*DATA!$D$5*DATA!$D$7)/1000000</f>
        <v>0.11708550495575108</v>
      </c>
      <c r="J16" s="316">
        <f t="shared" ca="1" si="1"/>
        <v>5.3516104364113559</v>
      </c>
      <c r="K16" s="314"/>
      <c r="L16" s="316">
        <f>((D16*DATA!$D$23)/1000000)+((E16*DATA!$D$24)/1000000)</f>
        <v>6.9345600000000003</v>
      </c>
      <c r="M16" s="316">
        <f t="shared" si="2"/>
        <v>6.9345600000000003</v>
      </c>
      <c r="N16" s="316">
        <f t="shared" ca="1" si="6"/>
        <v>1.5829495635886444</v>
      </c>
      <c r="O16" s="315">
        <f>1/(1+'[92]Asumsi I'!$C$3)^(KKF!A16)</f>
        <v>0.36061002498157957</v>
      </c>
      <c r="P16" s="316">
        <f t="shared" ca="1" si="7"/>
        <v>0.57082748167028152</v>
      </c>
      <c r="Q16" s="316">
        <f t="shared" ca="1" si="9"/>
        <v>17.095281836382568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4800</v>
      </c>
      <c r="D17" s="316">
        <f t="shared" si="5"/>
        <v>800</v>
      </c>
      <c r="E17" s="316">
        <f t="shared" si="0"/>
        <v>4000</v>
      </c>
      <c r="F17" s="314"/>
      <c r="G17" s="318">
        <f ca="1">DATA!$D$11/1000000</f>
        <v>3.0724711200000001E-2</v>
      </c>
      <c r="H17" s="318">
        <f>C17*DATA!$D$5/1000000</f>
        <v>5.2038002202556042</v>
      </c>
      <c r="I17" s="318">
        <f>(C17*DATA!$D$5*DATA!$D$7)/1000000</f>
        <v>0.11708550495575108</v>
      </c>
      <c r="J17" s="316">
        <f t="shared" ca="1" si="1"/>
        <v>5.3516104364113559</v>
      </c>
      <c r="K17" s="314"/>
      <c r="L17" s="316">
        <f>((D17*DATA!$D$23)/1000000)+((E17*DATA!$D$24)/1000000)</f>
        <v>6.9345600000000003</v>
      </c>
      <c r="M17" s="316">
        <f t="shared" si="2"/>
        <v>6.9345600000000003</v>
      </c>
      <c r="N17" s="316">
        <f t="shared" ca="1" si="6"/>
        <v>1.5829495635886444</v>
      </c>
      <c r="O17" s="315">
        <f>1/(1+'[92]Asumsi I'!$C$3)^(KKF!A17)</f>
        <v>0.32197323659069599</v>
      </c>
      <c r="P17" s="316">
        <f t="shared" ca="1" si="7"/>
        <v>0.50966739434846553</v>
      </c>
      <c r="Q17" s="316">
        <f t="shared" ca="1" si="9"/>
        <v>17.604949230731034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4800</v>
      </c>
      <c r="D18" s="316">
        <f t="shared" si="5"/>
        <v>800</v>
      </c>
      <c r="E18" s="316">
        <f t="shared" si="0"/>
        <v>4000</v>
      </c>
      <c r="F18" s="314"/>
      <c r="G18" s="318">
        <f ca="1">DATA!$D$11/1000000</f>
        <v>3.0724711200000001E-2</v>
      </c>
      <c r="H18" s="318">
        <f>C18*DATA!$D$5/1000000</f>
        <v>5.2038002202556042</v>
      </c>
      <c r="I18" s="318">
        <f>(C18*DATA!$D$5*DATA!$D$7)/1000000</f>
        <v>0.11708550495575108</v>
      </c>
      <c r="J18" s="316">
        <f t="shared" ca="1" si="1"/>
        <v>5.3516104364113559</v>
      </c>
      <c r="K18" s="314"/>
      <c r="L18" s="316">
        <f>((D18*DATA!$D$23)/1000000)+((E18*DATA!$D$24)/1000000)</f>
        <v>6.9345600000000003</v>
      </c>
      <c r="M18" s="316">
        <f t="shared" si="2"/>
        <v>6.9345600000000003</v>
      </c>
      <c r="N18" s="316">
        <f t="shared" ca="1" si="6"/>
        <v>1.5829495635886444</v>
      </c>
      <c r="O18" s="315">
        <f>1/(1+'[92]Asumsi I'!$C$3)^(KKF!A18)</f>
        <v>0.28747610409883567</v>
      </c>
      <c r="P18" s="316">
        <f t="shared" ca="1" si="7"/>
        <v>0.45506017352541561</v>
      </c>
      <c r="Q18" s="316">
        <f t="shared" ca="1" si="9"/>
        <v>18.060009404256448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4800</v>
      </c>
      <c r="D19" s="316">
        <f t="shared" si="5"/>
        <v>800</v>
      </c>
      <c r="E19" s="316">
        <f t="shared" si="0"/>
        <v>4000</v>
      </c>
      <c r="F19" s="314"/>
      <c r="G19" s="318">
        <f ca="1">DATA!$D$11/1000000</f>
        <v>3.0724711200000001E-2</v>
      </c>
      <c r="H19" s="318">
        <f>C19*DATA!$D$5/1000000</f>
        <v>5.2038002202556042</v>
      </c>
      <c r="I19" s="318">
        <f>(C19*DATA!$D$5*DATA!$D$7)/1000000</f>
        <v>0.11708550495575108</v>
      </c>
      <c r="J19" s="316">
        <f t="shared" ca="1" si="1"/>
        <v>5.3516104364113559</v>
      </c>
      <c r="K19" s="314"/>
      <c r="L19" s="316">
        <f>((D19*DATA!$D$23)/1000000)+((E19*DATA!$D$24)/1000000)</f>
        <v>6.9345600000000003</v>
      </c>
      <c r="M19" s="316">
        <f t="shared" si="2"/>
        <v>6.9345600000000003</v>
      </c>
      <c r="N19" s="316">
        <f t="shared" ca="1" si="6"/>
        <v>1.5829495635886444</v>
      </c>
      <c r="O19" s="315">
        <f>1/(1+'[92]Asumsi I'!$C$3)^(KKF!A19)</f>
        <v>0.25667509294538904</v>
      </c>
      <c r="P19" s="316">
        <f t="shared" ca="1" si="7"/>
        <v>0.40630372636197831</v>
      </c>
      <c r="Q19" s="316">
        <f t="shared" ca="1" si="9"/>
        <v>18.466313130618428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4800</v>
      </c>
      <c r="D20" s="316">
        <f t="shared" si="5"/>
        <v>800</v>
      </c>
      <c r="E20" s="316">
        <f t="shared" si="0"/>
        <v>4000</v>
      </c>
      <c r="F20" s="314"/>
      <c r="G20" s="318">
        <f ca="1">DATA!$D$11/1000000</f>
        <v>3.0724711200000001E-2</v>
      </c>
      <c r="H20" s="318">
        <f>C20*DATA!$D$5/1000000</f>
        <v>5.2038002202556042</v>
      </c>
      <c r="I20" s="318">
        <f>(C20*DATA!$D$5*DATA!$D$7)/1000000</f>
        <v>0.11708550495575108</v>
      </c>
      <c r="J20" s="316">
        <f t="shared" ca="1" si="1"/>
        <v>5.3516104364113559</v>
      </c>
      <c r="K20" s="314"/>
      <c r="L20" s="316">
        <f>((D20*DATA!$D$23)/1000000)+((E20*DATA!$D$24)/1000000)</f>
        <v>6.9345600000000003</v>
      </c>
      <c r="M20" s="316">
        <f t="shared" si="2"/>
        <v>6.9345600000000003</v>
      </c>
      <c r="N20" s="316">
        <f t="shared" ca="1" si="6"/>
        <v>1.5829495635886444</v>
      </c>
      <c r="O20" s="315">
        <f>1/(1+'[92]Asumsi I'!$C$3)^(KKF!A20)</f>
        <v>0.22917419012981158</v>
      </c>
      <c r="P20" s="316">
        <f t="shared" ca="1" si="7"/>
        <v>0.36277118425176624</v>
      </c>
      <c r="Q20" s="316">
        <f t="shared" ca="1" si="9"/>
        <v>18.829084314870194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4800</v>
      </c>
      <c r="D21" s="316">
        <f t="shared" si="5"/>
        <v>800</v>
      </c>
      <c r="E21" s="316">
        <f t="shared" si="0"/>
        <v>4000</v>
      </c>
      <c r="F21" s="314"/>
      <c r="G21" s="318">
        <f ca="1">DATA!$D$11/1000000</f>
        <v>3.0724711200000001E-2</v>
      </c>
      <c r="H21" s="318">
        <f>C21*DATA!$D$5/1000000</f>
        <v>5.2038002202556042</v>
      </c>
      <c r="I21" s="318">
        <f>(C21*DATA!$D$5*DATA!$D$7)/1000000</f>
        <v>0.11708550495575108</v>
      </c>
      <c r="J21" s="316">
        <f t="shared" ca="1" si="1"/>
        <v>5.3516104364113559</v>
      </c>
      <c r="K21" s="314"/>
      <c r="L21" s="316">
        <f>((D21*DATA!$D$23)/1000000)+((E21*DATA!$D$24)/1000000)</f>
        <v>6.9345600000000003</v>
      </c>
      <c r="M21" s="316">
        <f t="shared" si="2"/>
        <v>6.9345600000000003</v>
      </c>
      <c r="N21" s="316">
        <f t="shared" ca="1" si="6"/>
        <v>1.5829495635886444</v>
      </c>
      <c r="O21" s="315">
        <f>1/(1+'[92]Asumsi I'!$C$3)^(KKF!A21)</f>
        <v>0.20461981261590317</v>
      </c>
      <c r="P21" s="316">
        <f t="shared" ca="1" si="7"/>
        <v>0.32390284308193412</v>
      </c>
      <c r="Q21" s="316">
        <f t="shared" ca="1" si="9"/>
        <v>19.152987157952129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4800</v>
      </c>
      <c r="D22" s="316">
        <f t="shared" si="5"/>
        <v>800</v>
      </c>
      <c r="E22" s="316">
        <f t="shared" si="0"/>
        <v>4000</v>
      </c>
      <c r="F22" s="314"/>
      <c r="G22" s="318">
        <f ca="1">DATA!$D$11/1000000</f>
        <v>3.0724711200000001E-2</v>
      </c>
      <c r="H22" s="318">
        <f>C22*DATA!$D$5/1000000</f>
        <v>5.2038002202556042</v>
      </c>
      <c r="I22" s="318">
        <f>(C22*DATA!$D$5*DATA!$D$7)/1000000</f>
        <v>0.11708550495575108</v>
      </c>
      <c r="J22" s="316">
        <f t="shared" ca="1" si="1"/>
        <v>5.3516104364113559</v>
      </c>
      <c r="K22" s="314"/>
      <c r="L22" s="316">
        <f>((D22*DATA!$D$23)/1000000)+((E22*DATA!$D$24)/1000000)</f>
        <v>6.9345600000000003</v>
      </c>
      <c r="M22" s="316">
        <f t="shared" si="2"/>
        <v>6.9345600000000003</v>
      </c>
      <c r="N22" s="316">
        <f t="shared" ca="1" si="6"/>
        <v>1.5829495635886444</v>
      </c>
      <c r="O22" s="315">
        <f>1/(1+'[92]Asumsi I'!$C$3)^(KKF!A22)</f>
        <v>0.18269626126419927</v>
      </c>
      <c r="P22" s="316">
        <f t="shared" ca="1" si="7"/>
        <v>0.28919896703744119</v>
      </c>
      <c r="Q22" s="316">
        <f t="shared" ca="1" si="9"/>
        <v>19.442186124989572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4800</v>
      </c>
      <c r="D23" s="316">
        <f t="shared" si="5"/>
        <v>800</v>
      </c>
      <c r="E23" s="316">
        <f t="shared" si="0"/>
        <v>4000</v>
      </c>
      <c r="F23" s="314"/>
      <c r="G23" s="318">
        <f ca="1">DATA!$D$11/1000000</f>
        <v>3.0724711200000001E-2</v>
      </c>
      <c r="H23" s="318">
        <f>C23*DATA!$D$5/1000000</f>
        <v>5.2038002202556042</v>
      </c>
      <c r="I23" s="318">
        <f>(C23*DATA!$D$5*DATA!$D$7)/1000000</f>
        <v>0.11708550495575108</v>
      </c>
      <c r="J23" s="316">
        <f t="shared" ca="1" si="1"/>
        <v>5.3516104364113559</v>
      </c>
      <c r="K23" s="314"/>
      <c r="L23" s="316">
        <f>((D23*DATA!$D$23)/1000000)+((E23*DATA!$D$24)/1000000)</f>
        <v>6.9345600000000003</v>
      </c>
      <c r="M23" s="316">
        <f t="shared" si="2"/>
        <v>6.9345600000000003</v>
      </c>
      <c r="N23" s="316">
        <f t="shared" ca="1" si="6"/>
        <v>1.5829495635886444</v>
      </c>
      <c r="O23" s="315">
        <f>1/(1+'[92]Asumsi I'!$C$3)^(KKF!A23)</f>
        <v>0.16312166184303503</v>
      </c>
      <c r="P23" s="316">
        <f t="shared" ca="1" si="7"/>
        <v>0.2582133634262867</v>
      </c>
      <c r="Q23" s="316">
        <f t="shared" ca="1" si="9"/>
        <v>19.700399488415858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4800</v>
      </c>
      <c r="D24" s="316">
        <f t="shared" si="5"/>
        <v>800</v>
      </c>
      <c r="E24" s="316">
        <f t="shared" si="0"/>
        <v>4000</v>
      </c>
      <c r="F24" s="314"/>
      <c r="G24" s="318">
        <f ca="1">DATA!$D$11/1000000</f>
        <v>3.0724711200000001E-2</v>
      </c>
      <c r="H24" s="318">
        <f>C24*DATA!$D$5/1000000</f>
        <v>5.2038002202556042</v>
      </c>
      <c r="I24" s="318">
        <f>(C24*DATA!$D$5*DATA!$D$7)/1000000</f>
        <v>0.11708550495575108</v>
      </c>
      <c r="J24" s="316">
        <f t="shared" ca="1" si="1"/>
        <v>5.3516104364113559</v>
      </c>
      <c r="K24" s="314"/>
      <c r="L24" s="316">
        <f>((D24*DATA!$D$23)/1000000)+((E24*DATA!$D$24)/1000000)</f>
        <v>6.9345600000000003</v>
      </c>
      <c r="M24" s="316">
        <f t="shared" si="2"/>
        <v>6.9345600000000003</v>
      </c>
      <c r="N24" s="316">
        <f t="shared" ca="1" si="6"/>
        <v>1.5829495635886444</v>
      </c>
      <c r="O24" s="315">
        <f>1/(1+'[92]Asumsi I'!$C$3)^(KKF!A24)</f>
        <v>0.14564434093128129</v>
      </c>
      <c r="P24" s="316">
        <f t="shared" ca="1" si="7"/>
        <v>0.23054764591632745</v>
      </c>
      <c r="Q24" s="316">
        <f t="shared" ca="1" si="9"/>
        <v>19.930947134332186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4800</v>
      </c>
      <c r="D25" s="316">
        <f t="shared" si="5"/>
        <v>800</v>
      </c>
      <c r="E25" s="316">
        <f t="shared" si="0"/>
        <v>4000</v>
      </c>
      <c r="F25" s="314"/>
      <c r="G25" s="318">
        <f ca="1">DATA!$D$11/1000000</f>
        <v>3.0724711200000001E-2</v>
      </c>
      <c r="H25" s="318">
        <f>C25*DATA!$D$5/1000000</f>
        <v>5.2038002202556042</v>
      </c>
      <c r="I25" s="318">
        <f>(C25*DATA!$D$5*DATA!$D$7)/1000000</f>
        <v>0.11708550495575108</v>
      </c>
      <c r="J25" s="316">
        <f t="shared" ca="1" si="1"/>
        <v>5.3516104364113559</v>
      </c>
      <c r="K25" s="314"/>
      <c r="L25" s="316">
        <f>((D25*DATA!$D$23)/1000000)+((E25*DATA!$D$24)/1000000)</f>
        <v>6.9345600000000003</v>
      </c>
      <c r="M25" s="316">
        <f t="shared" si="2"/>
        <v>6.9345600000000003</v>
      </c>
      <c r="N25" s="316">
        <f t="shared" ca="1" si="6"/>
        <v>1.5829495635886444</v>
      </c>
      <c r="O25" s="315">
        <f>1/(1+'[92]Asumsi I'!$C$3)^(KKF!A25)</f>
        <v>0.13003959011721541</v>
      </c>
      <c r="P25" s="316">
        <f t="shared" ca="1" si="7"/>
        <v>0.20584611242529233</v>
      </c>
      <c r="Q25" s="316">
        <f t="shared" ca="1" si="9"/>
        <v>20.136793246757478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4800</v>
      </c>
      <c r="D26" s="316">
        <f t="shared" si="5"/>
        <v>800</v>
      </c>
      <c r="E26" s="316">
        <f t="shared" si="0"/>
        <v>4000</v>
      </c>
      <c r="F26" s="314"/>
      <c r="G26" s="318">
        <f ca="1">DATA!$D$11/1000000</f>
        <v>3.0724711200000001E-2</v>
      </c>
      <c r="H26" s="318">
        <f>C26*DATA!$D$5/1000000</f>
        <v>5.2038002202556042</v>
      </c>
      <c r="I26" s="318">
        <f>(C26*DATA!$D$5*DATA!$D$7)/1000000</f>
        <v>0.11708550495575108</v>
      </c>
      <c r="J26" s="316">
        <f t="shared" ca="1" si="1"/>
        <v>5.3516104364113559</v>
      </c>
      <c r="K26" s="314"/>
      <c r="L26" s="316">
        <f>((D26*DATA!$D$23)/1000000)+((E26*DATA!$D$24)/1000000)</f>
        <v>6.9345600000000003</v>
      </c>
      <c r="M26" s="316">
        <f t="shared" si="2"/>
        <v>6.9345600000000003</v>
      </c>
      <c r="N26" s="316">
        <f t="shared" ca="1" si="6"/>
        <v>1.5829495635886444</v>
      </c>
      <c r="O26" s="315">
        <f>1/(1+'[92]Asumsi I'!$C$3)^(KKF!A26)</f>
        <v>0.1161067768903709</v>
      </c>
      <c r="P26" s="316">
        <f t="shared" ca="1" si="7"/>
        <v>0.18379117180829671</v>
      </c>
      <c r="Q26" s="316">
        <f t="shared" ca="1" si="9"/>
        <v>20.320584418565772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4800</v>
      </c>
      <c r="D27" s="316">
        <f t="shared" si="5"/>
        <v>800</v>
      </c>
      <c r="E27" s="316">
        <f t="shared" si="0"/>
        <v>4000</v>
      </c>
      <c r="F27" s="314"/>
      <c r="G27" s="318">
        <f ca="1">DATA!$D$11/1000000</f>
        <v>3.0724711200000001E-2</v>
      </c>
      <c r="H27" s="318">
        <f>C27*DATA!$D$5/1000000</f>
        <v>5.2038002202556042</v>
      </c>
      <c r="I27" s="318">
        <f>(C27*DATA!$D$5*DATA!$D$7)/1000000</f>
        <v>0.11708550495575108</v>
      </c>
      <c r="J27" s="316">
        <f t="shared" ca="1" si="1"/>
        <v>5.3516104364113559</v>
      </c>
      <c r="K27" s="314"/>
      <c r="L27" s="316">
        <f>((D27*DATA!$D$23)/1000000)+((E27*DATA!$D$24)/1000000)</f>
        <v>6.9345600000000003</v>
      </c>
      <c r="M27" s="316">
        <f t="shared" si="2"/>
        <v>6.9345600000000003</v>
      </c>
      <c r="N27" s="316">
        <f t="shared" ca="1" si="6"/>
        <v>1.5829495635886444</v>
      </c>
      <c r="O27" s="315">
        <f>1/(1+'[92]Asumsi I'!$C$3)^(KKF!A27)</f>
        <v>0.1036667650806883</v>
      </c>
      <c r="P27" s="316">
        <f t="shared" ca="1" si="7"/>
        <v>0.16409926054312204</v>
      </c>
      <c r="Q27" s="316">
        <f t="shared" ca="1" si="9"/>
        <v>20.484683679108894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4800</v>
      </c>
      <c r="D28" s="316">
        <f t="shared" si="5"/>
        <v>800</v>
      </c>
      <c r="E28" s="316">
        <f t="shared" si="0"/>
        <v>4000</v>
      </c>
      <c r="F28" s="314"/>
      <c r="G28" s="318">
        <f ca="1">DATA!$D$11/1000000</f>
        <v>3.0724711200000001E-2</v>
      </c>
      <c r="H28" s="318">
        <f>C28*DATA!$D$5/1000000</f>
        <v>5.2038002202556042</v>
      </c>
      <c r="I28" s="318">
        <f>(C28*DATA!$D$5*DATA!$D$7)/1000000</f>
        <v>0.11708550495575108</v>
      </c>
      <c r="J28" s="316">
        <f t="shared" ca="1" si="1"/>
        <v>5.3516104364113559</v>
      </c>
      <c r="K28" s="314"/>
      <c r="L28" s="316">
        <f>((D28*DATA!$D$23)/1000000)+((E28*DATA!$D$24)/1000000)</f>
        <v>6.9345600000000003</v>
      </c>
      <c r="M28" s="316">
        <f t="shared" si="2"/>
        <v>6.9345600000000003</v>
      </c>
      <c r="N28" s="316">
        <f t="shared" ca="1" si="6"/>
        <v>1.5829495635886444</v>
      </c>
      <c r="O28" s="315">
        <f>1/(1+'[92]Asumsi I'!$C$3)^(KKF!A28)</f>
        <v>9.2559611679185971E-2</v>
      </c>
      <c r="P28" s="316">
        <f t="shared" ca="1" si="7"/>
        <v>0.14651719691350182</v>
      </c>
      <c r="Q28" s="316">
        <f t="shared" ca="1" si="9"/>
        <v>20.631200876022397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4800</v>
      </c>
      <c r="D29" s="316">
        <f t="shared" si="5"/>
        <v>800</v>
      </c>
      <c r="E29" s="316">
        <f t="shared" si="0"/>
        <v>4000</v>
      </c>
      <c r="F29" s="314"/>
      <c r="G29" s="318">
        <f ca="1">DATA!$D$11/1000000</f>
        <v>3.0724711200000001E-2</v>
      </c>
      <c r="H29" s="318">
        <f>C29*DATA!$D$5/1000000</f>
        <v>5.2038002202556042</v>
      </c>
      <c r="I29" s="318">
        <f>(C29*DATA!$D$5*DATA!$D$7)/1000000</f>
        <v>0.11708550495575108</v>
      </c>
      <c r="J29" s="316">
        <f t="shared" ca="1" si="1"/>
        <v>5.3516104364113559</v>
      </c>
      <c r="K29" s="314"/>
      <c r="L29" s="316">
        <f>((D29*DATA!$D$23)/1000000)+((E29*DATA!$D$24)/1000000)</f>
        <v>6.9345600000000003</v>
      </c>
      <c r="M29" s="316">
        <f t="shared" si="2"/>
        <v>6.9345600000000003</v>
      </c>
      <c r="N29" s="316">
        <f t="shared" ca="1" si="6"/>
        <v>1.5829495635886444</v>
      </c>
      <c r="O29" s="315">
        <f>1/(1+'[92]Asumsi I'!$C$3)^(KKF!A29)</f>
        <v>8.2642510427844609E-2</v>
      </c>
      <c r="P29" s="316">
        <f t="shared" ca="1" si="7"/>
        <v>0.13081892581562662</v>
      </c>
      <c r="Q29" s="316">
        <f t="shared" ca="1" si="9"/>
        <v>20.762019801838026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4800</v>
      </c>
      <c r="D30" s="316">
        <f t="shared" si="5"/>
        <v>800</v>
      </c>
      <c r="E30" s="316">
        <f t="shared" si="0"/>
        <v>4000</v>
      </c>
      <c r="F30" s="314"/>
      <c r="G30" s="318">
        <f ca="1">DATA!$D$11/1000000</f>
        <v>3.0724711200000001E-2</v>
      </c>
      <c r="H30" s="318">
        <f>C30*DATA!$D$5/1000000</f>
        <v>5.2038002202556042</v>
      </c>
      <c r="I30" s="318">
        <f>(C30*DATA!$D$5*DATA!$D$7)/1000000</f>
        <v>0.11708550495575108</v>
      </c>
      <c r="J30" s="316">
        <f t="shared" ca="1" si="1"/>
        <v>5.3516104364113559</v>
      </c>
      <c r="K30" s="314"/>
      <c r="L30" s="316">
        <f>((D30*DATA!$D$23)/1000000)+((E30*DATA!$D$24)/1000000)</f>
        <v>6.9345600000000003</v>
      </c>
      <c r="M30" s="316">
        <f t="shared" si="2"/>
        <v>6.9345600000000003</v>
      </c>
      <c r="N30" s="316">
        <f t="shared" ca="1" si="6"/>
        <v>1.5829495635886444</v>
      </c>
      <c r="O30" s="315">
        <f>1/(1+'[92]Asumsi I'!$C$3)^(KKF!A30)</f>
        <v>7.3787955739146982E-2</v>
      </c>
      <c r="P30" s="316">
        <f t="shared" ca="1" si="7"/>
        <v>0.11680261233538092</v>
      </c>
      <c r="Q30" s="316">
        <f t="shared" ca="1" si="9"/>
        <v>20.878822414173406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4800</v>
      </c>
      <c r="D31" s="316">
        <f t="shared" si="5"/>
        <v>800</v>
      </c>
      <c r="E31" s="316">
        <f t="shared" si="0"/>
        <v>4000</v>
      </c>
      <c r="F31" s="314"/>
      <c r="G31" s="318">
        <f ca="1">DATA!$D$11/1000000</f>
        <v>3.0724711200000001E-2</v>
      </c>
      <c r="H31" s="318">
        <f>C31*DATA!$D$5/1000000</f>
        <v>5.2038002202556042</v>
      </c>
      <c r="I31" s="318">
        <f>(C31*DATA!$D$5*DATA!$D$7)/1000000</f>
        <v>0.11708550495575108</v>
      </c>
      <c r="J31" s="316">
        <f t="shared" ca="1" si="1"/>
        <v>5.3516104364113559</v>
      </c>
      <c r="K31" s="314"/>
      <c r="L31" s="316">
        <f>((D31*DATA!$D$23)/1000000)+((E31*DATA!$D$24)/1000000)</f>
        <v>6.9345600000000003</v>
      </c>
      <c r="M31" s="316">
        <f t="shared" si="2"/>
        <v>6.9345600000000003</v>
      </c>
      <c r="N31" s="316">
        <f t="shared" ca="1" si="6"/>
        <v>1.5829495635886444</v>
      </c>
      <c r="O31" s="315">
        <f>1/(1+'[92]Asumsi I'!$C$3)^(KKF!A31)</f>
        <v>6.5882103338524081E-2</v>
      </c>
      <c r="P31" s="316">
        <f t="shared" ca="1" si="7"/>
        <v>0.10428804672801867</v>
      </c>
      <c r="Q31" s="316">
        <f ca="1">Q30+P31</f>
        <v>20.983110460901425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4800</v>
      </c>
      <c r="D32" s="316">
        <f t="shared" si="5"/>
        <v>800</v>
      </c>
      <c r="E32" s="316">
        <f t="shared" si="0"/>
        <v>4000</v>
      </c>
      <c r="F32" s="314"/>
      <c r="G32" s="318">
        <f ca="1">DATA!$D$11/1000000</f>
        <v>3.0724711200000001E-2</v>
      </c>
      <c r="H32" s="318">
        <f>C32*DATA!$D$5/1000000</f>
        <v>5.2038002202556042</v>
      </c>
      <c r="I32" s="318">
        <f>(C32*DATA!$D$5*DATA!$D$7)/1000000</f>
        <v>0.11708550495575108</v>
      </c>
      <c r="J32" s="316">
        <f t="shared" ca="1" si="1"/>
        <v>5.3516104364113559</v>
      </c>
      <c r="K32" s="314"/>
      <c r="L32" s="316">
        <f>((D32*DATA!$D$23)/1000000)+((E32*DATA!$D$24)/1000000)</f>
        <v>6.9345600000000003</v>
      </c>
      <c r="M32" s="316">
        <f t="shared" si="2"/>
        <v>6.9345600000000003</v>
      </c>
      <c r="N32" s="316">
        <f t="shared" ca="1" si="6"/>
        <v>1.5829495635886444</v>
      </c>
      <c r="O32" s="315">
        <f>1/(1+'[92]Asumsi I'!$C$3)^(KKF!A32)</f>
        <v>5.8823306552253637E-2</v>
      </c>
      <c r="P32" s="316">
        <f t="shared" ca="1" si="7"/>
        <v>9.3114327435730934E-2</v>
      </c>
      <c r="Q32" s="316">
        <f ca="1">Q31+P32</f>
        <v>21.076224788337157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5" t="s">
        <v>1374</v>
      </c>
      <c r="G33" s="605"/>
      <c r="H33" s="605"/>
      <c r="I33" s="324"/>
      <c r="J33" s="325">
        <f ca="1">SUM(J7:J32)</f>
        <v>137.13084975655443</v>
      </c>
      <c r="K33" s="605" t="s">
        <v>1375</v>
      </c>
      <c r="L33" s="605"/>
      <c r="M33" s="325">
        <f>SUM(M7:M32)</f>
        <v>185.36552000000006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2.1103570973525718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1.3517419335552552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18.818057846729598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49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G19" sqref="G19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8" t="s">
        <v>1036</v>
      </c>
      <c r="P3" s="608"/>
      <c r="Q3" s="346"/>
      <c r="T3" s="344"/>
      <c r="U3" s="345" t="s">
        <v>1041</v>
      </c>
      <c r="V3" s="344"/>
    </row>
    <row r="4" spans="1:22" ht="18.75">
      <c r="B4" s="609" t="s">
        <v>1023</v>
      </c>
      <c r="C4" s="609"/>
      <c r="D4" s="609"/>
      <c r="E4" s="609"/>
      <c r="F4" s="609"/>
      <c r="G4" s="609"/>
      <c r="H4" s="609"/>
      <c r="I4" s="609"/>
      <c r="J4" s="609"/>
      <c r="K4" s="609"/>
      <c r="O4" s="608"/>
      <c r="P4" s="60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5" t="str">
        <f>DATA!D14</f>
        <v>MASCHANAH</v>
      </c>
      <c r="H6" s="625"/>
      <c r="I6" s="625"/>
      <c r="J6" s="625"/>
      <c r="K6" s="625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1" t="s">
        <v>0</v>
      </c>
      <c r="C11" s="613" t="s">
        <v>1</v>
      </c>
      <c r="D11" s="616" t="s">
        <v>42</v>
      </c>
      <c r="E11" s="616" t="s">
        <v>43</v>
      </c>
      <c r="F11" s="616" t="s">
        <v>2</v>
      </c>
      <c r="G11" s="618" t="s">
        <v>41</v>
      </c>
      <c r="H11" s="616" t="s">
        <v>3</v>
      </c>
      <c r="I11" s="616"/>
      <c r="J11" s="616"/>
      <c r="K11" s="635"/>
      <c r="O11" s="351"/>
      <c r="P11" s="352"/>
      <c r="Q11" s="351"/>
      <c r="S11" s="353"/>
      <c r="T11" s="354"/>
      <c r="U11" s="354"/>
      <c r="V11" s="354"/>
    </row>
    <row r="12" spans="1:22">
      <c r="B12" s="612"/>
      <c r="C12" s="614"/>
      <c r="D12" s="617"/>
      <c r="E12" s="617"/>
      <c r="F12" s="617"/>
      <c r="G12" s="619"/>
      <c r="H12" s="621" t="s">
        <v>46</v>
      </c>
      <c r="I12" s="621" t="s">
        <v>5</v>
      </c>
      <c r="J12" s="617" t="s">
        <v>47</v>
      </c>
      <c r="K12" s="63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2"/>
      <c r="C13" s="615"/>
      <c r="D13" s="617"/>
      <c r="E13" s="617"/>
      <c r="F13" s="617"/>
      <c r="G13" s="620"/>
      <c r="H13" s="622"/>
      <c r="I13" s="622"/>
      <c r="J13" s="617"/>
      <c r="K13" s="63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1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09">
        <v>1</v>
      </c>
      <c r="C18" s="490" t="s">
        <v>1197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1"/>
      <c r="G18" s="360" t="s">
        <v>1613</v>
      </c>
      <c r="H18" s="361"/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</row>
    <row r="19" spans="2:11">
      <c r="B19" s="509">
        <v>2</v>
      </c>
      <c r="C19" s="510" t="s">
        <v>513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11"/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ref="H19" ca="1" si="12">IF(OR(D19="MDU",D19="MDU-KD"),(IF($O$3="RAB NON MDU","PLN KD",G19*F19)),0)</f>
        <v>0</v>
      </c>
      <c r="I19" s="361">
        <f t="shared" ref="I19" ca="1" si="13">IF(D19="HDW",G19*F19,0)</f>
        <v>0</v>
      </c>
      <c r="J19" s="361">
        <f t="shared" ref="J19" ca="1" si="14">IF(D19="JASA",G19*F19,0)</f>
        <v>0</v>
      </c>
      <c r="K19" s="362">
        <f t="shared" ref="K19" ca="1" si="15">SUM(H19:J19)</f>
        <v>0</v>
      </c>
    </row>
    <row r="20" spans="2:11">
      <c r="B20" s="509">
        <v>3</v>
      </c>
      <c r="C20" s="510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11"/>
      <c r="G20" s="360" t="s">
        <v>1613</v>
      </c>
      <c r="H20" s="361">
        <f t="shared" ca="1" si="8"/>
        <v>0</v>
      </c>
      <c r="I20" s="361"/>
      <c r="J20" s="361">
        <f t="shared" ca="1" si="10"/>
        <v>0</v>
      </c>
      <c r="K20" s="362">
        <f t="shared" ca="1" si="11"/>
        <v>0</v>
      </c>
    </row>
    <row r="21" spans="2:11">
      <c r="B21" s="509">
        <v>4</v>
      </c>
      <c r="C21" s="109" t="s">
        <v>78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11">
        <v>50</v>
      </c>
      <c r="G21" s="360">
        <f ca="1">IF(ISERROR(OFFSET('HARGA SATUAN'!$I$6,MATCH(RAB!C21,'HARGA SATUAN'!$C$7:$C$1492,0),0)),0,OFFSET('HARGA SATUAN'!$I$6,MATCH(RAB!C21,'HARGA SATUAN'!$C$7:$C$1492,0),0))</f>
        <v>23600</v>
      </c>
      <c r="H21" s="361">
        <f t="shared" ref="H21" ca="1" si="16">IF(OR(D21="MDU",D21="MDU-KD"),(IF($O$3="RAB NON MDU","PLN KD",G21*F21)),0)</f>
        <v>0</v>
      </c>
      <c r="I21" s="361">
        <f t="shared" ref="I21" ca="1" si="17">IF(D21="HDW",G21*F21,0)</f>
        <v>1180000</v>
      </c>
      <c r="J21" s="361">
        <f t="shared" ref="J21" ca="1" si="18">IF(D21="JASA",G21*F21,0)</f>
        <v>0</v>
      </c>
      <c r="K21" s="362">
        <f t="shared" ref="K21" ca="1" si="19">SUM(H21:J21)</f>
        <v>1180000</v>
      </c>
    </row>
    <row r="22" spans="2:11">
      <c r="B22" s="509">
        <v>5</v>
      </c>
      <c r="C22" s="51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11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20">IF(OR(D23="MDU",D23="MDU-KD"),(IF($O$3="RAB NON MDU","PLN KD",G23*F23)),0)</f>
        <v>0</v>
      </c>
      <c r="I23" s="361">
        <f t="shared" ref="I23" ca="1" si="21">IF(D23="HDW",G23*F23,0)</f>
        <v>0</v>
      </c>
      <c r="J23" s="361">
        <f t="shared" ref="J23" ca="1" si="22">IF(D23="JASA",G23*F23,0)</f>
        <v>0</v>
      </c>
      <c r="K23" s="362">
        <f t="shared" ref="K23" ca="1" si="23">SUM(H23:J23)</f>
        <v>0</v>
      </c>
    </row>
    <row r="24" spans="2:11">
      <c r="B24" s="503"/>
      <c r="C24" s="505"/>
      <c r="D24" s="358"/>
      <c r="E24" s="359"/>
      <c r="F24" s="501"/>
      <c r="G24" s="360"/>
      <c r="H24" s="361"/>
      <c r="I24" s="361"/>
      <c r="J24" s="361"/>
      <c r="K24" s="362"/>
    </row>
    <row r="25" spans="2:11">
      <c r="B25" s="507" t="s">
        <v>1035</v>
      </c>
      <c r="C25" s="506" t="s">
        <v>982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63840</v>
      </c>
      <c r="H25" s="361">
        <f t="shared" ref="H25:H26" ca="1" si="24">IF(OR(D25="MDU",D25="MDU-KD"),(IF($O$3="RAB NON MDU","PLN KD",G25*F25)),0)</f>
        <v>0</v>
      </c>
      <c r="I25" s="361">
        <f t="shared" ref="I25:I26" ca="1" si="25">IF(D25="HDW",G25*F25,0)</f>
        <v>0</v>
      </c>
      <c r="J25" s="361">
        <f t="shared" ref="J25:J26" ca="1" si="26">IF(D25="JASA",G25*F25,0)</f>
        <v>63840</v>
      </c>
      <c r="K25" s="362">
        <f t="shared" ref="K25:K26" ca="1" si="27">SUM(H25:J25)</f>
        <v>63840</v>
      </c>
    </row>
    <row r="26" spans="2:11">
      <c r="B26" s="503"/>
      <c r="C26" s="504"/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1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24"/>
        <v>0</v>
      </c>
      <c r="I26" s="361">
        <f t="shared" ca="1" si="25"/>
        <v>0</v>
      </c>
      <c r="J26" s="361">
        <f t="shared" ca="1" si="26"/>
        <v>0</v>
      </c>
      <c r="K26" s="362">
        <f t="shared" ca="1" si="27"/>
        <v>0</v>
      </c>
    </row>
    <row r="27" spans="2:11">
      <c r="B27" s="367"/>
      <c r="C27" s="10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72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" ca="1" si="28">IF(OR(D27="MDU",D27="MDU-KD"),(IF($O$3="RAB NON MDU","PLN KD",G27*F27)),0)</f>
        <v>0</v>
      </c>
      <c r="I27" s="361">
        <f t="shared" ref="I27" ca="1" si="29">IF(D27="HDW",G27*F27,0)</f>
        <v>0</v>
      </c>
      <c r="J27" s="361">
        <f t="shared" ref="J27" ca="1" si="30">IF(D27="JASA",G27*F27,0)</f>
        <v>0</v>
      </c>
      <c r="K27" s="362">
        <f t="shared" ref="K27" ca="1" si="31">SUM(H27:J27)</f>
        <v>0</v>
      </c>
    </row>
    <row r="28" spans="2:11">
      <c r="B28" s="368"/>
      <c r="C28" s="369" t="s">
        <v>475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72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" ca="1" si="32">IF(OR(D28="MDU",D28="MDU-KD"),(IF($O$3="RAB NON MDU","PLN KD",G28*F28)),0)</f>
        <v>0</v>
      </c>
      <c r="I28" s="361">
        <f t="shared" ref="I28" ca="1" si="33">IF(D28="HDW",G28*F28,0)</f>
        <v>0</v>
      </c>
      <c r="J28" s="361">
        <f t="shared" ref="J28" ca="1" si="34">IF(D28="JASA",G28*F28,0)</f>
        <v>0</v>
      </c>
      <c r="K28" s="362">
        <f t="shared" ref="K28" ca="1" si="35">SUM(H28:J28)</f>
        <v>0</v>
      </c>
    </row>
    <row r="29" spans="2:11">
      <c r="B29" s="371">
        <v>1</v>
      </c>
      <c r="C29" s="372" t="s">
        <v>1091</v>
      </c>
      <c r="D29" s="373" t="str">
        <f ca="1">IF(ISERROR(OFFSET('HARGA SATUAN'!$D$6,MATCH(RAB!C29,'HARGA SATUAN'!$C$7:$C$1492,0),0)),"",OFFSET('HARGA SATUAN'!$D$6,MATCH(RAB!C29,'HARGA SATUAN'!$C$7:$C$1492,0),0))</f>
        <v>JASA</v>
      </c>
      <c r="E29" s="374" t="str">
        <f ca="1">IF(ISERROR(OFFSET('HARGA SATUAN'!$E$6,MATCH(RAB!C29,'HARGA SATUAN'!$C$7:$C$1492,0),0)),"",OFFSET('HARGA SATUAN'!$E$6,MATCH(RAB!C29,'HARGA SATUAN'!$C$7:$C$1492,0),0))</f>
        <v>Lot</v>
      </c>
      <c r="F29" s="375">
        <v>1</v>
      </c>
      <c r="G29" s="376">
        <f ca="1">IF(ISERROR(OFFSET('HARGA SATUAN'!$I$6,MATCH(RAB!C29,'HARGA SATUAN'!$C$7:$C$1492,0),0)),0,OFFSET('HARGA SATUAN'!$I$6,MATCH(RAB!C29,'HARGA SATUAN'!$C$7:$C$1492,0),0))</f>
        <v>2.5000000000000001E-2</v>
      </c>
      <c r="H29" s="377"/>
      <c r="I29" s="377"/>
      <c r="J29" s="377">
        <f ca="1">2.5%*(SUM(K14:K28))</f>
        <v>33756</v>
      </c>
      <c r="K29" s="378">
        <f ca="1">SUM(H29:J29)</f>
        <v>33756</v>
      </c>
    </row>
    <row r="30" spans="2:11">
      <c r="B30" s="379"/>
      <c r="C30" s="380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IF(ISERROR(OFFSET('HARGA SATUAN'!$E$6,MATCH(RAB!C30,'HARGA SATUAN'!$C$7:$C$1492,0),0)),"",OFFSET('HARGA SATUAN'!$E$6,MATCH(RAB!C30,'HARGA SATUAN'!$C$7:$C$1492,0),0))</f>
        <v/>
      </c>
      <c r="F30" s="370"/>
      <c r="G30" s="360" t="str">
        <f ca="1">IF(ISERROR(OFFSET('HARGA SATUAN'!$I$6,MATCH(RAB!C30,'HARGA SATUAN'!$C$7:$C$1492,0),0)),"",OFFSET('HARGA SATUAN'!$I$6,MATCH(RAB!C30,'HARGA SATUAN'!$C$7:$C$1492,0),0))</f>
        <v/>
      </c>
      <c r="H30" s="361">
        <f ca="1">IF(OR(D30="MDU",D30="MDU-KD"),IF(G30="PLN",0,G30*F30),0)</f>
        <v>0</v>
      </c>
      <c r="I30" s="361">
        <f ca="1">IF(D30="HDW",IF(G30="PLN",0,G30*F30),0)</f>
        <v>0</v>
      </c>
      <c r="J30" s="361">
        <f ca="1">IF(D30="JASA",IF(G30="PLN",0,G30*F30),0)</f>
        <v>0</v>
      </c>
      <c r="K30" s="362">
        <f ca="1">SUM(H30:J30)</f>
        <v>0</v>
      </c>
    </row>
    <row r="31" spans="2:11" ht="15.75" thickBot="1">
      <c r="B31" s="381"/>
      <c r="C31" s="382"/>
      <c r="D31" s="383"/>
      <c r="E31" s="384"/>
      <c r="F31" s="384"/>
      <c r="G31" s="384"/>
      <c r="H31" s="385"/>
      <c r="I31" s="385"/>
      <c r="J31" s="385"/>
      <c r="K31" s="386"/>
    </row>
    <row r="32" spans="2:11">
      <c r="B32" s="387"/>
      <c r="C32" s="610" t="s">
        <v>1008</v>
      </c>
      <c r="D32" s="610"/>
      <c r="E32" s="610"/>
      <c r="F32" s="610"/>
      <c r="G32" s="388" t="s">
        <v>9</v>
      </c>
      <c r="H32" s="389">
        <f ca="1">SUM(H14:H30)</f>
        <v>0</v>
      </c>
      <c r="I32" s="389">
        <f ca="1">SUM(I14:I30)</f>
        <v>1180000</v>
      </c>
      <c r="J32" s="389">
        <f ca="1">SUM(J14:J30)</f>
        <v>203996</v>
      </c>
      <c r="K32" s="389">
        <f ca="1">SUM(K14:K30)</f>
        <v>1383996</v>
      </c>
    </row>
    <row r="33" spans="2:13">
      <c r="B33" s="390"/>
      <c r="C33" s="626" t="s">
        <v>1457</v>
      </c>
      <c r="D33" s="626"/>
      <c r="E33" s="626"/>
      <c r="F33" s="626"/>
      <c r="G33" s="391" t="s">
        <v>9</v>
      </c>
      <c r="H33" s="392">
        <f ca="1">H32*0.11</f>
        <v>0</v>
      </c>
      <c r="I33" s="392">
        <f ca="1">I32*0.11</f>
        <v>129800</v>
      </c>
      <c r="J33" s="392">
        <f ca="1">J32*0.11</f>
        <v>22439.56</v>
      </c>
      <c r="K33" s="392">
        <f ca="1">K32*0.11</f>
        <v>152239.56</v>
      </c>
    </row>
    <row r="34" spans="2:13" ht="15.75" thickBot="1">
      <c r="B34" s="390"/>
      <c r="C34" s="624" t="s">
        <v>463</v>
      </c>
      <c r="D34" s="624"/>
      <c r="E34" s="624"/>
      <c r="F34" s="624"/>
      <c r="G34" s="393" t="s">
        <v>9</v>
      </c>
      <c r="H34" s="394">
        <f ca="1">SUM(H32:H33)</f>
        <v>0</v>
      </c>
      <c r="I34" s="394">
        <f ca="1">SUM(I32:I33)</f>
        <v>1309800</v>
      </c>
      <c r="J34" s="393">
        <f ca="1">SUM(J32:J33)</f>
        <v>226435.56</v>
      </c>
      <c r="K34" s="393">
        <f ca="1">SUM(K32:K33)</f>
        <v>1536235.56</v>
      </c>
      <c r="M34" s="477"/>
    </row>
    <row r="35" spans="2:13">
      <c r="B35" s="627" t="str">
        <f ca="1">"Terbilang : "&amp;PROPER(IF(K34=0,"nol",IF(K34&lt;0,"minus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IF(--MID(TEXT(ABS(K34),"000000000000000"),1,3)=0,"",MID(TEXT(ABS(K34),"000000000000000"),1,1)&amp;" ratus "&amp;MID(TEXT(ABS(K34),"000000000000000"),2,1)&amp;" puluh "&amp;MID(TEXT(ABS(K34),"000000000000000"),3,1)&amp;" trilyun ")&amp; IF(--MID(TEXT(ABS(K34),"000000000000000"),4,3)=0,"",MID(TEXT(ABS(K34),"000000000000000"),4,1)&amp;" ratus "&amp;MID(TEXT(ABS(K34),"000000000000000"),5,1)&amp;" puluh "&amp;MID(TEXT(ABS(K34),"000000000000000"),6,1)&amp;" milyar ")&amp; IF(--MID(TEXT(ABS(K34),"000000000000000"),7,3)=0,"",MID(TEXT(ABS(K34),"000000000000000"),7,1)&amp;" ratus "&amp;MID(TEXT(ABS(K34),"000000000000000"),8,1)&amp;" puluh "&amp;MID(TEXT(ABS(K34),"000000000000000"),9,1)&amp;" juta ")&amp; IF(--MID(TEXT(ABS(K34),"000000000000000"),10,3)=0,"",IF(--MID(TEXT(ABS(K34),"000000000000000"),10,3)=1,"*",MID(TEXT(ABS(K34),"000000000000000"),10,1)&amp;" ratus "&amp;MID(TEXT(ABS(K34),"000000000000000"),11,1)&amp;" puluh ")&amp;MID(TEXT(ABS(K34),"000000000000000"),12,1)&amp;" ribu ")&amp; IF(--MID(TEXT(ABS(K34),"000000000000000"),13,3)=0,"",MID(TEXT(ABS(K34),"000000000000000"),13,1)&amp;" ratus "&amp;MID(TEXT(ABS(K34),"000000000000000"),14,1)&amp;" puluh "&amp;MID(TEXT(ABS(K34),"000000000000000"),15,1)),1,"satu"),2,"dua"),3,"tiga"),4,"empat"),5,"lima"),6,"enam"),7,"tujuh"),8,"delapan"),9,"sembilan"),"0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Satu Juta Lima Ratus Tiga Puluh Enam Ribu Dua Ratus Tiga Puluh Enam Rupiah</v>
      </c>
      <c r="C35" s="628"/>
      <c r="D35" s="628"/>
      <c r="E35" s="628"/>
      <c r="F35" s="628"/>
      <c r="G35" s="628"/>
      <c r="H35" s="628"/>
      <c r="I35" s="628"/>
      <c r="J35" s="628"/>
      <c r="K35" s="629"/>
      <c r="M35" s="508"/>
    </row>
    <row r="36" spans="2:13">
      <c r="B36" s="630"/>
      <c r="C36" s="631"/>
      <c r="D36" s="631"/>
      <c r="E36" s="631"/>
      <c r="F36" s="631"/>
      <c r="G36" s="631"/>
      <c r="H36" s="631"/>
      <c r="I36" s="631"/>
      <c r="J36" s="631"/>
      <c r="K36" s="632"/>
    </row>
    <row r="37" spans="2:13" ht="15.75" thickBot="1">
      <c r="B37" s="395" t="str">
        <f>"Harga yang dipakai adalah "&amp;'HARGA SATUAN'!I5&amp;""</f>
        <v>Harga yang dipakai adalah RAB HSS 2023</v>
      </c>
      <c r="C37" s="396"/>
      <c r="D37" s="397"/>
      <c r="E37" s="397"/>
      <c r="F37" s="397"/>
      <c r="G37" s="398"/>
      <c r="H37" s="398"/>
      <c r="I37" s="398"/>
      <c r="J37" s="398"/>
      <c r="K37" s="399"/>
    </row>
    <row r="38" spans="2:13">
      <c r="C38" s="400"/>
      <c r="E38" s="402"/>
      <c r="F38" s="402"/>
      <c r="G38" s="402"/>
    </row>
    <row r="39" spans="2:13">
      <c r="C39" s="337"/>
      <c r="E39" s="402"/>
      <c r="F39" s="402"/>
      <c r="G39" s="402"/>
      <c r="H39" s="633"/>
      <c r="I39" s="633"/>
      <c r="J39" s="634"/>
      <c r="K39" s="634"/>
    </row>
    <row r="40" spans="2:13">
      <c r="C40" s="337"/>
      <c r="E40" s="402"/>
      <c r="F40" s="402"/>
      <c r="G40" s="402"/>
      <c r="H40" s="403"/>
      <c r="I40" s="623" t="s">
        <v>1615</v>
      </c>
      <c r="J40" s="623"/>
      <c r="K40" s="623"/>
    </row>
    <row r="41" spans="2:13">
      <c r="C41" s="337"/>
      <c r="E41" s="402"/>
      <c r="F41" s="402"/>
      <c r="G41" s="402"/>
      <c r="H41" s="403"/>
      <c r="I41" s="623" t="s">
        <v>1609</v>
      </c>
      <c r="J41" s="623"/>
      <c r="K41" s="623"/>
    </row>
    <row r="42" spans="2:13">
      <c r="C42" s="337"/>
      <c r="E42" s="402"/>
      <c r="F42" s="402"/>
      <c r="G42" s="402"/>
      <c r="H42" s="404"/>
      <c r="I42" s="405"/>
      <c r="J42" s="405"/>
      <c r="K42" s="405"/>
    </row>
    <row r="43" spans="2:13">
      <c r="C43" s="337"/>
      <c r="E43" s="402"/>
      <c r="F43" s="402"/>
      <c r="G43" s="402"/>
      <c r="H43" s="404"/>
      <c r="I43" s="404"/>
      <c r="J43" s="404"/>
      <c r="K43" s="404"/>
    </row>
    <row r="44" spans="2:13">
      <c r="C44" s="337"/>
      <c r="E44" s="402"/>
      <c r="F44" s="402"/>
      <c r="G44" s="402"/>
      <c r="H44" s="404"/>
      <c r="I44" s="404"/>
      <c r="J44" s="404"/>
      <c r="K44" s="404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6"/>
      <c r="I46" s="623" t="s">
        <v>1611</v>
      </c>
      <c r="J46" s="623"/>
      <c r="K46" s="623"/>
    </row>
    <row r="47" spans="2:13">
      <c r="C47" s="400"/>
      <c r="E47" s="402"/>
      <c r="F47" s="402"/>
      <c r="G47" s="402"/>
      <c r="H47" s="404"/>
      <c r="I47" s="404"/>
      <c r="J47" s="404"/>
      <c r="K47" s="404"/>
    </row>
    <row r="48" spans="2:13">
      <c r="C48" s="400"/>
      <c r="E48" s="402"/>
      <c r="F48" s="402"/>
      <c r="G48" s="402"/>
      <c r="H48" s="404"/>
      <c r="I48" s="404"/>
      <c r="J48" s="404"/>
      <c r="K48" s="404"/>
    </row>
    <row r="49" spans="3:11">
      <c r="C49" s="400"/>
      <c r="E49" s="402"/>
      <c r="F49" s="402"/>
      <c r="G49" s="402"/>
      <c r="H49" s="404"/>
      <c r="I49" s="404"/>
      <c r="J49" s="404"/>
      <c r="K49" s="404"/>
    </row>
  </sheetData>
  <sheetProtection sort="0" autoFilter="0"/>
  <protectedRanges>
    <protectedRange sqref="B27" name="Range1_1"/>
    <protectedRange sqref="F14" name="Range1_1_2_2"/>
    <protectedRange sqref="C27" name="Range1_1_3_12"/>
    <protectedRange sqref="B17:B22" name="Range1_1_4"/>
    <protectedRange sqref="B15:C16 C24" name="Range1_6_2"/>
    <protectedRange sqref="C17:C20 C22 C25" name="Range1_3"/>
    <protectedRange sqref="F16:F26" name="Range1_1_3_1_1"/>
    <protectedRange sqref="F15" name="Range1_1_2_2_3_2"/>
    <protectedRange sqref="B24:B26" name="Range1_6_2_2"/>
    <protectedRange sqref="C26" name="Range1_6_2_2_2_1"/>
    <protectedRange sqref="C21" name="Range1_1_3_1"/>
  </protectedRanges>
  <mergeCells count="22">
    <mergeCell ref="I41:K41"/>
    <mergeCell ref="I46:K46"/>
    <mergeCell ref="C34:F34"/>
    <mergeCell ref="G6:K6"/>
    <mergeCell ref="I40:K40"/>
    <mergeCell ref="C33:F33"/>
    <mergeCell ref="B35:K36"/>
    <mergeCell ref="H39:K39"/>
    <mergeCell ref="H11:K11"/>
    <mergeCell ref="H12:H13"/>
    <mergeCell ref="J12:J13"/>
    <mergeCell ref="K12:K13"/>
    <mergeCell ref="O3:P4"/>
    <mergeCell ref="B4:K4"/>
    <mergeCell ref="C32:F32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E15:E23 E24:K28 G15:K23">
    <cfRule type="cellIs" dxfId="10" priority="84" stopIfTrue="1" operator="equal">
      <formula>0</formula>
    </cfRule>
  </conditionalFormatting>
  <conditionalFormatting sqref="C27">
    <cfRule type="cellIs" dxfId="9" priority="103" operator="equal">
      <formula>0</formula>
    </cfRule>
  </conditionalFormatting>
  <conditionalFormatting sqref="E1:E3 G1:G13 E5:E13 H12:I12 O13 S14:V14 E29:G29 H29:K31 E30:H30 E31:F31">
    <cfRule type="cellIs" dxfId="8" priority="1085" stopIfTrue="1" operator="equal">
      <formula>0</formula>
    </cfRule>
  </conditionalFormatting>
  <conditionalFormatting sqref="E14:K14">
    <cfRule type="cellIs" dxfId="7" priority="53" stopIfTrue="1" operator="equal">
      <formula>0</formula>
    </cfRule>
  </conditionalFormatting>
  <conditionalFormatting sqref="G30:G65496 E35:E65496">
    <cfRule type="cellIs" dxfId="6" priority="219" stopIfTrue="1" operator="equal">
      <formula>0</formula>
    </cfRule>
  </conditionalFormatting>
  <conditionalFormatting sqref="F16">
    <cfRule type="cellIs" dxfId="5" priority="40" stopIfTrue="1" operator="equal">
      <formula>0</formula>
    </cfRule>
  </conditionalFormatting>
  <conditionalFormatting sqref="F23">
    <cfRule type="cellIs" dxfId="4" priority="39" stopIfTrue="1" operator="equal">
      <formula>0</formula>
    </cfRule>
  </conditionalFormatting>
  <conditionalFormatting sqref="F15">
    <cfRule type="cellIs" dxfId="3" priority="37" stopIfTrue="1" operator="equal">
      <formula>0</formula>
    </cfRule>
  </conditionalFormatting>
  <conditionalFormatting sqref="C18">
    <cfRule type="cellIs" dxfId="2" priority="3" operator="equal">
      <formula>0</formula>
    </cfRule>
  </conditionalFormatting>
  <conditionalFormatting sqref="F17:F22">
    <cfRule type="cellIs" dxfId="1" priority="2" stopIfTrue="1" operator="equal">
      <formula>0</formula>
    </cfRule>
  </conditionalFormatting>
  <conditionalFormatting sqref="C2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F24:F28 H14:K31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3" zoomScale="85" zoomScaleNormal="115" zoomScaleSheetLayoutView="85" workbookViewId="0">
      <selection activeCell="P19" sqref="P19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7" t="s">
        <v>1439</v>
      </c>
      <c r="X2" s="638"/>
      <c r="Y2" s="638"/>
      <c r="Z2" s="638"/>
      <c r="AA2" s="638"/>
      <c r="AB2" s="638"/>
      <c r="AC2" s="638"/>
      <c r="AD2" s="639"/>
    </row>
    <row r="3" spans="3:30">
      <c r="C3" s="238"/>
      <c r="W3" s="640"/>
      <c r="X3" s="641"/>
      <c r="Y3" s="641"/>
      <c r="Z3" s="641"/>
      <c r="AA3" s="641"/>
      <c r="AB3" s="641"/>
      <c r="AC3" s="641"/>
      <c r="AD3" s="642"/>
    </row>
    <row r="4" spans="3:30">
      <c r="C4" s="238"/>
      <c r="Q4" s="483" t="s">
        <v>1614</v>
      </c>
      <c r="W4" s="239" t="s">
        <v>987</v>
      </c>
      <c r="AD4" s="240"/>
    </row>
    <row r="5" spans="3:30">
      <c r="C5" s="238"/>
      <c r="W5" s="241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44"/>
    </row>
    <row r="6" spans="3:30">
      <c r="C6" s="238"/>
      <c r="W6" s="241">
        <v>1</v>
      </c>
      <c r="X6" s="643" t="s">
        <v>993</v>
      </c>
      <c r="Y6" s="643"/>
      <c r="Z6" s="643"/>
      <c r="AA6" s="643"/>
      <c r="AB6" s="643"/>
      <c r="AC6" s="643"/>
      <c r="AD6" s="644"/>
    </row>
    <row r="7" spans="3:30">
      <c r="C7" s="238"/>
      <c r="W7" s="241">
        <v>2</v>
      </c>
      <c r="X7" s="643" t="s">
        <v>994</v>
      </c>
      <c r="Y7" s="643"/>
      <c r="Z7" s="643"/>
      <c r="AA7" s="643"/>
      <c r="AB7" s="643"/>
      <c r="AC7" s="643"/>
      <c r="AD7" s="644"/>
    </row>
    <row r="8" spans="3:30">
      <c r="C8" s="238"/>
      <c r="W8" s="241">
        <v>3</v>
      </c>
      <c r="X8" s="643" t="s">
        <v>995</v>
      </c>
      <c r="Y8" s="643"/>
      <c r="Z8" s="643"/>
      <c r="AA8" s="643"/>
      <c r="AB8" s="643"/>
      <c r="AC8" s="643"/>
      <c r="AD8" s="644"/>
    </row>
    <row r="9" spans="3:30">
      <c r="C9" s="238"/>
      <c r="W9" s="241">
        <v>4</v>
      </c>
      <c r="X9" s="643" t="s">
        <v>996</v>
      </c>
      <c r="Y9" s="643"/>
      <c r="Z9" s="643"/>
      <c r="AA9" s="643"/>
      <c r="AB9" s="643"/>
      <c r="AC9" s="643"/>
      <c r="AD9" s="644"/>
    </row>
    <row r="10" spans="3:30">
      <c r="C10" s="238"/>
      <c r="W10" s="241">
        <v>5</v>
      </c>
      <c r="X10" s="643" t="s">
        <v>997</v>
      </c>
      <c r="Y10" s="643"/>
      <c r="Z10" s="643"/>
      <c r="AA10" s="643"/>
      <c r="AB10" s="643"/>
      <c r="AC10" s="643"/>
      <c r="AD10" s="644"/>
    </row>
    <row r="11" spans="3:30">
      <c r="C11" s="238"/>
      <c r="W11" s="241">
        <v>6</v>
      </c>
      <c r="X11" s="643" t="s">
        <v>998</v>
      </c>
      <c r="Y11" s="643"/>
      <c r="Z11" s="643"/>
      <c r="AA11" s="643"/>
      <c r="AB11" s="643"/>
      <c r="AC11" s="643"/>
      <c r="AD11" s="644"/>
    </row>
    <row r="12" spans="3:30">
      <c r="C12" s="238"/>
      <c r="W12" s="241">
        <v>7</v>
      </c>
      <c r="X12" s="643" t="s">
        <v>999</v>
      </c>
      <c r="Y12" s="643"/>
      <c r="Z12" s="643"/>
      <c r="AA12" s="643"/>
      <c r="AB12" s="643"/>
      <c r="AC12" s="643"/>
      <c r="AD12" s="644"/>
    </row>
    <row r="13" spans="3:30" ht="12.75" customHeight="1">
      <c r="C13" s="238"/>
      <c r="W13" s="241">
        <v>8</v>
      </c>
      <c r="X13" s="643" t="s">
        <v>1000</v>
      </c>
      <c r="Y13" s="643"/>
      <c r="Z13" s="643"/>
      <c r="AA13" s="643"/>
      <c r="AB13" s="643"/>
      <c r="AC13" s="643"/>
      <c r="AD13" s="644"/>
    </row>
    <row r="14" spans="3:30">
      <c r="C14" s="238"/>
      <c r="W14" s="241">
        <v>9</v>
      </c>
      <c r="X14" s="643" t="s">
        <v>1001</v>
      </c>
      <c r="Y14" s="643"/>
      <c r="Z14" s="643"/>
      <c r="AA14" s="643"/>
      <c r="AB14" s="643"/>
      <c r="AC14" s="643"/>
      <c r="AD14" s="644"/>
    </row>
    <row r="15" spans="3:30">
      <c r="C15" s="238"/>
      <c r="W15" s="241">
        <v>10</v>
      </c>
      <c r="X15" s="643" t="s">
        <v>1010</v>
      </c>
      <c r="Y15" s="643"/>
      <c r="Z15" s="643"/>
      <c r="AA15" s="643"/>
      <c r="AB15" s="643"/>
      <c r="AC15" s="643"/>
      <c r="AD15" s="644"/>
    </row>
    <row r="16" spans="3:30">
      <c r="C16" s="238"/>
      <c r="W16" s="241">
        <v>11</v>
      </c>
      <c r="X16" s="643" t="s">
        <v>1455</v>
      </c>
      <c r="Y16" s="643"/>
      <c r="Z16" s="643"/>
      <c r="AA16" s="643"/>
      <c r="AB16" s="643"/>
      <c r="AC16" s="643"/>
      <c r="AD16" s="644"/>
    </row>
    <row r="17" spans="3:30">
      <c r="C17" s="238"/>
      <c r="S17" s="242"/>
      <c r="W17" s="241">
        <v>12</v>
      </c>
      <c r="X17" s="643" t="s">
        <v>1011</v>
      </c>
      <c r="Y17" s="643"/>
      <c r="Z17" s="643"/>
      <c r="AA17" s="643"/>
      <c r="AB17" s="643"/>
      <c r="AC17" s="643"/>
      <c r="AD17" s="644"/>
    </row>
    <row r="18" spans="3:30">
      <c r="C18" s="243"/>
      <c r="D18" s="244"/>
      <c r="E18" s="244"/>
      <c r="W18" s="241">
        <v>13</v>
      </c>
      <c r="X18" s="643"/>
      <c r="Y18" s="643"/>
      <c r="Z18" s="643"/>
      <c r="AA18" s="643"/>
      <c r="AB18" s="643"/>
      <c r="AC18" s="643"/>
      <c r="AD18" s="644"/>
    </row>
    <row r="19" spans="3:30">
      <c r="C19" s="238"/>
      <c r="W19" s="245"/>
      <c r="X19" s="660"/>
      <c r="Y19" s="660"/>
      <c r="Z19" s="660"/>
      <c r="AA19" s="660"/>
      <c r="AB19" s="660"/>
      <c r="AC19" s="660"/>
      <c r="AD19" s="661"/>
    </row>
    <row r="20" spans="3:30">
      <c r="C20" s="238"/>
      <c r="W20" s="645" t="s">
        <v>992</v>
      </c>
      <c r="X20" s="646"/>
      <c r="Y20" s="646"/>
      <c r="Z20" s="646"/>
      <c r="AA20" s="646"/>
      <c r="AB20" s="646"/>
      <c r="AC20" s="646"/>
      <c r="AD20" s="647"/>
    </row>
    <row r="21" spans="3:30">
      <c r="C21" s="238"/>
      <c r="S21" s="269"/>
      <c r="W21" s="648" t="s">
        <v>985</v>
      </c>
      <c r="X21" s="649"/>
      <c r="Y21" s="649"/>
      <c r="Z21" s="650"/>
      <c r="AA21" s="651" t="s">
        <v>986</v>
      </c>
      <c r="AB21" s="652"/>
      <c r="AC21" s="652"/>
      <c r="AD21" s="653"/>
    </row>
    <row r="22" spans="3:30">
      <c r="C22" s="238"/>
      <c r="W22" s="654"/>
      <c r="X22" s="655"/>
      <c r="Y22" s="485"/>
      <c r="Z22" s="488"/>
      <c r="AA22" s="656"/>
      <c r="AB22" s="657"/>
      <c r="AC22" s="248"/>
      <c r="AD22" s="249"/>
    </row>
    <row r="23" spans="3:30">
      <c r="C23" s="238"/>
      <c r="W23" s="654"/>
      <c r="X23" s="655"/>
      <c r="Y23" s="485"/>
      <c r="Z23" s="488"/>
      <c r="AA23" s="658"/>
      <c r="AB23" s="659"/>
      <c r="AC23" s="248"/>
      <c r="AD23" s="249"/>
    </row>
    <row r="24" spans="3:30">
      <c r="C24" s="238"/>
      <c r="W24" s="664"/>
      <c r="X24" s="665"/>
      <c r="Y24" s="246"/>
      <c r="Z24" s="247"/>
      <c r="AA24" s="666"/>
      <c r="AB24" s="667"/>
      <c r="AC24" s="248"/>
      <c r="AD24" s="249"/>
    </row>
    <row r="25" spans="3:30">
      <c r="C25" s="238"/>
      <c r="W25" s="664"/>
      <c r="X25" s="665"/>
      <c r="Y25" s="246"/>
      <c r="Z25" s="247"/>
      <c r="AA25" s="658"/>
      <c r="AB25" s="659"/>
      <c r="AC25" s="248"/>
      <c r="AD25" s="249"/>
    </row>
    <row r="26" spans="3:30">
      <c r="C26" s="238"/>
      <c r="W26" s="473"/>
      <c r="X26" s="474"/>
      <c r="Y26" s="246"/>
      <c r="Z26" s="247"/>
      <c r="AA26" s="658"/>
      <c r="AB26" s="659"/>
      <c r="AC26" s="248"/>
      <c r="AD26" s="249"/>
    </row>
    <row r="27" spans="3:30">
      <c r="C27" s="238"/>
      <c r="W27" s="473"/>
      <c r="X27" s="474"/>
      <c r="Y27" s="246"/>
      <c r="Z27" s="247"/>
      <c r="AA27" s="662"/>
      <c r="AB27" s="663"/>
      <c r="AC27" s="248"/>
      <c r="AD27" s="249"/>
    </row>
    <row r="28" spans="3:30">
      <c r="C28" s="238"/>
      <c r="W28" s="473"/>
      <c r="X28" s="474"/>
      <c r="Y28" s="246"/>
      <c r="Z28" s="247"/>
      <c r="AA28" s="662"/>
      <c r="AB28" s="663"/>
      <c r="AC28" s="248"/>
      <c r="AD28" s="249"/>
    </row>
    <row r="29" spans="3:30">
      <c r="C29" s="238"/>
      <c r="W29" s="473"/>
      <c r="X29" s="474"/>
      <c r="Y29" s="246"/>
      <c r="Z29" s="247"/>
      <c r="AA29" s="662"/>
      <c r="AB29" s="663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2"/>
      <c r="AB30" s="663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2"/>
      <c r="AB31" s="663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2"/>
      <c r="AB32" s="663"/>
      <c r="AC32" s="248"/>
      <c r="AD32" s="249"/>
    </row>
    <row r="33" spans="3:30">
      <c r="C33" s="238"/>
      <c r="W33" s="473"/>
      <c r="X33" s="474"/>
      <c r="Y33" s="246"/>
      <c r="Z33" s="247"/>
      <c r="AA33" s="662"/>
      <c r="AB33" s="663"/>
      <c r="AC33" s="248"/>
      <c r="AD33" s="249"/>
    </row>
    <row r="34" spans="3:30">
      <c r="C34" s="238"/>
      <c r="W34" s="473"/>
      <c r="X34" s="474"/>
      <c r="Y34" s="246"/>
      <c r="Z34" s="247"/>
      <c r="AA34" s="662"/>
      <c r="AB34" s="663"/>
      <c r="AC34" s="248"/>
      <c r="AD34" s="249"/>
    </row>
    <row r="35" spans="3:30">
      <c r="C35" s="238"/>
      <c r="W35" s="664"/>
      <c r="X35" s="677"/>
      <c r="Y35" s="246"/>
      <c r="Z35" s="247"/>
      <c r="AA35" s="662"/>
      <c r="AB35" s="663"/>
      <c r="AC35" s="248"/>
      <c r="AD35" s="249"/>
    </row>
    <row r="36" spans="3:30">
      <c r="C36" s="238"/>
      <c r="W36" s="668"/>
      <c r="X36" s="669"/>
      <c r="Y36" s="246"/>
      <c r="Z36" s="251"/>
      <c r="AA36" s="670"/>
      <c r="AB36" s="663"/>
      <c r="AC36" s="248"/>
      <c r="AD36" s="249"/>
    </row>
    <row r="37" spans="3:30" ht="12.75" customHeight="1">
      <c r="C37" s="238"/>
      <c r="W37" s="671"/>
      <c r="X37" s="672"/>
      <c r="Y37" s="246"/>
      <c r="Z37" s="251"/>
      <c r="AA37" s="673"/>
      <c r="AB37" s="674"/>
      <c r="AC37" s="252"/>
      <c r="AD37" s="253"/>
    </row>
    <row r="38" spans="3:30" ht="12.75" customHeight="1">
      <c r="C38" s="238"/>
      <c r="W38" s="671"/>
      <c r="X38" s="67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1"/>
      <c r="X39" s="672"/>
      <c r="Y39" s="254"/>
      <c r="Z39" s="257"/>
      <c r="AA39" s="675"/>
      <c r="AB39" s="676"/>
      <c r="AC39" s="252"/>
      <c r="AD39" s="253"/>
    </row>
    <row r="40" spans="3:30" ht="12" customHeight="1">
      <c r="C40" s="238"/>
      <c r="W40" s="681"/>
      <c r="X40" s="682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3"/>
      <c r="X41" s="684"/>
      <c r="Y41" s="260"/>
      <c r="Z41" s="261"/>
      <c r="AA41" s="675"/>
      <c r="AB41" s="676"/>
      <c r="AC41" s="252"/>
      <c r="AD41" s="253"/>
    </row>
    <row r="42" spans="3:30" ht="12" customHeight="1">
      <c r="C42" s="238"/>
      <c r="W42" s="685" t="s">
        <v>1456</v>
      </c>
      <c r="X42" s="686"/>
      <c r="Y42" s="686"/>
      <c r="Z42" s="68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8" t="s">
        <v>11</v>
      </c>
      <c r="X44" s="679"/>
      <c r="Y44" s="643"/>
      <c r="Z44" s="643"/>
      <c r="AA44" s="643"/>
      <c r="AB44" s="643"/>
      <c r="AC44" s="643"/>
      <c r="AD44" s="64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8" t="s">
        <v>984</v>
      </c>
      <c r="X45" s="679"/>
      <c r="Y45" s="643">
        <v>1</v>
      </c>
      <c r="Z45" s="643"/>
      <c r="AA45" s="643"/>
      <c r="AB45" s="643" t="s">
        <v>12</v>
      </c>
      <c r="AC45" s="64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8" t="s">
        <v>15</v>
      </c>
      <c r="X46" s="679"/>
      <c r="Y46" s="680"/>
      <c r="Z46" s="680"/>
      <c r="AA46" s="680"/>
      <c r="AB46" s="643" t="s">
        <v>16</v>
      </c>
      <c r="AC46" s="64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1" t="s">
        <v>17</v>
      </c>
      <c r="X47" s="691"/>
      <c r="Y47" s="691"/>
      <c r="Z47" s="691"/>
      <c r="AA47" s="691"/>
      <c r="AB47" s="691"/>
      <c r="AC47" s="691"/>
      <c r="AD47" s="69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3" t="str">
        <f>RAB!G6</f>
        <v>MASCHANAH</v>
      </c>
      <c r="X48" s="694"/>
      <c r="Y48" s="694"/>
      <c r="Z48" s="694"/>
      <c r="AA48" s="694"/>
      <c r="AB48" s="694"/>
      <c r="AC48" s="694"/>
      <c r="AD48" s="69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3" t="str">
        <f>RAB!G7</f>
        <v>KUWU</v>
      </c>
      <c r="X49" s="694"/>
      <c r="Y49" s="694"/>
      <c r="Z49" s="694"/>
      <c r="AA49" s="694"/>
      <c r="AB49" s="694"/>
      <c r="AC49" s="694"/>
      <c r="AD49" s="69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8" t="s">
        <v>18</v>
      </c>
      <c r="X52" s="679"/>
      <c r="Y52" s="643" t="s">
        <v>1607</v>
      </c>
      <c r="Z52" s="643"/>
      <c r="AA52" s="643"/>
      <c r="AB52" s="643"/>
      <c r="AC52" s="643"/>
      <c r="AD52" s="64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8" t="s">
        <v>19</v>
      </c>
      <c r="X53" s="679"/>
      <c r="Y53" s="643" t="s">
        <v>1608</v>
      </c>
      <c r="Z53" s="643"/>
      <c r="AA53" s="643"/>
      <c r="AB53" s="643"/>
      <c r="AC53" s="643"/>
      <c r="AD53" s="64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8" t="s">
        <v>20</v>
      </c>
      <c r="X54" s="679"/>
      <c r="Y54" s="687" t="s">
        <v>1547</v>
      </c>
      <c r="Z54" s="687"/>
      <c r="AA54" s="687"/>
      <c r="AB54" s="643"/>
      <c r="AC54" s="643"/>
      <c r="AD54" s="64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8" t="s">
        <v>21</v>
      </c>
      <c r="X55" s="689"/>
      <c r="Y55" s="687"/>
      <c r="Z55" s="687"/>
      <c r="AA55" s="687"/>
      <c r="AB55" s="687"/>
      <c r="AC55" s="687"/>
      <c r="AD55" s="690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5"/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0"/>
      <c r="Z6" s="420"/>
      <c r="AA6" s="420"/>
      <c r="AB6" s="421"/>
      <c r="AC6" s="421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2023-09-22T02:41:43Z</dcterms:modified>
</cp:coreProperties>
</file>